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Rate Submission\2023 Filing\2. Interrogatories\Uploaded\"/>
    </mc:Choice>
  </mc:AlternateContent>
  <xr:revisionPtr revIDLastSave="0" documentId="13_ncr:1_{8E4AD478-89C0-46EE-8ED9-9CF948B9F69C}" xr6:coauthVersionLast="47" xr6:coauthVersionMax="47" xr10:uidLastSave="{00000000-0000-0000-0000-000000000000}"/>
  <bookViews>
    <workbookView xWindow="-120" yWindow="-120" windowWidth="29040" windowHeight="15840" activeTab="2" xr2:uid="{A1D6785F-0F64-4506-9458-A9754ACD9F88}"/>
  </bookViews>
  <sheets>
    <sheet name="LV-Historical 2021" sheetId="2" r:id="rId1"/>
    <sheet name="LV-Current 2022" sheetId="3" r:id="rId2"/>
    <sheet name="LV Forecast 2023" sheetId="4" r:id="rId3"/>
  </sheets>
  <externalReferences>
    <externalReference r:id="rId4"/>
  </externalReferences>
  <definedNames>
    <definedName name="forecast_wholesale_network">'[1]14. RTSR - Forecast Wholesale'!$F$109</definedName>
    <definedName name="total_current_wholesale_network">'[1]13. RTSR - Current Wholesale'!$F$109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4" l="1"/>
  <c r="P4" i="4" l="1"/>
  <c r="M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5" i="3"/>
  <c r="J4" i="4"/>
  <c r="H4" i="4"/>
  <c r="F4" i="4"/>
  <c r="E4" i="4"/>
  <c r="Q16" i="4"/>
  <c r="Q17" i="4"/>
  <c r="Q18" i="4"/>
  <c r="Q19" i="4"/>
  <c r="Q20" i="4"/>
  <c r="Q21" i="4"/>
  <c r="Q22" i="4"/>
  <c r="Q23" i="4"/>
  <c r="Q24" i="4"/>
  <c r="Q25" i="4"/>
  <c r="Q26" i="4"/>
  <c r="Q15" i="4"/>
  <c r="L16" i="4"/>
  <c r="L17" i="4"/>
  <c r="L18" i="4"/>
  <c r="L19" i="4"/>
  <c r="L20" i="4"/>
  <c r="L21" i="4"/>
  <c r="L22" i="4"/>
  <c r="L23" i="4"/>
  <c r="L24" i="4"/>
  <c r="L25" i="4"/>
  <c r="L26" i="4"/>
  <c r="L15" i="4"/>
  <c r="N26" i="4"/>
  <c r="N16" i="4"/>
  <c r="N17" i="4"/>
  <c r="N18" i="4"/>
  <c r="N19" i="4"/>
  <c r="N20" i="4"/>
  <c r="N21" i="4"/>
  <c r="N22" i="4"/>
  <c r="N23" i="4"/>
  <c r="N24" i="4"/>
  <c r="N25" i="4"/>
  <c r="N15" i="4"/>
  <c r="M26" i="4"/>
  <c r="M16" i="4"/>
  <c r="M17" i="4"/>
  <c r="M18" i="4"/>
  <c r="M19" i="4"/>
  <c r="M20" i="4"/>
  <c r="M21" i="4"/>
  <c r="M22" i="4"/>
  <c r="M23" i="4"/>
  <c r="M24" i="4"/>
  <c r="M25" i="4"/>
  <c r="M15" i="4"/>
  <c r="M27" i="4"/>
  <c r="L27" i="4"/>
  <c r="N28" i="3" l="1"/>
  <c r="L28" i="4"/>
  <c r="M28" i="4"/>
  <c r="P5" i="3" l="1"/>
  <c r="L5" i="3"/>
  <c r="J5" i="3"/>
  <c r="H5" i="3"/>
  <c r="D5" i="3"/>
  <c r="E5" i="3"/>
  <c r="F5" i="3"/>
  <c r="C5" i="3"/>
  <c r="O26" i="4"/>
  <c r="O25" i="4"/>
  <c r="O24" i="4"/>
  <c r="O23" i="4"/>
  <c r="O22" i="4"/>
  <c r="O21" i="4"/>
  <c r="O20" i="4"/>
  <c r="F20" i="4"/>
  <c r="E20" i="4"/>
  <c r="O19" i="4"/>
  <c r="F19" i="4"/>
  <c r="E19" i="4"/>
  <c r="O18" i="4"/>
  <c r="F18" i="4"/>
  <c r="E18" i="4"/>
  <c r="O17" i="4"/>
  <c r="F17" i="4"/>
  <c r="E17" i="4"/>
  <c r="O16" i="4"/>
  <c r="F16" i="4"/>
  <c r="E16" i="4"/>
  <c r="O15" i="4"/>
  <c r="F15" i="4"/>
  <c r="E15" i="4"/>
  <c r="O22" i="3"/>
  <c r="O21" i="3"/>
  <c r="O20" i="3"/>
  <c r="O19" i="3"/>
  <c r="O18" i="3"/>
  <c r="O17" i="3"/>
  <c r="O16" i="3"/>
  <c r="O15" i="3"/>
  <c r="O28" i="2" l="1"/>
  <c r="O16" i="2"/>
  <c r="O17" i="2"/>
  <c r="O18" i="2"/>
  <c r="O19" i="2"/>
  <c r="O20" i="2"/>
  <c r="O21" i="2"/>
  <c r="O22" i="2"/>
  <c r="O23" i="2"/>
  <c r="O24" i="2"/>
  <c r="O25" i="2"/>
  <c r="O26" i="2"/>
  <c r="O15" i="2"/>
  <c r="I28" i="4"/>
  <c r="G28" i="4"/>
  <c r="D28" i="4"/>
  <c r="C28" i="4"/>
  <c r="O27" i="4"/>
  <c r="N27" i="4"/>
  <c r="E27" i="4"/>
  <c r="K28" i="4"/>
  <c r="F28" i="4"/>
  <c r="O28" i="4"/>
  <c r="E28" i="4"/>
  <c r="F28" i="2"/>
  <c r="E28" i="2"/>
  <c r="L23" i="3"/>
  <c r="F15" i="3"/>
  <c r="F28" i="3" s="1"/>
  <c r="F16" i="3"/>
  <c r="F17" i="3"/>
  <c r="F18" i="3"/>
  <c r="F19" i="3"/>
  <c r="F20" i="3"/>
  <c r="F22" i="3"/>
  <c r="F23" i="3"/>
  <c r="F24" i="3"/>
  <c r="F25" i="3"/>
  <c r="F26" i="3"/>
  <c r="F21" i="3"/>
  <c r="E15" i="3"/>
  <c r="E16" i="3"/>
  <c r="E17" i="3"/>
  <c r="E18" i="3"/>
  <c r="E19" i="3"/>
  <c r="E20" i="3"/>
  <c r="I28" i="3"/>
  <c r="G28" i="3"/>
  <c r="O27" i="3"/>
  <c r="P27" i="3" s="1"/>
  <c r="L27" i="3"/>
  <c r="E27" i="3"/>
  <c r="O26" i="3"/>
  <c r="P26" i="3" s="1"/>
  <c r="L26" i="3"/>
  <c r="J26" i="3"/>
  <c r="H26" i="3"/>
  <c r="E26" i="3"/>
  <c r="O25" i="3"/>
  <c r="P25" i="3" s="1"/>
  <c r="L25" i="3"/>
  <c r="J25" i="3"/>
  <c r="H25" i="3"/>
  <c r="E25" i="3"/>
  <c r="O24" i="3"/>
  <c r="P24" i="3" s="1"/>
  <c r="L24" i="3"/>
  <c r="J24" i="3"/>
  <c r="H24" i="3"/>
  <c r="E24" i="3"/>
  <c r="O23" i="3"/>
  <c r="P23" i="3" s="1"/>
  <c r="J23" i="3"/>
  <c r="H23" i="3"/>
  <c r="E23" i="3"/>
  <c r="P22" i="3"/>
  <c r="L22" i="3"/>
  <c r="J22" i="3"/>
  <c r="H22" i="3"/>
  <c r="E22" i="3"/>
  <c r="P21" i="3"/>
  <c r="L21" i="3"/>
  <c r="J21" i="3"/>
  <c r="H21" i="3"/>
  <c r="E21" i="3"/>
  <c r="J20" i="3"/>
  <c r="H20" i="3"/>
  <c r="P19" i="3"/>
  <c r="L19" i="3"/>
  <c r="J19" i="3"/>
  <c r="H19" i="3"/>
  <c r="P18" i="3"/>
  <c r="L18" i="3"/>
  <c r="J18" i="3"/>
  <c r="H18" i="3"/>
  <c r="P17" i="3"/>
  <c r="L17" i="3"/>
  <c r="J17" i="3"/>
  <c r="H17" i="3"/>
  <c r="P16" i="3"/>
  <c r="L16" i="3"/>
  <c r="J16" i="3"/>
  <c r="H16" i="3"/>
  <c r="P15" i="3"/>
  <c r="L15" i="3"/>
  <c r="J15" i="3"/>
  <c r="H15" i="3"/>
  <c r="Q26" i="3" l="1"/>
  <c r="E28" i="3"/>
  <c r="Q24" i="3"/>
  <c r="Q23" i="3"/>
  <c r="Q25" i="3"/>
  <c r="P25" i="4"/>
  <c r="P20" i="4"/>
  <c r="P18" i="4"/>
  <c r="P21" i="4"/>
  <c r="P26" i="4"/>
  <c r="P22" i="4"/>
  <c r="P24" i="4"/>
  <c r="P19" i="4"/>
  <c r="P23" i="4"/>
  <c r="P15" i="4"/>
  <c r="P17" i="4"/>
  <c r="P16" i="4"/>
  <c r="J24" i="4"/>
  <c r="J21" i="4"/>
  <c r="J15" i="4"/>
  <c r="J17" i="4"/>
  <c r="J18" i="4"/>
  <c r="J22" i="4"/>
  <c r="J23" i="4"/>
  <c r="J20" i="4"/>
  <c r="J25" i="4"/>
  <c r="J19" i="4"/>
  <c r="J16" i="4"/>
  <c r="J26" i="4"/>
  <c r="H23" i="4"/>
  <c r="H18" i="4"/>
  <c r="H20" i="4"/>
  <c r="H16" i="4"/>
  <c r="H24" i="4"/>
  <c r="H19" i="4"/>
  <c r="H26" i="4"/>
  <c r="H15" i="4"/>
  <c r="H21" i="4"/>
  <c r="H25" i="4"/>
  <c r="H17" i="4"/>
  <c r="H22" i="4"/>
  <c r="Q15" i="3"/>
  <c r="Q22" i="3"/>
  <c r="Q18" i="3"/>
  <c r="Q17" i="3"/>
  <c r="Q19" i="3"/>
  <c r="Q21" i="3"/>
  <c r="Q16" i="3"/>
  <c r="J28" i="3"/>
  <c r="P27" i="4"/>
  <c r="N28" i="4"/>
  <c r="D28" i="3"/>
  <c r="C28" i="3"/>
  <c r="H28" i="3"/>
  <c r="P20" i="3"/>
  <c r="P28" i="3" s="1"/>
  <c r="L20" i="3"/>
  <c r="L28" i="3" s="1"/>
  <c r="K28" i="3"/>
  <c r="O28" i="3" l="1"/>
  <c r="Q20" i="3"/>
  <c r="Q28" i="3" s="1"/>
  <c r="J28" i="4"/>
  <c r="P28" i="4"/>
  <c r="H28" i="4"/>
  <c r="Q28" i="4" l="1"/>
  <c r="N28" i="2"/>
  <c r="I28" i="2"/>
  <c r="G28" i="2"/>
  <c r="N27" i="2"/>
  <c r="M27" i="2"/>
  <c r="L27" i="2"/>
  <c r="E27" i="2"/>
  <c r="M26" i="2"/>
  <c r="N26" i="2" s="1"/>
  <c r="L26" i="2"/>
  <c r="J26" i="2"/>
  <c r="H26" i="2"/>
  <c r="F26" i="2"/>
  <c r="E26" i="2"/>
  <c r="D26" i="2"/>
  <c r="C26" i="2"/>
  <c r="M25" i="2"/>
  <c r="N25" i="2" s="1"/>
  <c r="L25" i="2"/>
  <c r="J25" i="2"/>
  <c r="H25" i="2"/>
  <c r="F25" i="2"/>
  <c r="E25" i="2"/>
  <c r="D25" i="2"/>
  <c r="C25" i="2"/>
  <c r="N24" i="2"/>
  <c r="M24" i="2"/>
  <c r="L24" i="2"/>
  <c r="J24" i="2"/>
  <c r="H24" i="2"/>
  <c r="F24" i="2"/>
  <c r="E24" i="2"/>
  <c r="D24" i="2"/>
  <c r="C24" i="2"/>
  <c r="M23" i="2"/>
  <c r="N23" i="2" s="1"/>
  <c r="L23" i="2"/>
  <c r="J23" i="2"/>
  <c r="H23" i="2"/>
  <c r="F23" i="2"/>
  <c r="E23" i="2"/>
  <c r="D23" i="2"/>
  <c r="C23" i="2"/>
  <c r="N22" i="2"/>
  <c r="M22" i="2"/>
  <c r="L22" i="2"/>
  <c r="J22" i="2"/>
  <c r="H22" i="2"/>
  <c r="F22" i="2"/>
  <c r="E22" i="2"/>
  <c r="D22" i="2"/>
  <c r="C22" i="2"/>
  <c r="M21" i="2"/>
  <c r="N21" i="2" s="1"/>
  <c r="L21" i="2"/>
  <c r="J21" i="2"/>
  <c r="H21" i="2"/>
  <c r="F21" i="2"/>
  <c r="E21" i="2"/>
  <c r="D21" i="2"/>
  <c r="C21" i="2"/>
  <c r="K20" i="2"/>
  <c r="K28" i="2" s="1"/>
  <c r="J20" i="2"/>
  <c r="H20" i="2"/>
  <c r="D20" i="2"/>
  <c r="C20" i="2"/>
  <c r="N19" i="2"/>
  <c r="M19" i="2"/>
  <c r="L19" i="2"/>
  <c r="J19" i="2"/>
  <c r="H19" i="2"/>
  <c r="D19" i="2"/>
  <c r="C19" i="2"/>
  <c r="M18" i="2"/>
  <c r="N18" i="2" s="1"/>
  <c r="L18" i="2"/>
  <c r="J18" i="2"/>
  <c r="H18" i="2"/>
  <c r="D18" i="2"/>
  <c r="D28" i="2" s="1"/>
  <c r="C18" i="2"/>
  <c r="N17" i="2"/>
  <c r="M17" i="2"/>
  <c r="L17" i="2"/>
  <c r="J17" i="2"/>
  <c r="H17" i="2"/>
  <c r="D17" i="2"/>
  <c r="C17" i="2"/>
  <c r="M16" i="2"/>
  <c r="N16" i="2" s="1"/>
  <c r="L16" i="2"/>
  <c r="J16" i="2"/>
  <c r="J28" i="2" s="1"/>
  <c r="H16" i="2"/>
  <c r="D16" i="2"/>
  <c r="C16" i="2"/>
  <c r="N15" i="2"/>
  <c r="M15" i="2"/>
  <c r="L15" i="2"/>
  <c r="J15" i="2"/>
  <c r="H15" i="2"/>
  <c r="H28" i="2" s="1"/>
  <c r="D15" i="2"/>
  <c r="C15" i="2"/>
  <c r="C28" i="2" s="1"/>
  <c r="L20" i="2" l="1"/>
  <c r="L28" i="2" s="1"/>
  <c r="M20" i="2"/>
  <c r="N20" i="2" s="1"/>
  <c r="M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Ami Bhatt</author>
  </authors>
  <commentList>
    <comment ref="I25" authorId="0" shapeId="0" xr:uid="{37E85056-58CE-4906-A090-B5EABB4C8D9C}">
      <text>
        <r>
          <rPr>
            <b/>
            <sz val="9"/>
            <color indexed="81"/>
            <rFont val="Tahoma"/>
            <family val="2"/>
          </rPr>
          <t>Ami Bhatt:</t>
        </r>
        <r>
          <rPr>
            <sz val="9"/>
            <color indexed="81"/>
            <rFont val="Tahoma"/>
            <family val="2"/>
          </rPr>
          <t xml:space="preserve">
Units on Pg1 of the detail invoice</t>
        </r>
      </text>
    </comment>
  </commentList>
</comments>
</file>

<file path=xl/sharedStrings.xml><?xml version="1.0" encoding="utf-8"?>
<sst xmlns="http://schemas.openxmlformats.org/spreadsheetml/2006/main" count="141" uniqueCount="51">
  <si>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</si>
  <si>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</si>
  <si>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</si>
  <si>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</si>
  <si>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</si>
  <si>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</si>
  <si>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</si>
  <si>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</si>
  <si>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</si>
  <si>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</si>
  <si>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</si>
  <si>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</si>
  <si>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Earning Shared</t>
  </si>
  <si>
    <t xml:space="preserve">Deferred </t>
  </si>
  <si>
    <t>Monthly Service</t>
  </si>
  <si>
    <t>LVDS - Low</t>
  </si>
  <si>
    <t>Volumetric Rate</t>
  </si>
  <si>
    <t>Common ST Lines</t>
  </si>
  <si>
    <t>Mechanism Vol Rider</t>
  </si>
  <si>
    <t>Tax Asset Vol Rider</t>
  </si>
  <si>
    <t>Tax Asset Fixed Rider</t>
  </si>
  <si>
    <t xml:space="preserve"> Charge</t>
  </si>
  <si>
    <t xml:space="preserve"> Rider #29A</t>
  </si>
  <si>
    <t>Jan</t>
  </si>
  <si>
    <t>Qty</t>
  </si>
  <si>
    <t>Rate</t>
  </si>
  <si>
    <t>July-</t>
  </si>
  <si>
    <t>HYDRO ONE BILL</t>
  </si>
  <si>
    <t>47500-00-000</t>
  </si>
  <si>
    <t>47500-00-001</t>
  </si>
  <si>
    <t>Total LV</t>
  </si>
  <si>
    <t>From last year, actuals not received yet</t>
  </si>
  <si>
    <t>Increase over last year</t>
  </si>
  <si>
    <t>Rate Rider Disposition</t>
  </si>
  <si>
    <t>DVA Group 1</t>
  </si>
  <si>
    <t>DVA Group 2</t>
  </si>
  <si>
    <t>effective to June 30, 2023</t>
  </si>
  <si>
    <t>effective to Dec 31, 2025</t>
  </si>
  <si>
    <t>Increase 2023 over 2022</t>
  </si>
  <si>
    <t>Summary of Hydro One Bills for 2021 - actual</t>
  </si>
  <si>
    <t>Actual Hydro One rates</t>
  </si>
  <si>
    <t>Increase over 2021</t>
  </si>
  <si>
    <t>From Hydro One tariff</t>
  </si>
  <si>
    <t>sub transmission</t>
  </si>
  <si>
    <t>EB-2021-0110</t>
  </si>
  <si>
    <t>Summary of Hydro One Bills for 2023 - forecast</t>
  </si>
  <si>
    <t xml:space="preserve">Summary of Hydro One Bills for 2022 - Current </t>
  </si>
  <si>
    <t>Actual other than December 2022</t>
  </si>
  <si>
    <t>Demand is same as 2022</t>
  </si>
  <si>
    <t>GL</t>
  </si>
  <si>
    <t>2023 Hydro One rates EB-2021-0110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</si>
</sst>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7" formatCode="0.0%"/>
    <numFmt numFmtId="168" formatCode="_(&quot;$&quot;* #,##0.000_);_(&quot;$&quot;* \(#,##0.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4" applyFont="1"/>
    <xf numFmtId="0" fontId="2" fillId="0" borderId="0" xfId="4"/>
    <xf numFmtId="44" fontId="0" fillId="0" borderId="0" xfId="5" applyFont="1"/>
    <xf numFmtId="164" fontId="0" fillId="0" borderId="0" xfId="5" applyNumberFormat="1" applyFont="1"/>
    <xf numFmtId="44" fontId="0" fillId="0" borderId="0" xfId="5" applyFont="1" applyFill="1"/>
    <xf numFmtId="164" fontId="0" fillId="0" borderId="0" xfId="5" applyNumberFormat="1" applyFont="1" applyFill="1"/>
    <xf numFmtId="43" fontId="2" fillId="2" borderId="0" xfId="1" applyFont="1" applyFill="1" applyAlignment="1"/>
    <xf numFmtId="43" fontId="2" fillId="3" borderId="0" xfId="1" applyFont="1" applyFill="1" applyAlignment="1"/>
    <xf numFmtId="43" fontId="2" fillId="0" borderId="0" xfId="1" applyFont="1" applyFill="1" applyAlignment="1"/>
    <xf numFmtId="43" fontId="0" fillId="0" borderId="0" xfId="1" applyFont="1" applyFill="1"/>
    <xf numFmtId="43" fontId="2" fillId="0" borderId="0" xfId="4" applyNumberFormat="1"/>
    <xf numFmtId="0" fontId="7" fillId="0" borderId="0" xfId="4" applyFont="1"/>
    <xf numFmtId="0" fontId="3" fillId="0" borderId="0" xfId="4" applyFont="1"/>
    <xf numFmtId="44" fontId="2" fillId="2" borderId="0" xfId="2" applyFont="1" applyFill="1" applyAlignment="1"/>
    <xf numFmtId="44" fontId="2" fillId="0" borderId="0" xfId="2" applyFont="1"/>
    <xf numFmtId="44" fontId="2" fillId="3" borderId="0" xfId="2" applyFont="1" applyFill="1" applyAlignment="1"/>
    <xf numFmtId="44" fontId="0" fillId="0" borderId="0" xfId="2" applyFont="1"/>
    <xf numFmtId="44" fontId="0" fillId="0" borderId="0" xfId="0" applyNumberFormat="1"/>
    <xf numFmtId="43" fontId="2" fillId="4" borderId="0" xfId="1" applyFont="1" applyFill="1" applyAlignment="1"/>
    <xf numFmtId="0" fontId="2" fillId="4" borderId="0" xfId="4" applyFill="1"/>
    <xf numFmtId="167" fontId="0" fillId="0" borderId="0" xfId="3" applyNumberFormat="1" applyFont="1"/>
    <xf numFmtId="167" fontId="0" fillId="0" borderId="0" xfId="3" applyNumberFormat="1" applyFont="1" applyFill="1"/>
    <xf numFmtId="10" fontId="0" fillId="0" borderId="0" xfId="3" applyNumberFormat="1" applyFont="1"/>
    <xf numFmtId="9" fontId="2" fillId="0" borderId="0" xfId="3" applyFont="1"/>
    <xf numFmtId="10" fontId="2" fillId="0" borderId="0" xfId="3" applyNumberFormat="1" applyFont="1"/>
    <xf numFmtId="44" fontId="0" fillId="0" borderId="0" xfId="2" applyFont="1" applyFill="1"/>
    <xf numFmtId="44" fontId="2" fillId="0" borderId="0" xfId="2" applyFont="1" applyFill="1"/>
    <xf numFmtId="164" fontId="2" fillId="0" borderId="0" xfId="2" applyNumberFormat="1" applyFont="1" applyFill="1"/>
    <xf numFmtId="43" fontId="0" fillId="4" borderId="0" xfId="1" applyFont="1" applyFill="1"/>
    <xf numFmtId="167" fontId="2" fillId="0" borderId="0" xfId="3" applyNumberFormat="1" applyFont="1"/>
    <xf numFmtId="168" fontId="2" fillId="5" borderId="0" xfId="2" applyNumberFormat="1" applyFont="1" applyFill="1"/>
    <xf numFmtId="44" fontId="2" fillId="5" borderId="0" xfId="2" applyFont="1" applyFill="1"/>
    <xf numFmtId="164" fontId="2" fillId="5" borderId="0" xfId="2" applyNumberFormat="1" applyFont="1" applyFill="1"/>
    <xf numFmtId="164" fontId="8" fillId="5" borderId="0" xfId="2" applyNumberFormat="1" applyFont="1" applyFill="1"/>
    <xf numFmtId="0" fontId="2" fillId="5" borderId="0" xfId="4" applyFont="1" applyFill="1"/>
  </cellXfs>
  <cellStyles count="6">
    <cellStyle name="Comma" xfId="1" builtinId="3"/>
    <cellStyle name="Currency" xfId="2" builtinId="4"/>
    <cellStyle name="Currency 2" xfId="5" xr:uid="{0D75D228-0AEC-408E-B588-5537909F61AB}"/>
    <cellStyle name="Normal" xfId="0" builtinId="0"/>
    <cellStyle name="Normal 2" xfId="4" xr:uid="{2DC4D8EC-74A9-40F7-920B-8EF8F7669891}"/>
    <cellStyle name="Percent" xfId="3" builtinId="5"/>
  </cellStyles>
  <dxfs count="0"/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%20Submission/2023%20Filing/1.%20Submission/2023-IRM-Rate-Generator-Model_2022101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9">
          <cell r="F109">
            <v>2211956.407842</v>
          </cell>
        </row>
      </sheetData>
      <sheetData sheetId="20">
        <row r="109">
          <cell r="F109">
            <v>2211956.407842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3C84-DECF-4D48-80C7-09D609BD858C}">
  <dimension ref="A1:O28"/>
  <sheetViews>
    <sheetView workbookViewId="0">
      <selection activeCell="G1" sqref="G1:G2"/>
    </sheetView>
  </sheetViews>
  <sheetFormatPr defaultRowHeight="15" x14ac:dyDescent="0.25"/>
  <cols>
    <col min="1" max="1" width="14.140625" customWidth="1"/>
    <col min="2" max="2" width="4.85546875" bestFit="1" customWidth="1"/>
    <col min="3" max="3" width="16.7109375" bestFit="1" customWidth="1"/>
    <col min="4" max="4" width="15.5703125" bestFit="1" customWidth="1"/>
    <col min="5" max="5" width="15" bestFit="1" customWidth="1"/>
    <col min="6" max="6" width="16.42578125" bestFit="1" customWidth="1"/>
    <col min="7" max="7" width="11.140625" bestFit="1" customWidth="1"/>
    <col min="8" max="8" width="12" bestFit="1" customWidth="1"/>
    <col min="9" max="9" width="10.28515625" bestFit="1" customWidth="1"/>
    <col min="10" max="11" width="11.28515625" bestFit="1" customWidth="1"/>
    <col min="12" max="12" width="12.28515625" bestFit="1" customWidth="1"/>
    <col min="13" max="13" width="11.28515625" bestFit="1" customWidth="1"/>
    <col min="14" max="14" width="13.42578125" bestFit="1" customWidth="1"/>
    <col min="15" max="15" width="15.85546875" customWidth="1"/>
  </cols>
  <sheetData>
    <row r="1" spans="1:15" ht="20.25" x14ac:dyDescent="0.3">
      <c r="A1" s="12" t="s">
        <v>39</v>
      </c>
      <c r="B1" s="2"/>
      <c r="C1" s="2"/>
      <c r="D1" s="2"/>
      <c r="E1" s="2"/>
      <c r="F1" s="2"/>
      <c r="G1" s="2" t="s">
        <v>49</v>
      </c>
      <c r="H1" s="8" t="s">
        <v>28</v>
      </c>
      <c r="I1" s="2"/>
      <c r="J1" s="2"/>
      <c r="K1" s="2"/>
      <c r="L1" s="2"/>
      <c r="M1" s="2"/>
      <c r="N1" s="2"/>
    </row>
    <row r="2" spans="1:15" x14ac:dyDescent="0.25">
      <c r="A2" s="2"/>
      <c r="B2" s="2"/>
      <c r="C2" s="2"/>
      <c r="D2" s="2"/>
      <c r="E2" s="2"/>
      <c r="F2" s="2"/>
      <c r="G2" s="2" t="s">
        <v>49</v>
      </c>
      <c r="H2" s="7" t="s">
        <v>29</v>
      </c>
      <c r="I2" s="2"/>
      <c r="J2" s="2"/>
      <c r="K2" s="2"/>
      <c r="L2" s="2"/>
      <c r="M2" s="2"/>
      <c r="N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x14ac:dyDescent="0.25">
      <c r="A4" s="2"/>
      <c r="B4" s="2"/>
      <c r="C4" s="13" t="s">
        <v>27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x14ac:dyDescent="0.25">
      <c r="A6" s="1"/>
      <c r="B6" s="1"/>
      <c r="C6" s="1" t="s">
        <v>12</v>
      </c>
      <c r="D6" s="1" t="s">
        <v>12</v>
      </c>
      <c r="E6" s="1" t="s">
        <v>13</v>
      </c>
      <c r="F6" s="1" t="s">
        <v>13</v>
      </c>
      <c r="G6" s="1"/>
      <c r="H6" s="1" t="s">
        <v>14</v>
      </c>
      <c r="I6" s="1"/>
      <c r="J6" s="1" t="s">
        <v>15</v>
      </c>
      <c r="K6" s="1"/>
      <c r="L6" s="1" t="s">
        <v>16</v>
      </c>
      <c r="M6" s="1"/>
      <c r="N6" s="1" t="s">
        <v>17</v>
      </c>
      <c r="O6" s="1" t="s">
        <v>30</v>
      </c>
    </row>
    <row r="7" spans="1:15" x14ac:dyDescent="0.25">
      <c r="A7" s="1"/>
      <c r="B7" s="1"/>
      <c r="C7" s="1" t="s">
        <v>18</v>
      </c>
      <c r="D7" s="1" t="s">
        <v>18</v>
      </c>
      <c r="E7" s="1" t="s">
        <v>19</v>
      </c>
      <c r="F7" s="1" t="s">
        <v>20</v>
      </c>
      <c r="G7" s="1"/>
      <c r="H7" s="1" t="s">
        <v>21</v>
      </c>
      <c r="I7" s="1"/>
      <c r="J7" s="1"/>
      <c r="K7" s="1"/>
      <c r="L7" s="1" t="s">
        <v>22</v>
      </c>
      <c r="M7" s="1"/>
      <c r="N7" s="1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x14ac:dyDescent="0.25">
      <c r="A9" s="2" t="s">
        <v>23</v>
      </c>
      <c r="B9" s="2" t="s">
        <v>24</v>
      </c>
      <c r="C9" s="2">
        <v>5</v>
      </c>
      <c r="D9" s="2">
        <v>1</v>
      </c>
      <c r="E9" s="2">
        <v>1</v>
      </c>
      <c r="F9" s="2">
        <v>5</v>
      </c>
      <c r="G9" s="2"/>
      <c r="H9" s="2">
        <v>5</v>
      </c>
      <c r="I9" s="2"/>
      <c r="J9" s="2">
        <v>1</v>
      </c>
      <c r="K9" s="2"/>
      <c r="L9" s="2"/>
      <c r="M9" s="2"/>
      <c r="N9" s="2"/>
    </row>
    <row r="10" spans="1:15" x14ac:dyDescent="0.25">
      <c r="A10" s="2" t="s">
        <v>23</v>
      </c>
      <c r="B10" s="2" t="s">
        <v>25</v>
      </c>
      <c r="C10" s="3">
        <v>-15.7</v>
      </c>
      <c r="D10" s="2">
        <v>-2.1899999999999999E-2</v>
      </c>
      <c r="E10" s="2">
        <v>5.3999999999999999E-2</v>
      </c>
      <c r="F10" s="2">
        <v>36.18</v>
      </c>
      <c r="G10" s="2"/>
      <c r="H10" s="2">
        <v>582.74</v>
      </c>
      <c r="I10" s="2"/>
      <c r="J10" s="2">
        <v>1.6671</v>
      </c>
      <c r="K10" s="2"/>
      <c r="L10" s="4">
        <v>0.94440000000000002</v>
      </c>
      <c r="M10" s="2"/>
      <c r="N10" s="2">
        <v>1.5335000000000001</v>
      </c>
    </row>
    <row r="11" spans="1:15" x14ac:dyDescent="0.25">
      <c r="A11" s="2" t="s">
        <v>26</v>
      </c>
      <c r="B11" s="2" t="s">
        <v>24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x14ac:dyDescent="0.25">
      <c r="A12" s="2" t="s">
        <v>26</v>
      </c>
      <c r="B12" s="2" t="s">
        <v>25</v>
      </c>
      <c r="C12" s="3"/>
      <c r="D12" s="3"/>
      <c r="E12" s="3"/>
      <c r="F12" s="3"/>
      <c r="G12" s="3"/>
      <c r="H12" s="3"/>
      <c r="I12" s="5"/>
      <c r="J12" s="4"/>
      <c r="K12" s="5"/>
      <c r="L12" s="2"/>
      <c r="M12" s="6"/>
      <c r="N12" s="4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5" x14ac:dyDescent="0.25">
      <c r="A15" s="2" t="s">
        <v>0</v>
      </c>
      <c r="B15" s="2"/>
      <c r="C15" s="14">
        <f t="shared" ref="C15:C26" si="0">+$C$9*$C$10</f>
        <v>-78.5</v>
      </c>
      <c r="D15" s="14">
        <f>$D$10*40257.94</f>
        <v>-881.64888600000006</v>
      </c>
      <c r="E15" s="14"/>
      <c r="F15" s="14"/>
      <c r="G15" s="8"/>
      <c r="H15" s="16">
        <f t="shared" ref="H15:H26" si="1">$H$10*$H$9</f>
        <v>2913.7</v>
      </c>
      <c r="I15" s="9">
        <v>2258.88</v>
      </c>
      <c r="J15" s="16">
        <f>ROUND($I15*J$10,2)</f>
        <v>3765.78</v>
      </c>
      <c r="K15" s="9">
        <v>40257.94</v>
      </c>
      <c r="L15" s="14">
        <f>ROUND(+K15*$L$10,2)</f>
        <v>38019.599999999999</v>
      </c>
      <c r="M15" s="9">
        <f>+K15</f>
        <v>40257.94</v>
      </c>
      <c r="N15" s="16">
        <f>ROUND(+$M15*N$10,2)+0.01</f>
        <v>61735.560000000005</v>
      </c>
      <c r="O15" s="18">
        <f>N15+L15+J15+H15+F15+E15+D15+C15</f>
        <v>105474.491114</v>
      </c>
    </row>
    <row r="16" spans="1:15" x14ac:dyDescent="0.25">
      <c r="A16" s="2" t="s">
        <v>1</v>
      </c>
      <c r="B16" s="2"/>
      <c r="C16" s="14">
        <f t="shared" si="0"/>
        <v>-78.5</v>
      </c>
      <c r="D16" s="14">
        <f>ROUND(D10*K16,2)</f>
        <v>-900.63</v>
      </c>
      <c r="E16" s="14"/>
      <c r="F16" s="14"/>
      <c r="G16" s="8"/>
      <c r="H16" s="16">
        <f t="shared" si="1"/>
        <v>2913.7</v>
      </c>
      <c r="I16" s="9">
        <v>2328.4299999999998</v>
      </c>
      <c r="J16" s="16">
        <f>ROUND($I16*J$10,2)</f>
        <v>3881.73</v>
      </c>
      <c r="K16" s="9">
        <v>41124.519999999997</v>
      </c>
      <c r="L16" s="14">
        <f t="shared" ref="L16:L21" si="2">ROUND(+K16*$L$10,2)</f>
        <v>38838</v>
      </c>
      <c r="M16" s="9">
        <f t="shared" ref="M16:M24" si="3">+K16</f>
        <v>41124.519999999997</v>
      </c>
      <c r="N16" s="16">
        <f t="shared" ref="N16:N24" si="4">ROUND(+$M16*N$10,2)</f>
        <v>63064.45</v>
      </c>
      <c r="O16" s="18">
        <f t="shared" ref="O16:O26" si="5">N16+L16+J16+H16+F16+E16+D16+C16</f>
        <v>107718.74999999999</v>
      </c>
    </row>
    <row r="17" spans="1:15" x14ac:dyDescent="0.25">
      <c r="A17" s="2" t="s">
        <v>2</v>
      </c>
      <c r="B17" s="2"/>
      <c r="C17" s="14">
        <f t="shared" si="0"/>
        <v>-78.5</v>
      </c>
      <c r="D17" s="14">
        <f>D10*K17</f>
        <v>-860.94834900000001</v>
      </c>
      <c r="E17" s="14"/>
      <c r="F17" s="14"/>
      <c r="G17" s="8"/>
      <c r="H17" s="16">
        <f t="shared" si="1"/>
        <v>2913.7</v>
      </c>
      <c r="I17" s="9">
        <v>2065.71</v>
      </c>
      <c r="J17" s="16">
        <f>ROUND($I17*J$10,2)</f>
        <v>3443.75</v>
      </c>
      <c r="K17" s="9">
        <v>39312.71</v>
      </c>
      <c r="L17" s="14">
        <f t="shared" si="2"/>
        <v>37126.92</v>
      </c>
      <c r="M17" s="9">
        <f t="shared" si="3"/>
        <v>39312.71</v>
      </c>
      <c r="N17" s="16">
        <f>ROUND(+$M17*N$10,2)</f>
        <v>60286.04</v>
      </c>
      <c r="O17" s="18">
        <f t="shared" si="5"/>
        <v>102830.96165099999</v>
      </c>
    </row>
    <row r="18" spans="1:15" x14ac:dyDescent="0.25">
      <c r="A18" s="2" t="s">
        <v>3</v>
      </c>
      <c r="B18" s="2"/>
      <c r="C18" s="14">
        <f t="shared" si="0"/>
        <v>-78.5</v>
      </c>
      <c r="D18" s="14">
        <f>$D$10*K18</f>
        <v>-765.52216499999997</v>
      </c>
      <c r="E18" s="14"/>
      <c r="F18" s="14"/>
      <c r="G18" s="8"/>
      <c r="H18" s="16">
        <f t="shared" si="1"/>
        <v>2913.7</v>
      </c>
      <c r="I18" s="9">
        <v>1881.82</v>
      </c>
      <c r="J18" s="16">
        <f t="shared" ref="J18:J26" si="6">ROUND($I18*J$10,2)</f>
        <v>3137.18</v>
      </c>
      <c r="K18" s="9">
        <v>34955.35</v>
      </c>
      <c r="L18" s="14">
        <f t="shared" si="2"/>
        <v>33011.83</v>
      </c>
      <c r="M18" s="9">
        <f t="shared" si="3"/>
        <v>34955.35</v>
      </c>
      <c r="N18" s="16">
        <f t="shared" si="4"/>
        <v>53604.03</v>
      </c>
      <c r="O18" s="18">
        <f t="shared" si="5"/>
        <v>91822.717834999989</v>
      </c>
    </row>
    <row r="19" spans="1:15" x14ac:dyDescent="0.25">
      <c r="A19" s="2" t="s">
        <v>4</v>
      </c>
      <c r="B19" s="2"/>
      <c r="C19" s="14">
        <f t="shared" si="0"/>
        <v>-78.5</v>
      </c>
      <c r="D19" s="14">
        <f>$D$10*K19</f>
        <v>-904.81492500000002</v>
      </c>
      <c r="E19" s="14"/>
      <c r="F19" s="14"/>
      <c r="G19" s="8"/>
      <c r="H19" s="16">
        <f t="shared" si="1"/>
        <v>2913.7</v>
      </c>
      <c r="I19" s="9">
        <v>1834.35</v>
      </c>
      <c r="J19" s="16">
        <f t="shared" si="6"/>
        <v>3058.04</v>
      </c>
      <c r="K19" s="10">
        <v>41315.75</v>
      </c>
      <c r="L19" s="14">
        <f t="shared" si="2"/>
        <v>39018.589999999997</v>
      </c>
      <c r="M19" s="9">
        <f t="shared" si="3"/>
        <v>41315.75</v>
      </c>
      <c r="N19" s="16">
        <f>ROUND(+$M19*N$10,2)</f>
        <v>63357.7</v>
      </c>
      <c r="O19" s="18">
        <f t="shared" si="5"/>
        <v>107364.71507499999</v>
      </c>
    </row>
    <row r="20" spans="1:15" x14ac:dyDescent="0.25">
      <c r="A20" s="2" t="s">
        <v>5</v>
      </c>
      <c r="B20" s="2"/>
      <c r="C20" s="14">
        <f t="shared" si="0"/>
        <v>-78.5</v>
      </c>
      <c r="D20" s="14">
        <f>$D$10*K20</f>
        <v>-1062.02955</v>
      </c>
      <c r="E20" s="14"/>
      <c r="F20" s="14"/>
      <c r="G20" s="8"/>
      <c r="H20" s="16">
        <f t="shared" si="1"/>
        <v>2913.7</v>
      </c>
      <c r="I20" s="9">
        <v>2345.87</v>
      </c>
      <c r="J20" s="16">
        <f t="shared" si="6"/>
        <v>3910.8</v>
      </c>
      <c r="K20" s="9">
        <f>48494.5</f>
        <v>48494.5</v>
      </c>
      <c r="L20" s="14">
        <f t="shared" si="2"/>
        <v>45798.21</v>
      </c>
      <c r="M20" s="9">
        <f t="shared" si="3"/>
        <v>48494.5</v>
      </c>
      <c r="N20" s="16">
        <f t="shared" si="4"/>
        <v>74366.320000000007</v>
      </c>
      <c r="O20" s="18">
        <f t="shared" si="5"/>
        <v>125848.50044999999</v>
      </c>
    </row>
    <row r="21" spans="1:15" x14ac:dyDescent="0.25">
      <c r="A21" s="2" t="s">
        <v>6</v>
      </c>
      <c r="B21" s="2"/>
      <c r="C21" s="14">
        <f t="shared" si="0"/>
        <v>-78.5</v>
      </c>
      <c r="D21" s="14">
        <f>(-0.0219*47107.44)</f>
        <v>-1031.652936</v>
      </c>
      <c r="E21" s="14">
        <f t="shared" ref="E21:E27" si="7">+K21*$E$10</f>
        <v>2543.8017600000003</v>
      </c>
      <c r="F21" s="14">
        <f>F9*F10</f>
        <v>180.9</v>
      </c>
      <c r="G21" s="8"/>
      <c r="H21" s="16">
        <f t="shared" si="1"/>
        <v>2913.7</v>
      </c>
      <c r="I21" s="9">
        <v>2372.4699999999998</v>
      </c>
      <c r="J21" s="16">
        <f t="shared" si="6"/>
        <v>3955.14</v>
      </c>
      <c r="K21" s="9">
        <v>47107.44</v>
      </c>
      <c r="L21" s="14">
        <f t="shared" si="2"/>
        <v>44488.27</v>
      </c>
      <c r="M21" s="9">
        <f t="shared" si="3"/>
        <v>47107.44</v>
      </c>
      <c r="N21" s="16">
        <f>ROUND(+$M21*N$10,2)-0.02</f>
        <v>72239.239999999991</v>
      </c>
      <c r="O21" s="18">
        <f t="shared" si="5"/>
        <v>125210.89882399997</v>
      </c>
    </row>
    <row r="22" spans="1:15" x14ac:dyDescent="0.25">
      <c r="A22" s="2" t="s">
        <v>7</v>
      </c>
      <c r="B22" s="2"/>
      <c r="C22" s="14">
        <f t="shared" si="0"/>
        <v>-78.5</v>
      </c>
      <c r="D22" s="14">
        <f>(-0.0219*49260.62)</f>
        <v>-1078.8075779999999</v>
      </c>
      <c r="E22" s="14">
        <f t="shared" si="7"/>
        <v>2660.07348</v>
      </c>
      <c r="F22" s="14">
        <f>F9*F10</f>
        <v>180.9</v>
      </c>
      <c r="G22" s="8"/>
      <c r="H22" s="16">
        <f t="shared" si="1"/>
        <v>2913.7</v>
      </c>
      <c r="I22" s="9">
        <v>2550.77</v>
      </c>
      <c r="J22" s="16">
        <f t="shared" si="6"/>
        <v>4252.3900000000003</v>
      </c>
      <c r="K22" s="9">
        <v>49260.62</v>
      </c>
      <c r="L22" s="14">
        <f>ROUND(+K22*$L$10,2)</f>
        <v>46521.73</v>
      </c>
      <c r="M22" s="9">
        <f t="shared" si="3"/>
        <v>49260.62</v>
      </c>
      <c r="N22" s="16">
        <f>ROUND(+$M22*N$10,2)-0.03</f>
        <v>75541.13</v>
      </c>
      <c r="O22" s="18">
        <f t="shared" si="5"/>
        <v>130912.61590199999</v>
      </c>
    </row>
    <row r="23" spans="1:15" x14ac:dyDescent="0.25">
      <c r="A23" s="2" t="s">
        <v>8</v>
      </c>
      <c r="B23" s="2"/>
      <c r="C23" s="14">
        <f t="shared" si="0"/>
        <v>-78.5</v>
      </c>
      <c r="D23" s="14">
        <f>-0.0219*39600.94</f>
        <v>-867.26058599999999</v>
      </c>
      <c r="E23" s="14">
        <f t="shared" si="7"/>
        <v>2138.4507600000002</v>
      </c>
      <c r="F23" s="14">
        <f>F10*F9</f>
        <v>180.9</v>
      </c>
      <c r="G23" s="8"/>
      <c r="H23" s="16">
        <f t="shared" si="1"/>
        <v>2913.7</v>
      </c>
      <c r="I23" s="9">
        <v>1826.15</v>
      </c>
      <c r="J23" s="16">
        <f t="shared" si="6"/>
        <v>3044.37</v>
      </c>
      <c r="K23" s="9">
        <v>39600.94</v>
      </c>
      <c r="L23" s="14">
        <f>ROUND(+K23*$L$10,2)-0.01</f>
        <v>37399.119999999995</v>
      </c>
      <c r="M23" s="9">
        <f t="shared" si="3"/>
        <v>39600.94</v>
      </c>
      <c r="N23" s="16">
        <f t="shared" si="4"/>
        <v>60728.04</v>
      </c>
      <c r="O23" s="18">
        <f t="shared" si="5"/>
        <v>105458.82017399999</v>
      </c>
    </row>
    <row r="24" spans="1:15" x14ac:dyDescent="0.25">
      <c r="A24" s="2" t="s">
        <v>9</v>
      </c>
      <c r="B24" s="2"/>
      <c r="C24" s="14">
        <f t="shared" si="0"/>
        <v>-78.5</v>
      </c>
      <c r="D24" s="14">
        <f>-0.0219*36695.68</f>
        <v>-803.63539200000002</v>
      </c>
      <c r="E24" s="14">
        <f t="shared" si="7"/>
        <v>1981.56672</v>
      </c>
      <c r="F24" s="14">
        <f>F10*F9</f>
        <v>180.9</v>
      </c>
      <c r="G24" s="8"/>
      <c r="H24" s="16">
        <f t="shared" si="1"/>
        <v>2913.7</v>
      </c>
      <c r="I24" s="9">
        <v>1809.42</v>
      </c>
      <c r="J24" s="16">
        <f t="shared" si="6"/>
        <v>3016.48</v>
      </c>
      <c r="K24" s="9">
        <v>36695.68</v>
      </c>
      <c r="L24" s="14">
        <f>ROUND(+K24*$L$10,2)</f>
        <v>34655.4</v>
      </c>
      <c r="M24" s="9">
        <f t="shared" si="3"/>
        <v>36695.68</v>
      </c>
      <c r="N24" s="16">
        <f t="shared" si="4"/>
        <v>56272.83</v>
      </c>
      <c r="O24" s="18">
        <f t="shared" si="5"/>
        <v>98138.741328000004</v>
      </c>
    </row>
    <row r="25" spans="1:15" x14ac:dyDescent="0.25">
      <c r="A25" s="2" t="s">
        <v>10</v>
      </c>
      <c r="B25" s="2"/>
      <c r="C25" s="14">
        <f t="shared" si="0"/>
        <v>-78.5</v>
      </c>
      <c r="D25" s="14">
        <f>-0.0219*40434.93</f>
        <v>-885.52496699999995</v>
      </c>
      <c r="E25" s="14">
        <f t="shared" si="7"/>
        <v>2183.4862199999998</v>
      </c>
      <c r="F25" s="14">
        <f>F10*F9</f>
        <v>180.9</v>
      </c>
      <c r="G25" s="8"/>
      <c r="H25" s="16">
        <f t="shared" si="1"/>
        <v>2913.7</v>
      </c>
      <c r="I25" s="9">
        <v>2248.44</v>
      </c>
      <c r="J25" s="16">
        <f t="shared" si="6"/>
        <v>3748.37</v>
      </c>
      <c r="K25" s="9">
        <v>40434.93</v>
      </c>
      <c r="L25" s="14">
        <f>ROUND(+K25*$L$10,2)</f>
        <v>38186.75</v>
      </c>
      <c r="M25" s="9">
        <f>+K25</f>
        <v>40434.93</v>
      </c>
      <c r="N25" s="16">
        <f>ROUND(+$M25*N$10,2)</f>
        <v>62006.97</v>
      </c>
      <c r="O25" s="18">
        <f t="shared" si="5"/>
        <v>108256.15125299999</v>
      </c>
    </row>
    <row r="26" spans="1:15" x14ac:dyDescent="0.25">
      <c r="A26" s="2" t="s">
        <v>11</v>
      </c>
      <c r="B26" s="2"/>
      <c r="C26" s="14">
        <f t="shared" si="0"/>
        <v>-78.5</v>
      </c>
      <c r="D26" s="14">
        <f>-0.0219*41398.16</f>
        <v>-906.61970400000007</v>
      </c>
      <c r="E26" s="14">
        <f t="shared" si="7"/>
        <v>2235.5006400000002</v>
      </c>
      <c r="F26" s="14">
        <f>F9*F10</f>
        <v>180.9</v>
      </c>
      <c r="G26" s="8"/>
      <c r="H26" s="16">
        <f t="shared" si="1"/>
        <v>2913.7</v>
      </c>
      <c r="I26" s="9">
        <v>2320.9499999999998</v>
      </c>
      <c r="J26" s="16">
        <f t="shared" si="6"/>
        <v>3869.26</v>
      </c>
      <c r="K26" s="9">
        <v>41398.160000000003</v>
      </c>
      <c r="L26" s="14">
        <f>ROUND(+K26*$L$10,2)</f>
        <v>39096.42</v>
      </c>
      <c r="M26" s="9">
        <f>+K26</f>
        <v>41398.160000000003</v>
      </c>
      <c r="N26" s="16">
        <f>ROUND(+$M26*N$10,2)</f>
        <v>63484.08</v>
      </c>
      <c r="O26" s="18">
        <f t="shared" si="5"/>
        <v>110794.74093599999</v>
      </c>
    </row>
    <row r="27" spans="1:15" x14ac:dyDescent="0.25">
      <c r="A27" s="2"/>
      <c r="B27" s="2"/>
      <c r="C27" s="15"/>
      <c r="D27" s="15"/>
      <c r="E27" s="15">
        <f t="shared" si="7"/>
        <v>0</v>
      </c>
      <c r="F27" s="15"/>
      <c r="G27" s="2"/>
      <c r="H27" s="15"/>
      <c r="I27" s="2"/>
      <c r="J27" s="15"/>
      <c r="K27" s="2"/>
      <c r="L27" s="15">
        <f>ROUND(+K27*$L$10,2)</f>
        <v>0</v>
      </c>
      <c r="M27" s="2">
        <f>+K27</f>
        <v>0</v>
      </c>
      <c r="N27" s="15">
        <f>ROUND(+$M27*N$10,2)</f>
        <v>0</v>
      </c>
    </row>
    <row r="28" spans="1:15" x14ac:dyDescent="0.25">
      <c r="A28" s="2"/>
      <c r="B28" s="2"/>
      <c r="C28" s="15">
        <f>SUM(C15:C27)</f>
        <v>-942</v>
      </c>
      <c r="D28" s="15">
        <f t="shared" ref="D28:M28" si="8">SUM(D15:D27)</f>
        <v>-10949.095038000001</v>
      </c>
      <c r="E28" s="15">
        <f t="shared" si="8"/>
        <v>13742.879580000003</v>
      </c>
      <c r="F28" s="15">
        <f t="shared" si="8"/>
        <v>1085.4000000000001</v>
      </c>
      <c r="G28" s="11">
        <f t="shared" si="8"/>
        <v>0</v>
      </c>
      <c r="H28" s="15">
        <f t="shared" si="8"/>
        <v>34964.400000000001</v>
      </c>
      <c r="I28" s="11">
        <f t="shared" si="8"/>
        <v>25843.260000000002</v>
      </c>
      <c r="J28" s="15">
        <f t="shared" si="8"/>
        <v>43083.29</v>
      </c>
      <c r="K28" s="11">
        <f t="shared" si="8"/>
        <v>499958.53999999992</v>
      </c>
      <c r="L28" s="15">
        <f t="shared" si="8"/>
        <v>472160.83999999997</v>
      </c>
      <c r="M28" s="11">
        <f t="shared" si="8"/>
        <v>499958.53999999992</v>
      </c>
      <c r="N28" s="15">
        <f>SUM(N15:N27)</f>
        <v>766686.3899999999</v>
      </c>
      <c r="O28" s="15">
        <f>SUM(O15:O27)</f>
        <v>1319832.1045419998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E32C-4C32-493A-A912-B90648FD3365}">
  <dimension ref="A1:Q29"/>
  <sheetViews>
    <sheetView workbookViewId="0">
      <selection activeCell="R13" sqref="R13"/>
    </sheetView>
  </sheetViews>
  <sheetFormatPr defaultRowHeight="15" x14ac:dyDescent="0.25"/>
  <cols>
    <col min="1" max="1" width="16.140625" customWidth="1"/>
    <col min="2" max="2" width="4.85546875" bestFit="1" customWidth="1"/>
    <col min="3" max="3" width="16.7109375" bestFit="1" customWidth="1"/>
    <col min="4" max="4" width="15.5703125" bestFit="1" customWidth="1"/>
    <col min="5" max="5" width="15" bestFit="1" customWidth="1"/>
    <col min="6" max="6" width="16.42578125" bestFit="1" customWidth="1"/>
    <col min="7" max="7" width="4.7109375" bestFit="1" customWidth="1"/>
    <col min="8" max="8" width="13.42578125" bestFit="1" customWidth="1"/>
    <col min="9" max="9" width="10.28515625" bestFit="1" customWidth="1"/>
    <col min="10" max="11" width="11.28515625" bestFit="1" customWidth="1"/>
    <col min="12" max="12" width="11.85546875" bestFit="1" customWidth="1"/>
    <col min="13" max="13" width="11.28515625" bestFit="1" customWidth="1"/>
    <col min="14" max="14" width="11.85546875" bestFit="1" customWidth="1"/>
    <col min="15" max="15" width="11.28515625" bestFit="1" customWidth="1"/>
    <col min="16" max="16" width="13.42578125" bestFit="1" customWidth="1"/>
    <col min="17" max="17" width="21.28515625" customWidth="1"/>
  </cols>
  <sheetData>
    <row r="1" spans="1:17" ht="20.25" x14ac:dyDescent="0.3">
      <c r="A1" s="12" t="s">
        <v>46</v>
      </c>
      <c r="B1" s="2"/>
      <c r="C1" s="2"/>
      <c r="D1" s="2"/>
      <c r="E1" s="2"/>
      <c r="F1" s="2"/>
      <c r="G1" s="2" t="s">
        <v>49</v>
      </c>
      <c r="H1" s="8" t="s">
        <v>28</v>
      </c>
      <c r="I1" s="2"/>
      <c r="J1" s="20" t="s">
        <v>31</v>
      </c>
      <c r="K1" s="20"/>
      <c r="L1" s="20"/>
      <c r="M1" s="20"/>
      <c r="N1" s="20"/>
      <c r="O1" s="2"/>
      <c r="P1" s="2"/>
    </row>
    <row r="2" spans="1:17" x14ac:dyDescent="0.25">
      <c r="A2" s="13" t="s">
        <v>47</v>
      </c>
      <c r="B2" s="2"/>
      <c r="C2" s="2"/>
      <c r="D2" s="2"/>
      <c r="F2" s="2"/>
      <c r="G2" s="2" t="s">
        <v>49</v>
      </c>
      <c r="H2" s="7" t="s">
        <v>29</v>
      </c>
      <c r="I2" s="2"/>
      <c r="J2" s="2"/>
      <c r="K2" s="2"/>
      <c r="L2" s="2"/>
      <c r="M2" s="2"/>
      <c r="N2" s="2"/>
      <c r="O2" s="2"/>
      <c r="P2" s="2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x14ac:dyDescent="0.25">
      <c r="A4" s="2"/>
      <c r="B4" s="2"/>
      <c r="C4" s="13" t="s">
        <v>27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x14ac:dyDescent="0.25">
      <c r="A5" s="2" t="s">
        <v>32</v>
      </c>
      <c r="B5" s="2"/>
      <c r="C5" s="21">
        <f>(C10-'LV-Historical 2021'!C10)/'LV-Historical 2021'!C10</f>
        <v>0</v>
      </c>
      <c r="D5" s="21">
        <f>(D10-'LV-Historical 2021'!D10)/'LV-Historical 2021'!D10</f>
        <v>-1</v>
      </c>
      <c r="E5" s="21">
        <f>(E10-'LV-Historical 2021'!E10)/'LV-Historical 2021'!E10</f>
        <v>0</v>
      </c>
      <c r="F5" s="21">
        <f>(F10-'LV-Historical 2021'!F10)/'LV-Historical 2021'!F10</f>
        <v>0</v>
      </c>
      <c r="G5" s="21"/>
      <c r="H5" s="21">
        <f>(H10-'LV-Historical 2021'!H10)/'LV-Historical 2021'!H10</f>
        <v>5.1875622061296665E-2</v>
      </c>
      <c r="I5" s="22"/>
      <c r="J5" s="21">
        <f>(J10-'LV-Historical 2021'!J10)/'LV-Historical 2021'!J10</f>
        <v>1.3016615679923252E-2</v>
      </c>
      <c r="K5" s="22"/>
      <c r="L5" s="21">
        <f>(L10-'LV-Historical 2021'!L10)/'LV-Historical 2021'!L10</f>
        <v>-1</v>
      </c>
      <c r="M5" s="22"/>
      <c r="N5" s="21">
        <f>(N10-'LV-Historical 2021'!N10)/'LV-Historical 2021'!N10</f>
        <v>-1</v>
      </c>
      <c r="O5" s="22"/>
      <c r="P5" s="21">
        <f>(P10-'LV-Historical 2021'!N10)/'LV-Historical 2021'!N10</f>
        <v>5.6928594717965395E-2</v>
      </c>
      <c r="Q5" t="s">
        <v>41</v>
      </c>
    </row>
    <row r="6" spans="1:17" x14ac:dyDescent="0.25">
      <c r="A6" s="1"/>
      <c r="B6" s="1"/>
      <c r="C6" s="1" t="s">
        <v>12</v>
      </c>
      <c r="D6" s="1" t="s">
        <v>12</v>
      </c>
      <c r="E6" s="1" t="s">
        <v>13</v>
      </c>
      <c r="F6" s="1" t="s">
        <v>13</v>
      </c>
      <c r="G6" s="1"/>
      <c r="H6" s="1" t="s">
        <v>14</v>
      </c>
      <c r="I6" s="1"/>
      <c r="J6" s="1" t="s">
        <v>15</v>
      </c>
      <c r="K6" s="1"/>
      <c r="L6" s="1" t="s">
        <v>16</v>
      </c>
      <c r="M6" s="1"/>
      <c r="N6" s="1"/>
      <c r="O6" s="1"/>
      <c r="P6" s="1" t="s">
        <v>17</v>
      </c>
      <c r="Q6" s="1" t="s">
        <v>30</v>
      </c>
    </row>
    <row r="7" spans="1:17" x14ac:dyDescent="0.25">
      <c r="A7" s="1"/>
      <c r="B7" s="1"/>
      <c r="C7" s="1" t="s">
        <v>18</v>
      </c>
      <c r="D7" s="1" t="s">
        <v>18</v>
      </c>
      <c r="E7" s="1" t="s">
        <v>19</v>
      </c>
      <c r="F7" s="1" t="s">
        <v>20</v>
      </c>
      <c r="G7" s="1"/>
      <c r="H7" s="1" t="s">
        <v>21</v>
      </c>
      <c r="I7" s="1"/>
      <c r="J7" s="1"/>
      <c r="K7" s="1"/>
      <c r="L7" s="1" t="s">
        <v>22</v>
      </c>
      <c r="M7" s="1"/>
      <c r="N7" s="1"/>
      <c r="O7" s="1"/>
      <c r="P7" s="1"/>
    </row>
    <row r="8" spans="1:1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x14ac:dyDescent="0.25">
      <c r="A9" s="2" t="s">
        <v>23</v>
      </c>
      <c r="B9" s="2" t="s">
        <v>24</v>
      </c>
      <c r="C9" s="2">
        <v>0</v>
      </c>
      <c r="D9" s="2">
        <v>0</v>
      </c>
      <c r="E9" s="2">
        <v>1</v>
      </c>
      <c r="F9" s="2">
        <v>5</v>
      </c>
      <c r="G9" s="2"/>
      <c r="H9" s="2">
        <v>5</v>
      </c>
      <c r="I9" s="2"/>
      <c r="J9" s="2">
        <v>1</v>
      </c>
      <c r="K9" s="2"/>
      <c r="L9" s="2"/>
      <c r="M9" s="2"/>
      <c r="N9" s="2"/>
      <c r="O9" s="2"/>
      <c r="P9" s="2"/>
    </row>
    <row r="10" spans="1:17" x14ac:dyDescent="0.25">
      <c r="A10" s="2" t="s">
        <v>23</v>
      </c>
      <c r="B10" s="2" t="s">
        <v>25</v>
      </c>
      <c r="C10" s="3">
        <v>-15.7</v>
      </c>
      <c r="D10" s="2">
        <v>0</v>
      </c>
      <c r="E10" s="2">
        <v>5.3999999999999999E-2</v>
      </c>
      <c r="F10" s="2">
        <v>36.18</v>
      </c>
      <c r="G10" s="2"/>
      <c r="H10" s="2">
        <v>612.97</v>
      </c>
      <c r="I10" s="2"/>
      <c r="J10" s="2">
        <v>1.6888000000000001</v>
      </c>
      <c r="K10" s="2"/>
      <c r="L10" s="17">
        <v>0</v>
      </c>
      <c r="M10" s="2"/>
      <c r="N10" s="17">
        <v>0</v>
      </c>
      <c r="O10" s="2"/>
      <c r="P10" s="2">
        <v>1.6208</v>
      </c>
      <c r="Q10" t="s">
        <v>40</v>
      </c>
    </row>
    <row r="11" spans="1:17" x14ac:dyDescent="0.25">
      <c r="A11" s="2" t="s">
        <v>26</v>
      </c>
      <c r="B11" s="2" t="s">
        <v>24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25">
      <c r="A12" s="2" t="s">
        <v>26</v>
      </c>
      <c r="B12" s="2" t="s">
        <v>25</v>
      </c>
      <c r="C12" s="21"/>
      <c r="D12" s="21"/>
      <c r="E12" s="23"/>
      <c r="F12" s="21"/>
      <c r="G12" s="21"/>
      <c r="H12" s="21"/>
      <c r="I12" s="22"/>
      <c r="J12" s="21"/>
      <c r="K12" s="22"/>
      <c r="L12" s="21"/>
      <c r="M12" s="22"/>
      <c r="N12" s="21"/>
      <c r="O12" s="22"/>
      <c r="P12" s="21"/>
    </row>
    <row r="13" spans="1:1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x14ac:dyDescent="0.25">
      <c r="A15" s="2" t="s">
        <v>0</v>
      </c>
      <c r="B15" s="2"/>
      <c r="C15" s="7"/>
      <c r="D15" s="7"/>
      <c r="E15" s="14">
        <f t="shared" ref="E15:E20" si="0">+K15*$E$10</f>
        <v>2343.4396200000001</v>
      </c>
      <c r="F15" s="14">
        <f t="shared" ref="F15:F20" si="1">F$9*F$10</f>
        <v>180.9</v>
      </c>
      <c r="G15" s="8"/>
      <c r="H15" s="16">
        <f t="shared" ref="H15:H26" si="2">$H$10*$H$9</f>
        <v>3064.8500000000004</v>
      </c>
      <c r="I15" s="9">
        <v>2441.11</v>
      </c>
      <c r="J15" s="16">
        <f>ROUND($I15*J$10,2)</f>
        <v>4122.55</v>
      </c>
      <c r="K15" s="9">
        <v>43397.03</v>
      </c>
      <c r="L15" s="14">
        <f>ROUND(+K15*$L$10,2)</f>
        <v>0</v>
      </c>
      <c r="M15" s="9">
        <v>43397.03</v>
      </c>
      <c r="N15" s="14">
        <f>ROUND(+M15*$L$10,2)</f>
        <v>0</v>
      </c>
      <c r="O15" s="9">
        <f>+K15</f>
        <v>43397.03</v>
      </c>
      <c r="P15" s="16">
        <f>ROUND(+$O15*P$10,2)</f>
        <v>70337.91</v>
      </c>
      <c r="Q15" s="18">
        <f>P15+L15+J15+H15+F15+E15+D15+C15</f>
        <v>80049.649620000011</v>
      </c>
    </row>
    <row r="16" spans="1:17" x14ac:dyDescent="0.25">
      <c r="A16" s="2" t="s">
        <v>1</v>
      </c>
      <c r="B16" s="2"/>
      <c r="C16" s="7"/>
      <c r="D16" s="7"/>
      <c r="E16" s="14">
        <f t="shared" si="0"/>
        <v>2283.2334000000001</v>
      </c>
      <c r="F16" s="14">
        <f t="shared" si="1"/>
        <v>180.9</v>
      </c>
      <c r="G16" s="8"/>
      <c r="H16" s="16">
        <f t="shared" si="2"/>
        <v>3064.8500000000004</v>
      </c>
      <c r="I16" s="9">
        <v>2396.08</v>
      </c>
      <c r="J16" s="16">
        <f>ROUND($I16*J$10,2)</f>
        <v>4046.5</v>
      </c>
      <c r="K16" s="9">
        <v>42282.1</v>
      </c>
      <c r="L16" s="14">
        <f t="shared" ref="L16:L21" si="3">ROUND(+K16*$L$10,2)</f>
        <v>0</v>
      </c>
      <c r="M16" s="9">
        <v>42282.1</v>
      </c>
      <c r="N16" s="14">
        <f t="shared" ref="N16:N27" si="4">ROUND(+M16*$L$10,2)</f>
        <v>0</v>
      </c>
      <c r="O16" s="9">
        <f t="shared" ref="O16:O22" si="5">+K16</f>
        <v>42282.1</v>
      </c>
      <c r="P16" s="16">
        <f t="shared" ref="P16:P24" si="6">ROUND(+$O16*P$10,2)</f>
        <v>68530.83</v>
      </c>
      <c r="Q16" s="18">
        <f t="shared" ref="Q16:Q26" si="7">P16+L16+J16+H16+F16+E16+D16+C16</f>
        <v>78106.313399999999</v>
      </c>
    </row>
    <row r="17" spans="1:17" x14ac:dyDescent="0.25">
      <c r="A17" s="2" t="s">
        <v>2</v>
      </c>
      <c r="B17" s="2"/>
      <c r="C17" s="7"/>
      <c r="D17" s="7"/>
      <c r="E17" s="14">
        <f t="shared" si="0"/>
        <v>2116.6412399999999</v>
      </c>
      <c r="F17" s="14">
        <f t="shared" si="1"/>
        <v>180.9</v>
      </c>
      <c r="G17" s="8"/>
      <c r="H17" s="16">
        <f t="shared" si="2"/>
        <v>3064.8500000000004</v>
      </c>
      <c r="I17" s="9">
        <v>2225.86</v>
      </c>
      <c r="J17" s="16">
        <f>ROUND($I17*J$10,2)</f>
        <v>3759.03</v>
      </c>
      <c r="K17" s="9">
        <v>39197.06</v>
      </c>
      <c r="L17" s="14">
        <f t="shared" si="3"/>
        <v>0</v>
      </c>
      <c r="M17" s="9">
        <v>39197.06</v>
      </c>
      <c r="N17" s="14">
        <f t="shared" si="4"/>
        <v>0</v>
      </c>
      <c r="O17" s="9">
        <f t="shared" si="5"/>
        <v>39197.06</v>
      </c>
      <c r="P17" s="16">
        <f>ROUND(+$O17*P$10,2)</f>
        <v>63530.59</v>
      </c>
      <c r="Q17" s="18">
        <f t="shared" si="7"/>
        <v>72652.011239999993</v>
      </c>
    </row>
    <row r="18" spans="1:17" x14ac:dyDescent="0.25">
      <c r="A18" s="2" t="s">
        <v>3</v>
      </c>
      <c r="B18" s="2"/>
      <c r="C18" s="7"/>
      <c r="D18" s="7"/>
      <c r="E18" s="14">
        <f t="shared" si="0"/>
        <v>1934.9647199999999</v>
      </c>
      <c r="F18" s="14">
        <f t="shared" si="1"/>
        <v>180.9</v>
      </c>
      <c r="G18" s="8"/>
      <c r="H18" s="16">
        <f t="shared" si="2"/>
        <v>3064.8500000000004</v>
      </c>
      <c r="I18" s="9">
        <v>1991.97</v>
      </c>
      <c r="J18" s="16">
        <f t="shared" ref="J18:J26" si="8">ROUND($I18*J$10,2)</f>
        <v>3364.04</v>
      </c>
      <c r="K18" s="9">
        <v>35832.68</v>
      </c>
      <c r="L18" s="14">
        <f t="shared" si="3"/>
        <v>0</v>
      </c>
      <c r="M18" s="9">
        <v>35832.68</v>
      </c>
      <c r="N18" s="14">
        <f t="shared" si="4"/>
        <v>0</v>
      </c>
      <c r="O18" s="9">
        <f t="shared" si="5"/>
        <v>35832.68</v>
      </c>
      <c r="P18" s="16">
        <f t="shared" si="6"/>
        <v>58077.61</v>
      </c>
      <c r="Q18" s="18">
        <f t="shared" si="7"/>
        <v>66622.364719999998</v>
      </c>
    </row>
    <row r="19" spans="1:17" x14ac:dyDescent="0.25">
      <c r="A19" s="2" t="s">
        <v>4</v>
      </c>
      <c r="B19" s="2"/>
      <c r="C19" s="7"/>
      <c r="D19" s="7"/>
      <c r="E19" s="14">
        <f t="shared" si="0"/>
        <v>2532.95748</v>
      </c>
      <c r="F19" s="14">
        <f t="shared" si="1"/>
        <v>180.9</v>
      </c>
      <c r="G19" s="8"/>
      <c r="H19" s="16">
        <f t="shared" si="2"/>
        <v>3064.8500000000004</v>
      </c>
      <c r="I19" s="9">
        <v>2181.71</v>
      </c>
      <c r="J19" s="16">
        <f t="shared" si="8"/>
        <v>3684.47</v>
      </c>
      <c r="K19" s="10">
        <v>46906.62</v>
      </c>
      <c r="L19" s="14">
        <f t="shared" si="3"/>
        <v>0</v>
      </c>
      <c r="M19" s="10">
        <v>46906.62</v>
      </c>
      <c r="N19" s="14">
        <f t="shared" si="4"/>
        <v>0</v>
      </c>
      <c r="O19" s="9">
        <f t="shared" si="5"/>
        <v>46906.62</v>
      </c>
      <c r="P19" s="16">
        <f>ROUND(+$O19*P$10,2)</f>
        <v>76026.25</v>
      </c>
      <c r="Q19" s="18">
        <f t="shared" si="7"/>
        <v>85489.427479999998</v>
      </c>
    </row>
    <row r="20" spans="1:17" x14ac:dyDescent="0.25">
      <c r="A20" s="2" t="s">
        <v>5</v>
      </c>
      <c r="B20" s="2"/>
      <c r="C20" s="7"/>
      <c r="D20" s="7"/>
      <c r="E20" s="14">
        <f t="shared" si="0"/>
        <v>2645.2596600000002</v>
      </c>
      <c r="F20" s="14">
        <f t="shared" si="1"/>
        <v>180.9</v>
      </c>
      <c r="G20" s="8"/>
      <c r="H20" s="16">
        <f t="shared" si="2"/>
        <v>3064.8500000000004</v>
      </c>
      <c r="I20" s="9">
        <v>2395.15</v>
      </c>
      <c r="J20" s="16">
        <f t="shared" si="8"/>
        <v>4044.93</v>
      </c>
      <c r="K20" s="9">
        <v>48986.29</v>
      </c>
      <c r="L20" s="14">
        <f t="shared" si="3"/>
        <v>0</v>
      </c>
      <c r="M20" s="9">
        <v>48986.29</v>
      </c>
      <c r="N20" s="14">
        <f t="shared" si="4"/>
        <v>0</v>
      </c>
      <c r="O20" s="9">
        <f t="shared" si="5"/>
        <v>48986.29</v>
      </c>
      <c r="P20" s="16">
        <f t="shared" si="6"/>
        <v>79396.98</v>
      </c>
      <c r="Q20" s="18">
        <f t="shared" si="7"/>
        <v>89332.919659999985</v>
      </c>
    </row>
    <row r="21" spans="1:17" x14ac:dyDescent="0.25">
      <c r="A21" s="2" t="s">
        <v>6</v>
      </c>
      <c r="B21" s="2"/>
      <c r="C21" s="7"/>
      <c r="D21" s="7"/>
      <c r="E21" s="14">
        <f t="shared" ref="E21:E27" si="9">+K21*$E$10</f>
        <v>2610.6305400000001</v>
      </c>
      <c r="F21" s="14">
        <f>F$9*F$10</f>
        <v>180.9</v>
      </c>
      <c r="G21" s="8"/>
      <c r="H21" s="16">
        <f t="shared" si="2"/>
        <v>3064.8500000000004</v>
      </c>
      <c r="I21" s="9">
        <v>2504.27</v>
      </c>
      <c r="J21" s="16">
        <f t="shared" si="8"/>
        <v>4229.21</v>
      </c>
      <c r="K21" s="9">
        <v>48345.01</v>
      </c>
      <c r="L21" s="14">
        <f t="shared" si="3"/>
        <v>0</v>
      </c>
      <c r="M21" s="9">
        <v>48345.01</v>
      </c>
      <c r="N21" s="14">
        <f t="shared" si="4"/>
        <v>0</v>
      </c>
      <c r="O21" s="9">
        <f t="shared" si="5"/>
        <v>48345.01</v>
      </c>
      <c r="P21" s="16">
        <f>ROUND(+$O21*P$10,2)-0.02</f>
        <v>78357.569999999992</v>
      </c>
      <c r="Q21" s="18">
        <f t="shared" si="7"/>
        <v>88443.160539999997</v>
      </c>
    </row>
    <row r="22" spans="1:17" x14ac:dyDescent="0.25">
      <c r="A22" s="2" t="s">
        <v>7</v>
      </c>
      <c r="B22" s="2"/>
      <c r="C22" s="7"/>
      <c r="D22" s="7"/>
      <c r="E22" s="14">
        <f t="shared" si="9"/>
        <v>2557.4777999999997</v>
      </c>
      <c r="F22" s="14">
        <f t="shared" ref="F22:F26" si="10">F$9*F$10</f>
        <v>180.9</v>
      </c>
      <c r="G22" s="8"/>
      <c r="H22" s="16">
        <f t="shared" si="2"/>
        <v>3064.8500000000004</v>
      </c>
      <c r="I22" s="9">
        <v>2648.64</v>
      </c>
      <c r="J22" s="16">
        <f t="shared" si="8"/>
        <v>4473.0200000000004</v>
      </c>
      <c r="K22" s="9">
        <v>47360.7</v>
      </c>
      <c r="L22" s="14">
        <f t="shared" ref="L22:L27" si="11">ROUND(+K22*$L$10,2)</f>
        <v>0</v>
      </c>
      <c r="M22" s="9">
        <v>47360.7</v>
      </c>
      <c r="N22" s="14">
        <f t="shared" si="4"/>
        <v>0</v>
      </c>
      <c r="O22" s="9">
        <f t="shared" si="5"/>
        <v>47360.7</v>
      </c>
      <c r="P22" s="16">
        <f>ROUND(+$O22*P$10,2)-0.03</f>
        <v>76762.19</v>
      </c>
      <c r="Q22" s="18">
        <f t="shared" si="7"/>
        <v>87038.4378</v>
      </c>
    </row>
    <row r="23" spans="1:17" x14ac:dyDescent="0.25">
      <c r="A23" s="2" t="s">
        <v>8</v>
      </c>
      <c r="B23" s="2"/>
      <c r="C23" s="7"/>
      <c r="D23" s="7"/>
      <c r="E23" s="14">
        <f t="shared" si="9"/>
        <v>2257.7562000000003</v>
      </c>
      <c r="F23" s="14">
        <f t="shared" si="10"/>
        <v>180.9</v>
      </c>
      <c r="G23" s="8"/>
      <c r="H23" s="16">
        <f t="shared" si="2"/>
        <v>3064.8500000000004</v>
      </c>
      <c r="I23" s="9">
        <v>2035.61</v>
      </c>
      <c r="J23" s="16">
        <f t="shared" si="8"/>
        <v>3437.74</v>
      </c>
      <c r="K23" s="9">
        <v>41810.300000000003</v>
      </c>
      <c r="L23" s="14">
        <f t="shared" si="11"/>
        <v>0</v>
      </c>
      <c r="M23" s="9">
        <v>41810.300000000003</v>
      </c>
      <c r="N23" s="14">
        <f t="shared" si="4"/>
        <v>0</v>
      </c>
      <c r="O23" s="9">
        <f t="shared" ref="O23:O24" si="12">+K23</f>
        <v>41810.300000000003</v>
      </c>
      <c r="P23" s="16">
        <f t="shared" si="6"/>
        <v>67766.13</v>
      </c>
      <c r="Q23" s="18">
        <f t="shared" si="7"/>
        <v>76707.376200000013</v>
      </c>
    </row>
    <row r="24" spans="1:17" x14ac:dyDescent="0.25">
      <c r="A24" s="2" t="s">
        <v>9</v>
      </c>
      <c r="B24" s="2"/>
      <c r="C24" s="7"/>
      <c r="D24" s="7"/>
      <c r="E24" s="14">
        <f t="shared" si="9"/>
        <v>1939.22154</v>
      </c>
      <c r="F24" s="14">
        <f t="shared" si="10"/>
        <v>180.9</v>
      </c>
      <c r="G24" s="8"/>
      <c r="H24" s="16">
        <f t="shared" si="2"/>
        <v>3064.8500000000004</v>
      </c>
      <c r="I24" s="9">
        <v>1818.4</v>
      </c>
      <c r="J24" s="16">
        <f t="shared" si="8"/>
        <v>3070.91</v>
      </c>
      <c r="K24" s="9">
        <v>35911.51</v>
      </c>
      <c r="L24" s="14">
        <f t="shared" si="11"/>
        <v>0</v>
      </c>
      <c r="M24" s="9">
        <v>35911.51</v>
      </c>
      <c r="N24" s="14">
        <f t="shared" si="4"/>
        <v>0</v>
      </c>
      <c r="O24" s="9">
        <f t="shared" si="12"/>
        <v>35911.51</v>
      </c>
      <c r="P24" s="16">
        <f t="shared" si="6"/>
        <v>58205.38</v>
      </c>
      <c r="Q24" s="18">
        <f t="shared" si="7"/>
        <v>66461.261539999992</v>
      </c>
    </row>
    <row r="25" spans="1:17" x14ac:dyDescent="0.25">
      <c r="A25" s="2" t="s">
        <v>10</v>
      </c>
      <c r="B25" s="2"/>
      <c r="C25" s="7"/>
      <c r="D25" s="7"/>
      <c r="E25" s="14">
        <f t="shared" si="9"/>
        <v>2190.4381800000001</v>
      </c>
      <c r="F25" s="14">
        <f t="shared" si="10"/>
        <v>180.9</v>
      </c>
      <c r="G25" s="8"/>
      <c r="H25" s="16">
        <f t="shared" si="2"/>
        <v>3064.8500000000004</v>
      </c>
      <c r="I25" s="9">
        <v>2378.9</v>
      </c>
      <c r="J25" s="16">
        <f t="shared" si="8"/>
        <v>4017.49</v>
      </c>
      <c r="K25" s="9">
        <v>40563.67</v>
      </c>
      <c r="L25" s="14">
        <f t="shared" si="11"/>
        <v>0</v>
      </c>
      <c r="M25" s="9">
        <v>40563.67</v>
      </c>
      <c r="N25" s="14">
        <f t="shared" si="4"/>
        <v>0</v>
      </c>
      <c r="O25" s="9">
        <f>+K25</f>
        <v>40563.67</v>
      </c>
      <c r="P25" s="16">
        <f>ROUND(+$O25*P$10,2)</f>
        <v>65745.600000000006</v>
      </c>
      <c r="Q25" s="18">
        <f t="shared" si="7"/>
        <v>75199.278180000008</v>
      </c>
    </row>
    <row r="26" spans="1:17" x14ac:dyDescent="0.25">
      <c r="A26" s="2" t="s">
        <v>11</v>
      </c>
      <c r="B26" s="2"/>
      <c r="C26" s="7"/>
      <c r="D26" s="7"/>
      <c r="E26" s="14">
        <f t="shared" si="9"/>
        <v>2235.5006400000002</v>
      </c>
      <c r="F26" s="14">
        <f t="shared" si="10"/>
        <v>180.9</v>
      </c>
      <c r="G26" s="8"/>
      <c r="H26" s="16">
        <f t="shared" si="2"/>
        <v>3064.8500000000004</v>
      </c>
      <c r="I26" s="19">
        <v>2320.9499999999998</v>
      </c>
      <c r="J26" s="16">
        <f t="shared" si="8"/>
        <v>3919.62</v>
      </c>
      <c r="K26" s="19">
        <v>41398.160000000003</v>
      </c>
      <c r="L26" s="14">
        <f t="shared" si="11"/>
        <v>0</v>
      </c>
      <c r="M26" s="19">
        <v>41398.160000000003</v>
      </c>
      <c r="N26" s="14">
        <f t="shared" si="4"/>
        <v>0</v>
      </c>
      <c r="O26" s="19">
        <f>+K26</f>
        <v>41398.160000000003</v>
      </c>
      <c r="P26" s="16">
        <f>ROUND(+$O26*P$10,2)</f>
        <v>67098.14</v>
      </c>
      <c r="Q26" s="18">
        <f t="shared" si="7"/>
        <v>76499.010639999993</v>
      </c>
    </row>
    <row r="27" spans="1:17" x14ac:dyDescent="0.25">
      <c r="A27" s="2"/>
      <c r="B27" s="2"/>
      <c r="C27" s="2"/>
      <c r="D27" s="2"/>
      <c r="E27" s="15">
        <f t="shared" si="9"/>
        <v>0</v>
      </c>
      <c r="F27" s="15"/>
      <c r="G27" s="2"/>
      <c r="H27" s="15"/>
      <c r="I27" s="2"/>
      <c r="J27" s="15"/>
      <c r="K27" s="2"/>
      <c r="L27" s="15">
        <f t="shared" si="11"/>
        <v>0</v>
      </c>
      <c r="M27" s="2"/>
      <c r="N27" s="15">
        <f t="shared" si="4"/>
        <v>0</v>
      </c>
      <c r="O27" s="2">
        <f>+K27</f>
        <v>0</v>
      </c>
      <c r="P27" s="15">
        <f>ROUND(+$O27*P$10,2)</f>
        <v>0</v>
      </c>
    </row>
    <row r="28" spans="1:17" x14ac:dyDescent="0.25">
      <c r="A28" s="2"/>
      <c r="B28" s="2"/>
      <c r="C28" s="11">
        <f>SUM(C15:C27)</f>
        <v>0</v>
      </c>
      <c r="D28" s="11">
        <f t="shared" ref="D28:O28" si="13">SUM(D15:D27)</f>
        <v>0</v>
      </c>
      <c r="E28" s="15">
        <f t="shared" si="13"/>
        <v>27647.52102</v>
      </c>
      <c r="F28" s="15">
        <f t="shared" si="13"/>
        <v>2170.8000000000006</v>
      </c>
      <c r="G28" s="11">
        <f t="shared" si="13"/>
        <v>0</v>
      </c>
      <c r="H28" s="15">
        <f t="shared" si="13"/>
        <v>36778.199999999997</v>
      </c>
      <c r="I28" s="11">
        <f t="shared" si="13"/>
        <v>27338.650000000005</v>
      </c>
      <c r="J28" s="15">
        <f t="shared" si="13"/>
        <v>46169.509999999995</v>
      </c>
      <c r="K28" s="11">
        <f t="shared" si="13"/>
        <v>511991.13</v>
      </c>
      <c r="L28" s="15">
        <f t="shared" si="13"/>
        <v>0</v>
      </c>
      <c r="M28" s="11">
        <f t="shared" ref="M28:N28" si="14">SUM(M15:M27)</f>
        <v>511991.13</v>
      </c>
      <c r="N28" s="15">
        <f t="shared" si="14"/>
        <v>0</v>
      </c>
      <c r="O28" s="11">
        <f t="shared" si="13"/>
        <v>511991.13</v>
      </c>
      <c r="P28" s="15">
        <f>SUM(P15:P27)</f>
        <v>829835.17999999993</v>
      </c>
      <c r="Q28" s="15">
        <f>SUM(Q15:Q27)</f>
        <v>942601.21101999993</v>
      </c>
    </row>
    <row r="29" spans="1:17" x14ac:dyDescent="0.25">
      <c r="J29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F863-1DB3-4764-B4E7-3C7DEDFB31D2}">
  <dimension ref="A1:R29"/>
  <sheetViews>
    <sheetView tabSelected="1" workbookViewId="0">
      <selection activeCell="E31" sqref="E31"/>
    </sheetView>
  </sheetViews>
  <sheetFormatPr defaultRowHeight="15" x14ac:dyDescent="0.25"/>
  <cols>
    <col min="1" max="1" width="16.140625" customWidth="1"/>
    <col min="2" max="2" width="4.85546875" bestFit="1" customWidth="1"/>
    <col min="3" max="3" width="16.7109375" bestFit="1" customWidth="1"/>
    <col min="4" max="4" width="15.5703125" bestFit="1" customWidth="1"/>
    <col min="5" max="5" width="15" bestFit="1" customWidth="1"/>
    <col min="6" max="6" width="16.42578125" bestFit="1" customWidth="1"/>
    <col min="7" max="7" width="4.7109375" bestFit="1" customWidth="1"/>
    <col min="8" max="8" width="13.42578125" bestFit="1" customWidth="1"/>
    <col min="9" max="9" width="10.28515625" bestFit="1" customWidth="1"/>
    <col min="10" max="11" width="11.28515625" bestFit="1" customWidth="1"/>
    <col min="12" max="12" width="22.28515625" customWidth="1"/>
    <col min="13" max="13" width="11.28515625" bestFit="1" customWidth="1"/>
    <col min="14" max="14" width="11.85546875" bestFit="1" customWidth="1"/>
    <col min="15" max="15" width="11.28515625" bestFit="1" customWidth="1"/>
    <col min="16" max="16" width="13.42578125" bestFit="1" customWidth="1"/>
    <col min="17" max="17" width="18.7109375" customWidth="1"/>
  </cols>
  <sheetData>
    <row r="1" spans="1:17" ht="20.25" x14ac:dyDescent="0.3">
      <c r="A1" s="12" t="s">
        <v>45</v>
      </c>
      <c r="B1" s="2"/>
      <c r="C1" s="2"/>
      <c r="D1" s="2"/>
      <c r="E1" s="2"/>
      <c r="F1" s="2"/>
      <c r="G1" s="2" t="s">
        <v>49</v>
      </c>
      <c r="H1" s="8" t="s">
        <v>28</v>
      </c>
      <c r="I1" s="2"/>
      <c r="J1" s="20" t="s">
        <v>31</v>
      </c>
      <c r="K1" s="20"/>
      <c r="L1" s="20"/>
      <c r="M1" s="2"/>
      <c r="N1" s="2"/>
      <c r="O1" s="2"/>
      <c r="P1" s="2"/>
    </row>
    <row r="2" spans="1:17" x14ac:dyDescent="0.25">
      <c r="A2" s="13" t="s">
        <v>48</v>
      </c>
      <c r="B2" s="2"/>
      <c r="C2" s="2"/>
      <c r="D2" s="2"/>
      <c r="E2" s="2"/>
      <c r="F2" s="2"/>
      <c r="G2" s="2" t="s">
        <v>49</v>
      </c>
      <c r="H2" s="7" t="s">
        <v>29</v>
      </c>
      <c r="I2" s="2"/>
      <c r="J2" s="35" t="s">
        <v>50</v>
      </c>
      <c r="K2" s="35"/>
      <c r="L2" s="35"/>
      <c r="M2" s="2"/>
      <c r="N2" s="2"/>
      <c r="O2" s="2"/>
      <c r="P2" s="2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x14ac:dyDescent="0.25">
      <c r="A4" s="2"/>
      <c r="B4" s="2"/>
      <c r="C4" s="13" t="s">
        <v>27</v>
      </c>
      <c r="D4" s="2"/>
      <c r="E4" s="25">
        <f>(E10-'LV-Current 2022'!E10)/'LV-Current 2022'!E10</f>
        <v>0</v>
      </c>
      <c r="F4" s="25">
        <f>(F10-'LV-Current 2022'!F10)/'LV-Current 2022'!F10</f>
        <v>0</v>
      </c>
      <c r="G4" s="25"/>
      <c r="H4" s="25">
        <f>(H10-'LV-Current 2022'!H10)/'LV-Current 2022'!H10</f>
        <v>0.34473138979069112</v>
      </c>
      <c r="I4" s="25"/>
      <c r="J4" s="25">
        <f>(J10-'LV-Current 2022'!J10)/'LV-Current 2022'!J10</f>
        <v>0.14258645191852196</v>
      </c>
      <c r="K4" s="25"/>
      <c r="L4" s="24"/>
      <c r="M4" s="25"/>
      <c r="N4" s="25"/>
      <c r="O4" s="25"/>
      <c r="P4" s="25">
        <f>(P10-'LV-Current 2022'!P10)/'LV-Current 2022'!P10</f>
        <v>-4.7260612043435339E-2</v>
      </c>
      <c r="Q4" s="1" t="s">
        <v>38</v>
      </c>
    </row>
    <row r="5" spans="1:17" x14ac:dyDescent="0.25">
      <c r="A5" s="2"/>
      <c r="B5" s="2"/>
      <c r="C5" s="2"/>
      <c r="D5" s="2"/>
      <c r="E5" s="1" t="s">
        <v>36</v>
      </c>
      <c r="F5" s="1" t="s">
        <v>36</v>
      </c>
      <c r="G5" s="2"/>
      <c r="H5" s="2"/>
      <c r="I5" s="2"/>
      <c r="J5" s="2"/>
      <c r="K5" s="2"/>
      <c r="L5" s="1" t="s">
        <v>37</v>
      </c>
      <c r="M5" s="1"/>
      <c r="N5" s="1" t="s">
        <v>37</v>
      </c>
      <c r="O5" s="2"/>
      <c r="P5" s="2"/>
      <c r="Q5" s="1"/>
    </row>
    <row r="6" spans="1:17" x14ac:dyDescent="0.25">
      <c r="A6" s="1"/>
      <c r="B6" s="1"/>
      <c r="C6" s="1" t="s">
        <v>12</v>
      </c>
      <c r="D6" s="1" t="s">
        <v>12</v>
      </c>
      <c r="E6" s="1" t="s">
        <v>13</v>
      </c>
      <c r="F6" s="1" t="s">
        <v>13</v>
      </c>
      <c r="G6" s="1"/>
      <c r="H6" s="1" t="s">
        <v>14</v>
      </c>
      <c r="I6" s="1"/>
      <c r="J6" s="1" t="s">
        <v>15</v>
      </c>
      <c r="K6" s="1"/>
      <c r="L6" s="1" t="s">
        <v>33</v>
      </c>
      <c r="M6" s="1"/>
      <c r="N6" s="1" t="s">
        <v>33</v>
      </c>
      <c r="O6" s="1"/>
      <c r="P6" s="1" t="s">
        <v>17</v>
      </c>
      <c r="Q6" s="1" t="s">
        <v>30</v>
      </c>
    </row>
    <row r="7" spans="1:17" x14ac:dyDescent="0.25">
      <c r="A7" s="1"/>
      <c r="B7" s="1"/>
      <c r="C7" s="1" t="s">
        <v>18</v>
      </c>
      <c r="D7" s="1" t="s">
        <v>18</v>
      </c>
      <c r="E7" s="1" t="s">
        <v>19</v>
      </c>
      <c r="F7" s="1" t="s">
        <v>20</v>
      </c>
      <c r="G7" s="1"/>
      <c r="H7" s="1" t="s">
        <v>21</v>
      </c>
      <c r="I7" s="1"/>
      <c r="J7" s="1"/>
      <c r="K7" s="1"/>
      <c r="L7" s="1" t="s">
        <v>34</v>
      </c>
      <c r="M7" s="1"/>
      <c r="N7" s="1" t="s">
        <v>35</v>
      </c>
      <c r="O7" s="1"/>
      <c r="P7" s="1"/>
      <c r="Q7" s="1"/>
    </row>
    <row r="8" spans="1:1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2" t="s">
        <v>23</v>
      </c>
      <c r="B9" s="2" t="s">
        <v>24</v>
      </c>
      <c r="C9" s="2">
        <v>0</v>
      </c>
      <c r="D9" s="2">
        <v>0</v>
      </c>
      <c r="E9" s="2">
        <v>1</v>
      </c>
      <c r="F9" s="2">
        <v>5</v>
      </c>
      <c r="G9" s="2"/>
      <c r="H9" s="2">
        <v>5</v>
      </c>
      <c r="I9" s="2"/>
      <c r="J9" s="2">
        <v>1</v>
      </c>
      <c r="K9" s="2"/>
      <c r="L9" s="2"/>
      <c r="M9" s="2"/>
      <c r="N9" s="2"/>
      <c r="O9" s="2"/>
      <c r="P9" s="2"/>
      <c r="Q9" s="1"/>
    </row>
    <row r="10" spans="1:17" x14ac:dyDescent="0.25">
      <c r="A10" s="2" t="s">
        <v>23</v>
      </c>
      <c r="B10" s="2" t="s">
        <v>25</v>
      </c>
      <c r="C10" s="26">
        <v>-15.7</v>
      </c>
      <c r="D10" s="27">
        <v>0</v>
      </c>
      <c r="E10" s="31">
        <v>5.3999999999999999E-2</v>
      </c>
      <c r="F10" s="32">
        <v>36.18</v>
      </c>
      <c r="G10" s="27"/>
      <c r="H10" s="32">
        <v>824.28</v>
      </c>
      <c r="I10" s="27"/>
      <c r="J10" s="33">
        <v>1.9296</v>
      </c>
      <c r="K10" s="27"/>
      <c r="L10" s="34">
        <v>-0.13400000000000001</v>
      </c>
      <c r="M10" s="28"/>
      <c r="N10" s="34">
        <v>-7.1999999999999998E-3</v>
      </c>
      <c r="O10" s="27"/>
      <c r="P10" s="33">
        <v>1.5442</v>
      </c>
      <c r="Q10" s="1" t="s">
        <v>42</v>
      </c>
    </row>
    <row r="11" spans="1:17" x14ac:dyDescent="0.25">
      <c r="A11" s="2" t="s">
        <v>26</v>
      </c>
      <c r="B11" s="2" t="s">
        <v>24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 t="s">
        <v>43</v>
      </c>
    </row>
    <row r="12" spans="1:17" x14ac:dyDescent="0.25">
      <c r="A12" s="2" t="s">
        <v>26</v>
      </c>
      <c r="B12" s="2" t="s">
        <v>25</v>
      </c>
      <c r="C12" s="3"/>
      <c r="D12" s="3"/>
      <c r="E12" s="3"/>
      <c r="F12" s="3"/>
      <c r="G12" s="3"/>
      <c r="H12" s="3"/>
      <c r="I12" s="5"/>
      <c r="J12" s="4"/>
      <c r="K12" s="5"/>
      <c r="L12" s="2"/>
      <c r="M12" s="6"/>
      <c r="N12" s="2"/>
      <c r="O12" s="6"/>
      <c r="P12" s="4"/>
      <c r="Q12" s="1" t="s">
        <v>44</v>
      </c>
    </row>
    <row r="13" spans="1:1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"/>
    </row>
    <row r="14" spans="1:1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x14ac:dyDescent="0.25">
      <c r="A15" s="2" t="s">
        <v>0</v>
      </c>
      <c r="B15" s="2"/>
      <c r="C15" s="7"/>
      <c r="D15" s="7"/>
      <c r="E15" s="14">
        <f t="shared" ref="E15:E20" si="0">+K15*$E$10</f>
        <v>2343.4396200000001</v>
      </c>
      <c r="F15" s="14">
        <f t="shared" ref="F15:F20" si="1">F$9*F$10</f>
        <v>180.9</v>
      </c>
      <c r="G15" s="8"/>
      <c r="H15" s="16">
        <f t="shared" ref="H15:H26" si="2">$H$10*$H$9</f>
        <v>4121.3999999999996</v>
      </c>
      <c r="I15" s="19">
        <v>2441.11</v>
      </c>
      <c r="J15" s="16">
        <f>ROUND($I15*J$10,2)</f>
        <v>4710.37</v>
      </c>
      <c r="K15" s="19">
        <v>43397.03</v>
      </c>
      <c r="L15" s="14">
        <f>ROUND(+K15*$L$10,2)</f>
        <v>-5815.2</v>
      </c>
      <c r="M15" s="19">
        <f>+K15</f>
        <v>43397.03</v>
      </c>
      <c r="N15" s="14">
        <f>ROUND(+M15*$N$10,2)</f>
        <v>-312.45999999999998</v>
      </c>
      <c r="O15" s="19">
        <f>+K15</f>
        <v>43397.03</v>
      </c>
      <c r="P15" s="16">
        <f>ROUND(+$O15*P$10,2)</f>
        <v>67013.69</v>
      </c>
      <c r="Q15" s="18">
        <f>P15+N15+J15+H15+F15+E15+D15+C15+L15</f>
        <v>72242.139619999987</v>
      </c>
    </row>
    <row r="16" spans="1:17" x14ac:dyDescent="0.25">
      <c r="A16" s="2" t="s">
        <v>1</v>
      </c>
      <c r="B16" s="2"/>
      <c r="C16" s="7"/>
      <c r="D16" s="7"/>
      <c r="E16" s="14">
        <f t="shared" si="0"/>
        <v>2283.2334000000001</v>
      </c>
      <c r="F16" s="14">
        <f t="shared" si="1"/>
        <v>180.9</v>
      </c>
      <c r="G16" s="8"/>
      <c r="H16" s="16">
        <f t="shared" si="2"/>
        <v>4121.3999999999996</v>
      </c>
      <c r="I16" s="19">
        <v>2396.08</v>
      </c>
      <c r="J16" s="16">
        <f>ROUND($I16*J$10,2)</f>
        <v>4623.4799999999996</v>
      </c>
      <c r="K16" s="19">
        <v>42282.1</v>
      </c>
      <c r="L16" s="14">
        <f t="shared" ref="L16:L26" si="3">ROUND(+K16*$L$10,2)</f>
        <v>-5665.8</v>
      </c>
      <c r="M16" s="19">
        <f t="shared" ref="M16:M25" si="4">+K16</f>
        <v>42282.1</v>
      </c>
      <c r="N16" s="14">
        <f t="shared" ref="N16:N26" si="5">ROUND(+M16*$N$10,2)</f>
        <v>-304.43</v>
      </c>
      <c r="O16" s="19">
        <f t="shared" ref="O16:O24" si="6">+K16</f>
        <v>42282.1</v>
      </c>
      <c r="P16" s="16">
        <f t="shared" ref="P16:P24" si="7">ROUND(+$O16*P$10,2)</f>
        <v>65292.02</v>
      </c>
      <c r="Q16" s="18">
        <f t="shared" ref="Q16:Q26" si="8">P16+N16+J16+H16+F16+E16+D16+C16+L16</f>
        <v>70530.803399999975</v>
      </c>
    </row>
    <row r="17" spans="1:18" x14ac:dyDescent="0.25">
      <c r="A17" s="2" t="s">
        <v>2</v>
      </c>
      <c r="B17" s="2"/>
      <c r="C17" s="7"/>
      <c r="D17" s="7"/>
      <c r="E17" s="14">
        <f t="shared" si="0"/>
        <v>2116.6412399999999</v>
      </c>
      <c r="F17" s="14">
        <f t="shared" si="1"/>
        <v>180.9</v>
      </c>
      <c r="G17" s="8"/>
      <c r="H17" s="16">
        <f t="shared" si="2"/>
        <v>4121.3999999999996</v>
      </c>
      <c r="I17" s="19">
        <v>2225.86</v>
      </c>
      <c r="J17" s="16">
        <f>ROUND($I17*J$10,2)</f>
        <v>4295.0200000000004</v>
      </c>
      <c r="K17" s="19">
        <v>39197.06</v>
      </c>
      <c r="L17" s="14">
        <f t="shared" si="3"/>
        <v>-5252.41</v>
      </c>
      <c r="M17" s="19">
        <f t="shared" si="4"/>
        <v>39197.06</v>
      </c>
      <c r="N17" s="14">
        <f t="shared" si="5"/>
        <v>-282.22000000000003</v>
      </c>
      <c r="O17" s="19">
        <f t="shared" si="6"/>
        <v>39197.06</v>
      </c>
      <c r="P17" s="16">
        <f>ROUND(+$O17*P$10,2)</f>
        <v>60528.1</v>
      </c>
      <c r="Q17" s="18">
        <f t="shared" si="8"/>
        <v>65707.431239999976</v>
      </c>
    </row>
    <row r="18" spans="1:18" x14ac:dyDescent="0.25">
      <c r="A18" s="2" t="s">
        <v>3</v>
      </c>
      <c r="B18" s="2"/>
      <c r="C18" s="7"/>
      <c r="D18" s="7"/>
      <c r="E18" s="14">
        <f t="shared" si="0"/>
        <v>1934.9647199999999</v>
      </c>
      <c r="F18" s="14">
        <f t="shared" si="1"/>
        <v>180.9</v>
      </c>
      <c r="G18" s="8"/>
      <c r="H18" s="16">
        <f t="shared" si="2"/>
        <v>4121.3999999999996</v>
      </c>
      <c r="I18" s="19">
        <v>1991.97</v>
      </c>
      <c r="J18" s="16">
        <f t="shared" ref="J18:J26" si="9">ROUND($I18*J$10,2)</f>
        <v>3843.71</v>
      </c>
      <c r="K18" s="19">
        <v>35832.68</v>
      </c>
      <c r="L18" s="14">
        <f t="shared" si="3"/>
        <v>-4801.58</v>
      </c>
      <c r="M18" s="19">
        <f t="shared" si="4"/>
        <v>35832.68</v>
      </c>
      <c r="N18" s="14">
        <f t="shared" si="5"/>
        <v>-258</v>
      </c>
      <c r="O18" s="19">
        <f t="shared" si="6"/>
        <v>35832.68</v>
      </c>
      <c r="P18" s="16">
        <f t="shared" si="7"/>
        <v>55332.82</v>
      </c>
      <c r="Q18" s="18">
        <f t="shared" si="8"/>
        <v>60354.214720000004</v>
      </c>
    </row>
    <row r="19" spans="1:18" x14ac:dyDescent="0.25">
      <c r="A19" s="2" t="s">
        <v>4</v>
      </c>
      <c r="B19" s="2"/>
      <c r="C19" s="7"/>
      <c r="D19" s="7"/>
      <c r="E19" s="14">
        <f t="shared" si="0"/>
        <v>2532.95748</v>
      </c>
      <c r="F19" s="14">
        <f t="shared" si="1"/>
        <v>180.9</v>
      </c>
      <c r="G19" s="8"/>
      <c r="H19" s="16">
        <f t="shared" si="2"/>
        <v>4121.3999999999996</v>
      </c>
      <c r="I19" s="19">
        <v>2181.71</v>
      </c>
      <c r="J19" s="16">
        <f t="shared" si="9"/>
        <v>4209.83</v>
      </c>
      <c r="K19" s="29">
        <v>46906.62</v>
      </c>
      <c r="L19" s="14">
        <f t="shared" si="3"/>
        <v>-6285.49</v>
      </c>
      <c r="M19" s="19">
        <f t="shared" si="4"/>
        <v>46906.62</v>
      </c>
      <c r="N19" s="14">
        <f t="shared" si="5"/>
        <v>-337.73</v>
      </c>
      <c r="O19" s="19">
        <f t="shared" si="6"/>
        <v>46906.62</v>
      </c>
      <c r="P19" s="16">
        <f>ROUND(+$O19*P$10,2)</f>
        <v>72433.2</v>
      </c>
      <c r="Q19" s="18">
        <f t="shared" si="8"/>
        <v>76855.067479999983</v>
      </c>
    </row>
    <row r="20" spans="1:18" x14ac:dyDescent="0.25">
      <c r="A20" s="2" t="s">
        <v>5</v>
      </c>
      <c r="B20" s="2"/>
      <c r="C20" s="7"/>
      <c r="D20" s="7"/>
      <c r="E20" s="14">
        <f t="shared" si="0"/>
        <v>2645.2596600000002</v>
      </c>
      <c r="F20" s="14">
        <f t="shared" si="1"/>
        <v>180.9</v>
      </c>
      <c r="G20" s="8"/>
      <c r="H20" s="16">
        <f t="shared" si="2"/>
        <v>4121.3999999999996</v>
      </c>
      <c r="I20" s="19">
        <v>2395.15</v>
      </c>
      <c r="J20" s="16">
        <f t="shared" si="9"/>
        <v>4621.68</v>
      </c>
      <c r="K20" s="19">
        <v>48986.29</v>
      </c>
      <c r="L20" s="14">
        <f t="shared" si="3"/>
        <v>-6564.16</v>
      </c>
      <c r="M20" s="19">
        <f t="shared" si="4"/>
        <v>48986.29</v>
      </c>
      <c r="N20" s="14">
        <f t="shared" si="5"/>
        <v>-352.7</v>
      </c>
      <c r="O20" s="19">
        <f t="shared" si="6"/>
        <v>48986.29</v>
      </c>
      <c r="P20" s="16">
        <f t="shared" si="7"/>
        <v>75644.63</v>
      </c>
      <c r="Q20" s="18">
        <f t="shared" si="8"/>
        <v>80297.009659999996</v>
      </c>
    </row>
    <row r="21" spans="1:18" x14ac:dyDescent="0.25">
      <c r="A21" s="2" t="s">
        <v>6</v>
      </c>
      <c r="B21" s="2"/>
      <c r="C21" s="7"/>
      <c r="D21" s="7"/>
      <c r="E21" s="14"/>
      <c r="F21" s="14"/>
      <c r="G21" s="8"/>
      <c r="H21" s="16">
        <f t="shared" si="2"/>
        <v>4121.3999999999996</v>
      </c>
      <c r="I21" s="19">
        <v>2504.27</v>
      </c>
      <c r="J21" s="16">
        <f t="shared" si="9"/>
        <v>4832.24</v>
      </c>
      <c r="K21" s="19">
        <v>48345.01</v>
      </c>
      <c r="L21" s="14">
        <f t="shared" si="3"/>
        <v>-6478.23</v>
      </c>
      <c r="M21" s="19">
        <f t="shared" si="4"/>
        <v>48345.01</v>
      </c>
      <c r="N21" s="14">
        <f t="shared" si="5"/>
        <v>-348.08</v>
      </c>
      <c r="O21" s="19">
        <f t="shared" si="6"/>
        <v>48345.01</v>
      </c>
      <c r="P21" s="16">
        <f>ROUND(+$O21*P$10,2)-0.02</f>
        <v>74654.34</v>
      </c>
      <c r="Q21" s="18">
        <f t="shared" si="8"/>
        <v>76781.67</v>
      </c>
    </row>
    <row r="22" spans="1:18" x14ac:dyDescent="0.25">
      <c r="A22" s="2" t="s">
        <v>7</v>
      </c>
      <c r="B22" s="2"/>
      <c r="C22" s="7"/>
      <c r="D22" s="7"/>
      <c r="E22" s="14"/>
      <c r="F22" s="14"/>
      <c r="G22" s="8"/>
      <c r="H22" s="16">
        <f t="shared" si="2"/>
        <v>4121.3999999999996</v>
      </c>
      <c r="I22" s="19">
        <v>2648.64</v>
      </c>
      <c r="J22" s="16">
        <f t="shared" si="9"/>
        <v>5110.82</v>
      </c>
      <c r="K22" s="19">
        <v>47360.7</v>
      </c>
      <c r="L22" s="14">
        <f t="shared" si="3"/>
        <v>-6346.33</v>
      </c>
      <c r="M22" s="19">
        <f t="shared" si="4"/>
        <v>47360.7</v>
      </c>
      <c r="N22" s="14">
        <f t="shared" si="5"/>
        <v>-341</v>
      </c>
      <c r="O22" s="19">
        <f t="shared" si="6"/>
        <v>47360.7</v>
      </c>
      <c r="P22" s="16">
        <f>ROUND(+$O22*P$10,2)-0.03</f>
        <v>73134.36</v>
      </c>
      <c r="Q22" s="18">
        <f t="shared" si="8"/>
        <v>75679.249999999985</v>
      </c>
    </row>
    <row r="23" spans="1:18" x14ac:dyDescent="0.25">
      <c r="A23" s="2" t="s">
        <v>8</v>
      </c>
      <c r="B23" s="2"/>
      <c r="C23" s="7"/>
      <c r="D23" s="7"/>
      <c r="E23" s="14"/>
      <c r="F23" s="14"/>
      <c r="G23" s="8"/>
      <c r="H23" s="16">
        <f t="shared" si="2"/>
        <v>4121.3999999999996</v>
      </c>
      <c r="I23" s="19">
        <v>2035.61</v>
      </c>
      <c r="J23" s="16">
        <f t="shared" si="9"/>
        <v>3927.91</v>
      </c>
      <c r="K23" s="19">
        <v>41810.300000000003</v>
      </c>
      <c r="L23" s="14">
        <f t="shared" si="3"/>
        <v>-5602.58</v>
      </c>
      <c r="M23" s="19">
        <f t="shared" si="4"/>
        <v>41810.300000000003</v>
      </c>
      <c r="N23" s="14">
        <f t="shared" si="5"/>
        <v>-301.02999999999997</v>
      </c>
      <c r="O23" s="19">
        <f t="shared" si="6"/>
        <v>41810.300000000003</v>
      </c>
      <c r="P23" s="16">
        <f t="shared" si="7"/>
        <v>64563.47</v>
      </c>
      <c r="Q23" s="18">
        <f t="shared" si="8"/>
        <v>66709.17</v>
      </c>
    </row>
    <row r="24" spans="1:18" x14ac:dyDescent="0.25">
      <c r="A24" s="2" t="s">
        <v>9</v>
      </c>
      <c r="B24" s="2"/>
      <c r="C24" s="7"/>
      <c r="D24" s="7"/>
      <c r="E24" s="14"/>
      <c r="F24" s="14"/>
      <c r="G24" s="8"/>
      <c r="H24" s="16">
        <f t="shared" si="2"/>
        <v>4121.3999999999996</v>
      </c>
      <c r="I24" s="19">
        <v>1818.4</v>
      </c>
      <c r="J24" s="16">
        <f t="shared" si="9"/>
        <v>3508.78</v>
      </c>
      <c r="K24" s="19">
        <v>35911.51</v>
      </c>
      <c r="L24" s="14">
        <f t="shared" si="3"/>
        <v>-4812.1400000000003</v>
      </c>
      <c r="M24" s="19">
        <f t="shared" si="4"/>
        <v>35911.51</v>
      </c>
      <c r="N24" s="14">
        <f t="shared" si="5"/>
        <v>-258.56</v>
      </c>
      <c r="O24" s="19">
        <f t="shared" si="6"/>
        <v>35911.51</v>
      </c>
      <c r="P24" s="16">
        <f t="shared" si="7"/>
        <v>55454.55</v>
      </c>
      <c r="Q24" s="18">
        <f t="shared" si="8"/>
        <v>58014.030000000006</v>
      </c>
    </row>
    <row r="25" spans="1:18" x14ac:dyDescent="0.25">
      <c r="A25" s="2" t="s">
        <v>10</v>
      </c>
      <c r="B25" s="2"/>
      <c r="C25" s="7"/>
      <c r="D25" s="7"/>
      <c r="E25" s="14"/>
      <c r="F25" s="14"/>
      <c r="G25" s="8"/>
      <c r="H25" s="16">
        <f t="shared" si="2"/>
        <v>4121.3999999999996</v>
      </c>
      <c r="I25" s="19">
        <v>2378.9</v>
      </c>
      <c r="J25" s="16">
        <f t="shared" si="9"/>
        <v>4590.33</v>
      </c>
      <c r="K25" s="19">
        <v>40563.67</v>
      </c>
      <c r="L25" s="14">
        <f t="shared" si="3"/>
        <v>-5435.53</v>
      </c>
      <c r="M25" s="19">
        <f t="shared" si="4"/>
        <v>40563.67</v>
      </c>
      <c r="N25" s="14">
        <f t="shared" si="5"/>
        <v>-292.06</v>
      </c>
      <c r="O25" s="19">
        <f>+K25</f>
        <v>40563.67</v>
      </c>
      <c r="P25" s="16">
        <f>ROUND(+$O25*P$10,2)</f>
        <v>62638.42</v>
      </c>
      <c r="Q25" s="18">
        <f t="shared" si="8"/>
        <v>65622.559999999998</v>
      </c>
    </row>
    <row r="26" spans="1:18" x14ac:dyDescent="0.25">
      <c r="A26" s="2" t="s">
        <v>11</v>
      </c>
      <c r="B26" s="2"/>
      <c r="C26" s="7"/>
      <c r="D26" s="7"/>
      <c r="E26" s="14"/>
      <c r="F26" s="14"/>
      <c r="G26" s="8"/>
      <c r="H26" s="16">
        <f t="shared" si="2"/>
        <v>4121.3999999999996</v>
      </c>
      <c r="I26" s="19">
        <v>2320.9499999999998</v>
      </c>
      <c r="J26" s="16">
        <f t="shared" si="9"/>
        <v>4478.51</v>
      </c>
      <c r="K26" s="19">
        <v>41398.160000000003</v>
      </c>
      <c r="L26" s="14">
        <f t="shared" si="3"/>
        <v>-5547.35</v>
      </c>
      <c r="M26" s="19">
        <f>+K26</f>
        <v>41398.160000000003</v>
      </c>
      <c r="N26" s="14">
        <f t="shared" si="5"/>
        <v>-298.07</v>
      </c>
      <c r="O26" s="19">
        <f>+K26</f>
        <v>41398.160000000003</v>
      </c>
      <c r="P26" s="16">
        <f>ROUND(+$O26*P$10,2)</f>
        <v>63927.040000000001</v>
      </c>
      <c r="Q26" s="18">
        <f t="shared" si="8"/>
        <v>66681.529999999984</v>
      </c>
    </row>
    <row r="27" spans="1:18" x14ac:dyDescent="0.25">
      <c r="A27" s="2"/>
      <c r="B27" s="2"/>
      <c r="C27" s="2"/>
      <c r="D27" s="2"/>
      <c r="E27" s="15">
        <f t="shared" ref="E27" si="10">+K27*$E$10</f>
        <v>0</v>
      </c>
      <c r="F27" s="15"/>
      <c r="G27" s="2"/>
      <c r="H27" s="15"/>
      <c r="I27" s="2"/>
      <c r="J27" s="15"/>
      <c r="K27" s="2"/>
      <c r="L27" s="15">
        <f t="shared" ref="L27" si="11">ROUND(+I27*$N$10,2)</f>
        <v>0</v>
      </c>
      <c r="M27" s="2">
        <f>+I27</f>
        <v>0</v>
      </c>
      <c r="N27" s="15">
        <f t="shared" ref="N27" si="12">ROUND(+K27*$N$10,2)</f>
        <v>0</v>
      </c>
      <c r="O27" s="2">
        <f>+K27</f>
        <v>0</v>
      </c>
      <c r="P27" s="15">
        <f>ROUND(+$O27*P$10,2)</f>
        <v>0</v>
      </c>
    </row>
    <row r="28" spans="1:18" x14ac:dyDescent="0.25">
      <c r="A28" s="2"/>
      <c r="B28" s="2"/>
      <c r="C28" s="11">
        <f>SUM(C15:C27)</f>
        <v>0</v>
      </c>
      <c r="D28" s="11">
        <f t="shared" ref="D28:O28" si="13">SUM(D15:D27)</f>
        <v>0</v>
      </c>
      <c r="E28" s="15">
        <f t="shared" si="13"/>
        <v>13856.49612</v>
      </c>
      <c r="F28" s="15">
        <f t="shared" si="13"/>
        <v>1085.4000000000001</v>
      </c>
      <c r="G28" s="11">
        <f t="shared" si="13"/>
        <v>0</v>
      </c>
      <c r="H28" s="15">
        <f t="shared" si="13"/>
        <v>49456.80000000001</v>
      </c>
      <c r="I28" s="11">
        <f t="shared" si="13"/>
        <v>27338.650000000005</v>
      </c>
      <c r="J28" s="15">
        <f t="shared" si="13"/>
        <v>52752.68</v>
      </c>
      <c r="K28" s="11">
        <f t="shared" si="13"/>
        <v>511991.13</v>
      </c>
      <c r="L28" s="15">
        <f t="shared" ref="L28:M28" si="14">SUM(L15:L27)</f>
        <v>-68606.8</v>
      </c>
      <c r="M28" s="11">
        <f t="shared" si="14"/>
        <v>511991.13</v>
      </c>
      <c r="N28" s="15">
        <f t="shared" si="13"/>
        <v>-3686.3400000000006</v>
      </c>
      <c r="O28" s="11">
        <f t="shared" si="13"/>
        <v>511991.13</v>
      </c>
      <c r="P28" s="15">
        <f>SUM(P15:P27)</f>
        <v>790616.64000000013</v>
      </c>
      <c r="Q28" s="15">
        <f>SUM(Q15:Q27)</f>
        <v>835474.87611999991</v>
      </c>
      <c r="R28" s="30">
        <f>(Q28-'LV-Current 2022'!Q28)/'LV-Current 2022'!Q28</f>
        <v>-0.11364968944191928</v>
      </c>
    </row>
    <row r="29" spans="1:18" x14ac:dyDescent="0.25">
      <c r="J2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LV-Historical 2021</vt:lpstr>
      <vt:lpstr>LV-Current 2022</vt:lpstr>
      <vt:lpstr>LV Forecast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Long</dc:creator>
  <cp:lastModifiedBy>Amy Long</cp:lastModifiedBy>
  <dcterms:created xsi:type="dcterms:W3CDTF">2022-09-20T19:13:31Z</dcterms:created>
  <dcterms:modified xsi:type="dcterms:W3CDTF">2023-01-13T14:57:18Z</dcterms:modified>
</cp:coreProperties>
</file>