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8" windowWidth="23244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F24" i="1"/>
  <c r="G24" i="1" s="1"/>
  <c r="C24" i="1"/>
  <c r="D24" i="1"/>
  <c r="D22" i="1"/>
  <c r="C22" i="1"/>
  <c r="B22" i="1"/>
  <c r="D21" i="1"/>
  <c r="C21" i="1"/>
  <c r="B21" i="1"/>
  <c r="D19" i="1"/>
  <c r="C19" i="1"/>
  <c r="F19" i="1" s="1"/>
  <c r="G19" i="1" s="1"/>
  <c r="C18" i="1"/>
  <c r="F18" i="1" s="1"/>
  <c r="G18" i="1" s="1"/>
  <c r="C17" i="1"/>
  <c r="F17" i="1" s="1"/>
  <c r="G17" i="1" s="1"/>
  <c r="C16" i="1"/>
  <c r="F16" i="1" s="1"/>
  <c r="G16" i="1" s="1"/>
  <c r="F15" i="1"/>
  <c r="G15" i="1" s="1"/>
  <c r="C15" i="1"/>
  <c r="D14" i="1"/>
  <c r="F14" i="1" s="1"/>
  <c r="G14" i="1" s="1"/>
  <c r="C14" i="1"/>
  <c r="C13" i="1"/>
  <c r="F13" i="1" s="1"/>
  <c r="G13" i="1" s="1"/>
  <c r="C12" i="1"/>
  <c r="F12" i="1" s="1"/>
  <c r="G12" i="1" s="1"/>
  <c r="D11" i="1"/>
  <c r="C11" i="1"/>
  <c r="F11" i="1" s="1"/>
  <c r="G11" i="1" s="1"/>
  <c r="D10" i="1"/>
  <c r="D9" i="1"/>
  <c r="C10" i="1"/>
  <c r="F10" i="1" s="1"/>
  <c r="G10" i="1" s="1"/>
  <c r="G22" i="1" s="1"/>
  <c r="G26" i="1" s="1"/>
  <c r="C9" i="1"/>
  <c r="F21" i="1" l="1"/>
  <c r="G21" i="1"/>
  <c r="F22" i="1"/>
  <c r="F9" i="1"/>
  <c r="G9" i="1" s="1"/>
</calcChain>
</file>

<file path=xl/sharedStrings.xml><?xml version="1.0" encoding="utf-8"?>
<sst xmlns="http://schemas.openxmlformats.org/spreadsheetml/2006/main" count="28" uniqueCount="28">
  <si>
    <t>Bill Comparisons for Schools</t>
  </si>
  <si>
    <t>Comparator Group</t>
  </si>
  <si>
    <t>Bluewater</t>
  </si>
  <si>
    <t>Fixed</t>
  </si>
  <si>
    <t>Variable</t>
  </si>
  <si>
    <t>Other</t>
  </si>
  <si>
    <t>Total</t>
  </si>
  <si>
    <t>Monthly Demand</t>
  </si>
  <si>
    <t>kW</t>
  </si>
  <si>
    <t>GS&gt;50</t>
  </si>
  <si>
    <t>LDC</t>
  </si>
  <si>
    <t>E.L.K</t>
  </si>
  <si>
    <t>Entegrus</t>
  </si>
  <si>
    <t>Festival</t>
  </si>
  <si>
    <t>Welland</t>
  </si>
  <si>
    <t>Kingston</t>
  </si>
  <si>
    <t>Westario</t>
  </si>
  <si>
    <t>Essex</t>
  </si>
  <si>
    <t>Niagara Peninsula</t>
  </si>
  <si>
    <t>Average</t>
  </si>
  <si>
    <t>LRAM</t>
  </si>
  <si>
    <t>Annual</t>
  </si>
  <si>
    <t>ERTH Power</t>
  </si>
  <si>
    <t>Average w/o BPDC</t>
  </si>
  <si>
    <t>Bluewater Proposed</t>
  </si>
  <si>
    <t>Wasaga</t>
  </si>
  <si>
    <t>Excess to Average</t>
  </si>
  <si>
    <t>Increase over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</si>
</sst>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0" fillId="2" borderId="0" xfId="0" applyNumberFormat="1" applyFill="1"/>
    <xf numFmtId="10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K14" sqref="K14"/>
    </sheetView>
  </sheetViews>
  <sheetFormatPr defaultRowHeight="14.4" x14ac:dyDescent="0.3"/>
  <cols>
    <col min="1" max="1" width="20.6640625" customWidth="1"/>
    <col min="2" max="7" width="10.77734375" customWidth="1"/>
  </cols>
  <sheetData>
    <row r="2" spans="1:7" ht="18.75" x14ac:dyDescent="0.3">
      <c r="A2" s="2" t="s">
        <v>0</v>
      </c>
    </row>
    <row r="3" spans="1:7" ht="15.75" x14ac:dyDescent="0.25">
      <c r="A3" s="3" t="s">
        <v>1</v>
      </c>
    </row>
    <row r="5" spans="1:7" ht="15" x14ac:dyDescent="0.25">
      <c r="A5" t="s">
        <v>7</v>
      </c>
      <c r="B5" s="8">
        <v>100</v>
      </c>
      <c r="C5" t="s">
        <v>8</v>
      </c>
    </row>
    <row r="6" spans="1:7" ht="15" x14ac:dyDescent="0.25">
      <c r="A6" t="s">
        <v>9</v>
      </c>
    </row>
    <row r="8" spans="1:7" ht="15.75" x14ac:dyDescent="0.25">
      <c r="A8" s="4" t="s">
        <v>10</v>
      </c>
      <c r="B8" s="5" t="s">
        <v>3</v>
      </c>
      <c r="C8" s="5" t="s">
        <v>4</v>
      </c>
      <c r="D8" s="5" t="s">
        <v>20</v>
      </c>
      <c r="E8" s="5" t="s">
        <v>5</v>
      </c>
      <c r="F8" s="5" t="s">
        <v>6</v>
      </c>
      <c r="G8" s="5" t="s">
        <v>21</v>
      </c>
    </row>
    <row r="9" spans="1:7" ht="15" x14ac:dyDescent="0.25">
      <c r="A9" t="s">
        <v>2</v>
      </c>
      <c r="B9" s="6">
        <v>163.49</v>
      </c>
      <c r="C9" s="6">
        <f>4.7508*$B$5</f>
        <v>475.08</v>
      </c>
      <c r="D9" s="6">
        <f>0.5073*$B$5</f>
        <v>50.73</v>
      </c>
      <c r="E9" s="6"/>
      <c r="F9" s="6">
        <f t="shared" ref="F9:F19" si="0">SUM(B9:E9)</f>
        <v>689.3</v>
      </c>
      <c r="G9" s="6">
        <f t="shared" ref="G9:G19" si="1">+F9*12</f>
        <v>8271.5999999999985</v>
      </c>
    </row>
    <row r="10" spans="1:7" ht="15" x14ac:dyDescent="0.25">
      <c r="A10" t="s">
        <v>11</v>
      </c>
      <c r="B10" s="1">
        <v>179.82</v>
      </c>
      <c r="C10" s="1">
        <f>1.6095*$B$5</f>
        <v>160.94999999999999</v>
      </c>
      <c r="D10" s="1">
        <f>0.1231*$B$5</f>
        <v>12.31</v>
      </c>
      <c r="E10" s="1"/>
      <c r="F10" s="1">
        <f t="shared" si="0"/>
        <v>353.08</v>
      </c>
      <c r="G10" s="1">
        <f t="shared" si="1"/>
        <v>4236.96</v>
      </c>
    </row>
    <row r="11" spans="1:7" ht="15" x14ac:dyDescent="0.25">
      <c r="A11" t="s">
        <v>12</v>
      </c>
      <c r="B11" s="1">
        <v>81.99</v>
      </c>
      <c r="C11" s="1">
        <f>3.9253*$B$5</f>
        <v>392.53</v>
      </c>
      <c r="D11" s="1">
        <f>0.2245*$B$5</f>
        <v>22.45</v>
      </c>
      <c r="E11" s="1"/>
      <c r="F11" s="1">
        <f t="shared" si="0"/>
        <v>496.96999999999997</v>
      </c>
      <c r="G11" s="1">
        <f t="shared" si="1"/>
        <v>5963.6399999999994</v>
      </c>
    </row>
    <row r="12" spans="1:7" ht="15" x14ac:dyDescent="0.25">
      <c r="A12" t="s">
        <v>22</v>
      </c>
      <c r="B12" s="1">
        <v>133.52000000000001</v>
      </c>
      <c r="C12" s="1">
        <f>3.2293*$B$5</f>
        <v>322.93</v>
      </c>
      <c r="D12" s="1"/>
      <c r="E12" s="1"/>
      <c r="F12" s="1">
        <f t="shared" si="0"/>
        <v>456.45000000000005</v>
      </c>
      <c r="G12" s="1">
        <f t="shared" si="1"/>
        <v>5477.4000000000005</v>
      </c>
    </row>
    <row r="13" spans="1:7" ht="15" x14ac:dyDescent="0.25">
      <c r="A13" t="s">
        <v>17</v>
      </c>
      <c r="B13" s="1">
        <v>252.83</v>
      </c>
      <c r="C13" s="1">
        <f>2.445*$B$5</f>
        <v>244.49999999999997</v>
      </c>
      <c r="D13" s="1"/>
      <c r="E13" s="1"/>
      <c r="F13" s="1">
        <f t="shared" si="0"/>
        <v>497.33</v>
      </c>
      <c r="G13" s="1">
        <f t="shared" si="1"/>
        <v>5967.96</v>
      </c>
    </row>
    <row r="14" spans="1:7" ht="15" x14ac:dyDescent="0.25">
      <c r="A14" t="s">
        <v>13</v>
      </c>
      <c r="B14" s="1">
        <v>254.64</v>
      </c>
      <c r="C14" s="1">
        <f>2.7491*$B$5</f>
        <v>274.90999999999997</v>
      </c>
      <c r="D14" s="1">
        <f>0.1684*$B$5</f>
        <v>16.84</v>
      </c>
      <c r="E14" s="1"/>
      <c r="F14" s="1">
        <f t="shared" si="0"/>
        <v>546.39</v>
      </c>
      <c r="G14" s="1">
        <f t="shared" si="1"/>
        <v>6556.68</v>
      </c>
    </row>
    <row r="15" spans="1:7" ht="15" x14ac:dyDescent="0.25">
      <c r="A15" t="s">
        <v>15</v>
      </c>
      <c r="B15" s="1">
        <v>117.69</v>
      </c>
      <c r="C15" s="1">
        <f>3.5786*$B$5</f>
        <v>357.85999999999996</v>
      </c>
      <c r="D15" s="1"/>
      <c r="E15" s="1"/>
      <c r="F15" s="1">
        <f t="shared" si="0"/>
        <v>475.54999999999995</v>
      </c>
      <c r="G15" s="1">
        <f t="shared" si="1"/>
        <v>5706.5999999999995</v>
      </c>
    </row>
    <row r="16" spans="1:7" ht="15" x14ac:dyDescent="0.25">
      <c r="A16" t="s">
        <v>18</v>
      </c>
      <c r="B16" s="1">
        <v>134.34</v>
      </c>
      <c r="C16" s="1">
        <f>3.7398*$B$5</f>
        <v>373.97999999999996</v>
      </c>
      <c r="D16" s="1"/>
      <c r="E16" s="1"/>
      <c r="F16" s="1">
        <f t="shared" si="0"/>
        <v>508.31999999999994</v>
      </c>
      <c r="G16" s="1">
        <f t="shared" si="1"/>
        <v>6099.8399999999992</v>
      </c>
    </row>
    <row r="17" spans="1:7" ht="15" x14ac:dyDescent="0.25">
      <c r="A17" t="s">
        <v>25</v>
      </c>
      <c r="B17" s="1">
        <v>38.07</v>
      </c>
      <c r="C17" s="1">
        <f>5.7434*$B$5</f>
        <v>574.34</v>
      </c>
      <c r="D17" s="1"/>
      <c r="E17" s="1"/>
      <c r="F17" s="1">
        <f t="shared" si="0"/>
        <v>612.41000000000008</v>
      </c>
      <c r="G17" s="1">
        <f t="shared" si="1"/>
        <v>7348.920000000001</v>
      </c>
    </row>
    <row r="18" spans="1:7" ht="15" x14ac:dyDescent="0.25">
      <c r="A18" t="s">
        <v>14</v>
      </c>
      <c r="B18" s="1">
        <v>309.45</v>
      </c>
      <c r="C18" s="1">
        <f>3.3368*$B$5</f>
        <v>333.68</v>
      </c>
      <c r="D18" s="1"/>
      <c r="E18" s="1"/>
      <c r="F18" s="1">
        <f t="shared" si="0"/>
        <v>643.13</v>
      </c>
      <c r="G18" s="1">
        <f t="shared" si="1"/>
        <v>7717.5599999999995</v>
      </c>
    </row>
    <row r="19" spans="1:7" ht="15" x14ac:dyDescent="0.25">
      <c r="A19" t="s">
        <v>16</v>
      </c>
      <c r="B19" s="1">
        <v>250.14</v>
      </c>
      <c r="C19" s="1">
        <f>2.6398*$B$5</f>
        <v>263.98</v>
      </c>
      <c r="D19" s="1">
        <f>-0.1003*$B$5</f>
        <v>-10.029999999999999</v>
      </c>
      <c r="E19" s="1"/>
      <c r="F19" s="1">
        <f t="shared" si="0"/>
        <v>504.09000000000003</v>
      </c>
      <c r="G19" s="1">
        <f t="shared" si="1"/>
        <v>6049.08</v>
      </c>
    </row>
    <row r="20" spans="1:7" ht="15" x14ac:dyDescent="0.25">
      <c r="B20" s="1"/>
      <c r="C20" s="1"/>
      <c r="D20" s="1"/>
      <c r="E20" s="1"/>
      <c r="F20" s="1"/>
    </row>
    <row r="21" spans="1:7" ht="15" x14ac:dyDescent="0.25">
      <c r="A21" t="s">
        <v>19</v>
      </c>
      <c r="B21" s="1">
        <f>AVERAGE(B9:B19)</f>
        <v>174.18</v>
      </c>
      <c r="C21" s="1">
        <f t="shared" ref="C21:D21" si="2">AVERAGE(C9:C19)</f>
        <v>343.15818181818184</v>
      </c>
      <c r="D21" s="1">
        <f t="shared" si="2"/>
        <v>18.46</v>
      </c>
      <c r="E21" s="1"/>
      <c r="F21" s="1">
        <f t="shared" ref="F21:G21" si="3">AVERAGE(F9:F19)</f>
        <v>525.72909090909081</v>
      </c>
      <c r="G21" s="1">
        <f t="shared" si="3"/>
        <v>6308.7490909090902</v>
      </c>
    </row>
    <row r="22" spans="1:7" ht="15" x14ac:dyDescent="0.25">
      <c r="A22" t="s">
        <v>23</v>
      </c>
      <c r="B22" s="1">
        <f>AVERAGE(B10:B19)</f>
        <v>175.24899999999997</v>
      </c>
      <c r="C22" s="1">
        <f t="shared" ref="C22:D22" si="4">AVERAGE(C10:C19)</f>
        <v>329.96600000000001</v>
      </c>
      <c r="D22" s="1">
        <f t="shared" si="4"/>
        <v>10.392499999999998</v>
      </c>
      <c r="F22" s="1">
        <f t="shared" ref="F22:G22" si="5">AVERAGE(F10:F19)</f>
        <v>509.37199999999996</v>
      </c>
      <c r="G22" s="1">
        <f t="shared" si="5"/>
        <v>6112.463999999999</v>
      </c>
    </row>
    <row r="24" spans="1:7" ht="15" x14ac:dyDescent="0.25">
      <c r="A24" t="s">
        <v>24</v>
      </c>
      <c r="B24" s="6">
        <v>163.49</v>
      </c>
      <c r="C24" s="6">
        <f>5.5068*$B$5</f>
        <v>550.68000000000006</v>
      </c>
      <c r="D24" s="6">
        <f>1.1355*$B$5</f>
        <v>113.55</v>
      </c>
      <c r="E24" s="6"/>
      <c r="F24" s="6">
        <f>SUM(B24:E24)</f>
        <v>827.72</v>
      </c>
      <c r="G24" s="6">
        <f>+F24*12</f>
        <v>9932.64</v>
      </c>
    </row>
    <row r="25" spans="1:7" ht="15" x14ac:dyDescent="0.25">
      <c r="A25" t="s">
        <v>27</v>
      </c>
      <c r="G25" s="7">
        <f>+(G24-G9)/G9</f>
        <v>0.20081241839547381</v>
      </c>
    </row>
    <row r="26" spans="1:7" ht="15" x14ac:dyDescent="0.25">
      <c r="A26" t="s">
        <v>26</v>
      </c>
      <c r="G26" s="7">
        <f>+(G24-G22)/G22</f>
        <v>0.62498134958340879</v>
      </c>
    </row>
  </sheetData>
  <sortState ref="A10:G19">
    <sortCondition ref="A1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2023-01-24T18:14:39Z</dcterms:created>
  <dcterms:modified xsi:type="dcterms:W3CDTF">2023-01-24T18:15:36Z</dcterms:modified>
</cp:coreProperties>
</file>