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3.xml" ContentType="application/vnd.openxmlformats-officedocument.drawing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4.xml" ContentType="application/vnd.openxmlformats-officedocument.drawing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5200" windowHeight="11250" tabRatio="835" firstSheet="15" activeTab="20"/>
  </bookViews>
  <sheets>
    <sheet name="Monthly Data" sheetId="39" r:id="rId1"/>
    <sheet name="Historic CDM" sheetId="9" r:id="rId2"/>
    <sheet name="Weather" sheetId="6" r:id="rId3"/>
    <sheet name="Economic Variables" sheetId="7" r:id="rId4"/>
    <sheet name="Res Predicted Monthly" sheetId="41" r:id="rId5"/>
    <sheet name="GS&lt;50 Predicted Monthly" sheetId="47" r:id="rId6"/>
    <sheet name="GS&gt;50 Predicted Monthly" sheetId="58" r:id="rId7"/>
    <sheet name="Int Predicted Monthly" sheetId="64" r:id="rId8"/>
    <sheet name="LU Predicted Monthly" sheetId="66" r:id="rId9"/>
    <sheet name="Model Summary" sheetId="26" r:id="rId10"/>
    <sheet name="Res Normalized Monthly" sheetId="27" r:id="rId11"/>
    <sheet name="GS&lt;50 Normalized Monthly" sheetId="28" r:id="rId12"/>
    <sheet name="GS&gt;50 Normalized Monthly" sheetId="29" r:id="rId13"/>
    <sheet name="Int Normalized Monthly" sheetId="30" r:id="rId14"/>
    <sheet name="LU Normalized Monthly" sheetId="31" r:id="rId15"/>
    <sheet name="Normalized Annual Summary" sheetId="33" r:id="rId16"/>
    <sheet name="Connection Count" sheetId="32" r:id="rId17"/>
    <sheet name="CDM Forecast" sheetId="70" r:id="rId18"/>
    <sheet name="CDM Adjustment" sheetId="67" r:id="rId19"/>
    <sheet name="kW Forecast" sheetId="35" r:id="rId20"/>
    <sheet name="Summary Tables (Class Adj)" sheetId="36" r:id="rId21"/>
    <sheet name="Summary Tables (Actuals)" sheetId="68" r:id="rId22"/>
    <sheet name="Variance" sheetId="72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'[1]Old MEA Statistics'!$B$250</definedName>
    <definedName name="_OP1000">#REF!</definedName>
    <definedName name="_Order1" hidden="1">255</definedName>
    <definedName name="_Order2" hidden="1">0</definedName>
    <definedName name="_Sort" hidden="1">[2]Sheet1!$G$40:$K$40</definedName>
    <definedName name="ALL">#REF!</definedName>
    <definedName name="ApprovedYr">'[3]Z1.ModelVariables'!$C$12</definedName>
    <definedName name="CAfile">[4]Refs!$B$2</definedName>
    <definedName name="CAPCOSTS">#REF!</definedName>
    <definedName name="CAPITAL">#REF!</definedName>
    <definedName name="CapitalExpListing">#REF!</definedName>
    <definedName name="CArevReq">[4]Refs!$B$6</definedName>
    <definedName name="CASHFLOW">#REF!</definedName>
    <definedName name="cc">#REF!</definedName>
    <definedName name="ClassRange1">[4]Refs!$B$3</definedName>
    <definedName name="ClassRange2">[4]Refs!$B$4</definedName>
    <definedName name="contactf">#REF!</definedName>
    <definedName name="_xlnm.Criteria">#REF!</definedName>
    <definedName name="CRLF">'[3]Z1.ModelVariables'!$C$10</definedName>
    <definedName name="_xlnm.Database">#REF!</definedName>
    <definedName name="DaysInPreviousYear">'[5]Distribution Revenue by Source'!$B$22</definedName>
    <definedName name="DaysInYear">'[5]Distribution Revenue by Source'!$B$21</definedName>
    <definedName name="DEBTREPAY">#REF!</definedName>
    <definedName name="DeptDiv">#REF!</definedName>
    <definedName name="ExpenseAccountListing">#REF!</definedName>
    <definedName name="_xlnm.Extract">#REF!</definedName>
    <definedName name="FakeBlank">'[3]Z1.ModelVariables'!$C$14</definedName>
    <definedName name="FolderPath">[4]Menu!$C$8</definedName>
    <definedName name="histdate">[6]Financials!$E$76</definedName>
    <definedName name="Incr2000">#REF!</definedName>
    <definedName name="INTERIM">#REF!</definedName>
    <definedName name="LDC_Name">[7]Lookup!$A$2:$A$73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[4]Refs!$B$8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>#REF!</definedName>
    <definedName name="PAGE2">[2]Sheet1!$A$1:$I$40</definedName>
    <definedName name="PAGE3">#REF!</definedName>
    <definedName name="PAGE4">#REF!</definedName>
    <definedName name="PAGE7">#REF!</definedName>
    <definedName name="PAGE9">#REF!</definedName>
    <definedName name="PageOne">#REF!</definedName>
    <definedName name="PR">#REF!</definedName>
    <definedName name="Print_Area_MI">#REF!</definedName>
    <definedName name="print_end">#REF!</definedName>
    <definedName name="PRIOR">#REF!</definedName>
    <definedName name="Ratebase">'[5]Distribution Revenue by Source'!$C$25</definedName>
    <definedName name="RevReqLookupKey">[4]Refs!$B$5</definedName>
    <definedName name="RevReqRange">[4]Refs!$B$7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'[3]A1.Admin'!$C$13</definedName>
    <definedName name="TestYrPL">'[8]Revenue Requirement'!$B$10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[6]Financials!$A$1</definedName>
    <definedName name="utitliy1">[9]Financials!$A$1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6" i="72" l="1"/>
  <c r="G26" i="72"/>
  <c r="B26" i="72"/>
  <c r="A26" i="72"/>
  <c r="G25" i="72"/>
  <c r="B25" i="72"/>
  <c r="A25" i="72"/>
  <c r="G24" i="72"/>
  <c r="B24" i="72"/>
  <c r="A24" i="72"/>
  <c r="G23" i="72"/>
  <c r="B23" i="72"/>
  <c r="A23" i="72"/>
  <c r="G22" i="72"/>
  <c r="B22" i="72"/>
  <c r="A22" i="72"/>
  <c r="G21" i="72"/>
  <c r="B21" i="72"/>
  <c r="A21" i="72"/>
  <c r="G20" i="72"/>
  <c r="B20" i="72"/>
  <c r="A20" i="72"/>
  <c r="G19" i="72"/>
  <c r="B19" i="72"/>
  <c r="B27" i="72" s="1"/>
  <c r="A19" i="72"/>
  <c r="A18" i="72"/>
  <c r="C13" i="72"/>
  <c r="D12" i="72"/>
  <c r="D11" i="72"/>
  <c r="D10" i="72"/>
  <c r="D9" i="72"/>
  <c r="D8" i="72"/>
  <c r="D7" i="72"/>
  <c r="D6" i="72"/>
  <c r="D5" i="72"/>
  <c r="D13" i="72" s="1"/>
  <c r="Z16" i="33" l="1"/>
  <c r="AR16" i="33"/>
  <c r="AI16" i="33"/>
  <c r="Y17" i="26"/>
  <c r="T17" i="26"/>
  <c r="O17" i="26"/>
  <c r="J17" i="26"/>
  <c r="E17" i="26"/>
  <c r="X15" i="26"/>
  <c r="W15" i="26"/>
  <c r="Y15" i="26" s="1"/>
  <c r="S15" i="26"/>
  <c r="R15" i="26"/>
  <c r="T15" i="26" s="1"/>
  <c r="N15" i="26"/>
  <c r="M15" i="26"/>
  <c r="O15" i="26" s="1"/>
  <c r="I15" i="26"/>
  <c r="H15" i="26"/>
  <c r="J15" i="26" s="1"/>
  <c r="D15" i="26"/>
  <c r="C15" i="26"/>
  <c r="C14" i="26"/>
  <c r="E14" i="26" s="1"/>
  <c r="D14" i="26"/>
  <c r="H14" i="26"/>
  <c r="J14" i="26" s="1"/>
  <c r="I14" i="26"/>
  <c r="M14" i="26"/>
  <c r="N14" i="26"/>
  <c r="O14" i="26" s="1"/>
  <c r="R14" i="26"/>
  <c r="S14" i="26"/>
  <c r="T14" i="26"/>
  <c r="W14" i="26"/>
  <c r="Y14" i="26" s="1"/>
  <c r="X14" i="26"/>
  <c r="R130" i="9"/>
  <c r="V129" i="9"/>
  <c r="V130" i="9"/>
  <c r="W2" i="39"/>
  <c r="X2" i="39" s="1"/>
  <c r="W3" i="39"/>
  <c r="X3" i="39"/>
  <c r="W4" i="39"/>
  <c r="X4" i="39" s="1"/>
  <c r="W5" i="39"/>
  <c r="X5" i="39"/>
  <c r="W6" i="39"/>
  <c r="X6" i="39" s="1"/>
  <c r="W7" i="39"/>
  <c r="X7" i="39"/>
  <c r="W8" i="39"/>
  <c r="X8" i="39" s="1"/>
  <c r="W9" i="39"/>
  <c r="X9" i="39"/>
  <c r="W10" i="39"/>
  <c r="X10" i="39" s="1"/>
  <c r="W11" i="39"/>
  <c r="X11" i="39"/>
  <c r="W12" i="39"/>
  <c r="X12" i="39" s="1"/>
  <c r="W13" i="39"/>
  <c r="X13" i="39"/>
  <c r="W14" i="39"/>
  <c r="X14" i="39" s="1"/>
  <c r="W15" i="39"/>
  <c r="X15" i="39"/>
  <c r="W16" i="39"/>
  <c r="X16" i="39" s="1"/>
  <c r="W17" i="39"/>
  <c r="X17" i="39"/>
  <c r="W18" i="39"/>
  <c r="X18" i="39" s="1"/>
  <c r="W19" i="39"/>
  <c r="X19" i="39"/>
  <c r="W20" i="39"/>
  <c r="X20" i="39" s="1"/>
  <c r="W21" i="39"/>
  <c r="X21" i="39"/>
  <c r="W22" i="39"/>
  <c r="X22" i="39" s="1"/>
  <c r="W23" i="39"/>
  <c r="X23" i="39"/>
  <c r="W24" i="39"/>
  <c r="X24" i="39" s="1"/>
  <c r="W25" i="39"/>
  <c r="X25" i="39"/>
  <c r="W26" i="39"/>
  <c r="X26" i="39" s="1"/>
  <c r="W27" i="39"/>
  <c r="X27" i="39"/>
  <c r="W28" i="39"/>
  <c r="X28" i="39" s="1"/>
  <c r="W29" i="39"/>
  <c r="X29" i="39"/>
  <c r="W30" i="39"/>
  <c r="X30" i="39" s="1"/>
  <c r="W31" i="39"/>
  <c r="X31" i="39"/>
  <c r="W32" i="39"/>
  <c r="X32" i="39" s="1"/>
  <c r="W33" i="39"/>
  <c r="X33" i="39"/>
  <c r="W34" i="39"/>
  <c r="X34" i="39" s="1"/>
  <c r="W35" i="39"/>
  <c r="X35" i="39"/>
  <c r="W36" i="39"/>
  <c r="X36" i="39" s="1"/>
  <c r="W37" i="39"/>
  <c r="X37" i="39"/>
  <c r="W38" i="39"/>
  <c r="X38" i="39" s="1"/>
  <c r="W39" i="39"/>
  <c r="X39" i="39"/>
  <c r="W40" i="39"/>
  <c r="X40" i="39" s="1"/>
  <c r="W41" i="39"/>
  <c r="X41" i="39"/>
  <c r="W42" i="39"/>
  <c r="X42" i="39" s="1"/>
  <c r="W43" i="39"/>
  <c r="X43" i="39"/>
  <c r="W44" i="39"/>
  <c r="X44" i="39" s="1"/>
  <c r="W45" i="39"/>
  <c r="X45" i="39"/>
  <c r="W46" i="39"/>
  <c r="X46" i="39" s="1"/>
  <c r="W47" i="39"/>
  <c r="X47" i="39"/>
  <c r="W48" i="39"/>
  <c r="X48" i="39" s="1"/>
  <c r="W49" i="39"/>
  <c r="X49" i="39"/>
  <c r="W50" i="39"/>
  <c r="X50" i="39" s="1"/>
  <c r="W51" i="39"/>
  <c r="X51" i="39"/>
  <c r="W52" i="39"/>
  <c r="X52" i="39" s="1"/>
  <c r="W53" i="39"/>
  <c r="X53" i="39"/>
  <c r="W54" i="39"/>
  <c r="X54" i="39" s="1"/>
  <c r="W55" i="39"/>
  <c r="X55" i="39"/>
  <c r="W56" i="39"/>
  <c r="X56" i="39" s="1"/>
  <c r="W57" i="39"/>
  <c r="X57" i="39"/>
  <c r="W58" i="39"/>
  <c r="X58" i="39" s="1"/>
  <c r="W59" i="39"/>
  <c r="X59" i="39"/>
  <c r="W60" i="39"/>
  <c r="X60" i="39" s="1"/>
  <c r="W61" i="39"/>
  <c r="X61" i="39"/>
  <c r="W62" i="39"/>
  <c r="X62" i="39" s="1"/>
  <c r="W63" i="39"/>
  <c r="X63" i="39"/>
  <c r="W64" i="39"/>
  <c r="X64" i="39" s="1"/>
  <c r="W65" i="39"/>
  <c r="X65" i="39"/>
  <c r="W66" i="39"/>
  <c r="X66" i="39" s="1"/>
  <c r="W67" i="39"/>
  <c r="X67" i="39"/>
  <c r="W68" i="39"/>
  <c r="X68" i="39" s="1"/>
  <c r="W69" i="39"/>
  <c r="X69" i="39"/>
  <c r="W70" i="39"/>
  <c r="X70" i="39" s="1"/>
  <c r="W71" i="39"/>
  <c r="X71" i="39"/>
  <c r="W72" i="39"/>
  <c r="X72" i="39" s="1"/>
  <c r="W73" i="39"/>
  <c r="X73" i="39"/>
  <c r="W74" i="39"/>
  <c r="X74" i="39" s="1"/>
  <c r="W75" i="39"/>
  <c r="X75" i="39"/>
  <c r="W76" i="39"/>
  <c r="X76" i="39" s="1"/>
  <c r="W77" i="39"/>
  <c r="X77" i="39"/>
  <c r="W78" i="39"/>
  <c r="X78" i="39" s="1"/>
  <c r="W79" i="39"/>
  <c r="X79" i="39"/>
  <c r="W80" i="39"/>
  <c r="X80" i="39" s="1"/>
  <c r="W81" i="39"/>
  <c r="X81" i="39"/>
  <c r="W82" i="39"/>
  <c r="X82" i="39" s="1"/>
  <c r="W83" i="39"/>
  <c r="X83" i="39"/>
  <c r="W84" i="39"/>
  <c r="X84" i="39" s="1"/>
  <c r="W85" i="39"/>
  <c r="X85" i="39"/>
  <c r="W86" i="39"/>
  <c r="X86" i="39" s="1"/>
  <c r="W87" i="39"/>
  <c r="X87" i="39"/>
  <c r="W88" i="39"/>
  <c r="X88" i="39" s="1"/>
  <c r="W89" i="39"/>
  <c r="X89" i="39"/>
  <c r="W90" i="39"/>
  <c r="X90" i="39" s="1"/>
  <c r="W91" i="39"/>
  <c r="X91" i="39"/>
  <c r="W92" i="39"/>
  <c r="X92" i="39" s="1"/>
  <c r="W93" i="39"/>
  <c r="X93" i="39"/>
  <c r="W94" i="39"/>
  <c r="X94" i="39" s="1"/>
  <c r="W95" i="39"/>
  <c r="X95" i="39"/>
  <c r="W96" i="39"/>
  <c r="X96" i="39" s="1"/>
  <c r="W97" i="39"/>
  <c r="X97" i="39"/>
  <c r="W98" i="39"/>
  <c r="X98" i="39" s="1"/>
  <c r="W99" i="39"/>
  <c r="X99" i="39"/>
  <c r="W100" i="39"/>
  <c r="X100" i="39" s="1"/>
  <c r="W101" i="39"/>
  <c r="X101" i="39"/>
  <c r="W102" i="39"/>
  <c r="X102" i="39" s="1"/>
  <c r="W103" i="39"/>
  <c r="X103" i="39"/>
  <c r="W104" i="39"/>
  <c r="X104" i="39" s="1"/>
  <c r="W105" i="39"/>
  <c r="X105" i="39"/>
  <c r="W106" i="39"/>
  <c r="X106" i="39" s="1"/>
  <c r="W107" i="39"/>
  <c r="X107" i="39"/>
  <c r="W108" i="39"/>
  <c r="X108" i="39" s="1"/>
  <c r="W109" i="39"/>
  <c r="X109" i="39"/>
  <c r="W110" i="39"/>
  <c r="X110" i="39" s="1"/>
  <c r="W111" i="39"/>
  <c r="X111" i="39"/>
  <c r="W112" i="39"/>
  <c r="X112" i="39" s="1"/>
  <c r="W113" i="39"/>
  <c r="X113" i="39"/>
  <c r="W114" i="39"/>
  <c r="X114" i="39" s="1"/>
  <c r="W115" i="39"/>
  <c r="X115" i="39"/>
  <c r="W116" i="39"/>
  <c r="X116" i="39" s="1"/>
  <c r="W117" i="39"/>
  <c r="X117" i="39"/>
  <c r="W118" i="39"/>
  <c r="X118" i="39" s="1"/>
  <c r="W119" i="39"/>
  <c r="X119" i="39"/>
  <c r="W120" i="39"/>
  <c r="X120" i="39" s="1"/>
  <c r="W121" i="39"/>
  <c r="X121" i="39"/>
  <c r="W122" i="39"/>
  <c r="X122" i="39" s="1"/>
  <c r="W123" i="39"/>
  <c r="X123" i="39"/>
  <c r="W124" i="39"/>
  <c r="X124" i="39" s="1"/>
  <c r="W125" i="39"/>
  <c r="X125" i="39"/>
  <c r="W126" i="39"/>
  <c r="X126" i="39" s="1"/>
  <c r="W127" i="39"/>
  <c r="X127" i="39"/>
  <c r="W128" i="39"/>
  <c r="X128" i="39" s="1"/>
  <c r="W129" i="39"/>
  <c r="X129" i="39"/>
  <c r="W130" i="39"/>
  <c r="X130" i="39" s="1"/>
  <c r="W131" i="39"/>
  <c r="X131" i="39"/>
  <c r="W132" i="39"/>
  <c r="X132" i="39" s="1"/>
  <c r="R9" i="39"/>
  <c r="S9" i="39" s="1"/>
  <c r="R10" i="39"/>
  <c r="S10" i="39"/>
  <c r="R11" i="39"/>
  <c r="S11" i="39" s="1"/>
  <c r="R12" i="39"/>
  <c r="S12" i="39"/>
  <c r="R13" i="39"/>
  <c r="S13" i="39" s="1"/>
  <c r="R14" i="39"/>
  <c r="S14" i="39"/>
  <c r="R15" i="39"/>
  <c r="S15" i="39" s="1"/>
  <c r="R16" i="39"/>
  <c r="S16" i="39"/>
  <c r="R17" i="39"/>
  <c r="S17" i="39" s="1"/>
  <c r="R18" i="39"/>
  <c r="S18" i="39"/>
  <c r="R19" i="39"/>
  <c r="S19" i="39" s="1"/>
  <c r="R20" i="39"/>
  <c r="S20" i="39"/>
  <c r="R21" i="39"/>
  <c r="S21" i="39" s="1"/>
  <c r="R22" i="39"/>
  <c r="S22" i="39"/>
  <c r="R23" i="39"/>
  <c r="S23" i="39" s="1"/>
  <c r="R24" i="39"/>
  <c r="S24" i="39"/>
  <c r="R25" i="39"/>
  <c r="S25" i="39" s="1"/>
  <c r="R26" i="39"/>
  <c r="S26" i="39"/>
  <c r="R27" i="39"/>
  <c r="S27" i="39" s="1"/>
  <c r="R28" i="39"/>
  <c r="S28" i="39"/>
  <c r="R29" i="39"/>
  <c r="S29" i="39" s="1"/>
  <c r="R30" i="39"/>
  <c r="S30" i="39"/>
  <c r="R31" i="39"/>
  <c r="S31" i="39" s="1"/>
  <c r="R32" i="39"/>
  <c r="S32" i="39"/>
  <c r="R33" i="39"/>
  <c r="S33" i="39" s="1"/>
  <c r="R34" i="39"/>
  <c r="S34" i="39"/>
  <c r="R35" i="39"/>
  <c r="S35" i="39" s="1"/>
  <c r="R36" i="39"/>
  <c r="S36" i="39"/>
  <c r="R37" i="39"/>
  <c r="S37" i="39" s="1"/>
  <c r="R38" i="39"/>
  <c r="S38" i="39"/>
  <c r="R39" i="39"/>
  <c r="S39" i="39" s="1"/>
  <c r="R40" i="39"/>
  <c r="S40" i="39"/>
  <c r="R41" i="39"/>
  <c r="S41" i="39" s="1"/>
  <c r="R42" i="39"/>
  <c r="S42" i="39"/>
  <c r="R43" i="39"/>
  <c r="S43" i="39" s="1"/>
  <c r="R44" i="39"/>
  <c r="S44" i="39"/>
  <c r="R45" i="39"/>
  <c r="S45" i="39" s="1"/>
  <c r="R46" i="39"/>
  <c r="S46" i="39"/>
  <c r="R47" i="39"/>
  <c r="S47" i="39" s="1"/>
  <c r="R48" i="39"/>
  <c r="S48" i="39"/>
  <c r="R49" i="39"/>
  <c r="S49" i="39" s="1"/>
  <c r="R50" i="39"/>
  <c r="S50" i="39"/>
  <c r="R51" i="39"/>
  <c r="S51" i="39" s="1"/>
  <c r="R52" i="39"/>
  <c r="S52" i="39"/>
  <c r="R53" i="39"/>
  <c r="S53" i="39" s="1"/>
  <c r="R54" i="39"/>
  <c r="S54" i="39"/>
  <c r="R55" i="39"/>
  <c r="S55" i="39" s="1"/>
  <c r="R56" i="39"/>
  <c r="S56" i="39"/>
  <c r="R57" i="39"/>
  <c r="S57" i="39" s="1"/>
  <c r="R58" i="39"/>
  <c r="S58" i="39"/>
  <c r="R59" i="39"/>
  <c r="S59" i="39" s="1"/>
  <c r="R60" i="39"/>
  <c r="S60" i="39"/>
  <c r="R61" i="39"/>
  <c r="S61" i="39" s="1"/>
  <c r="R62" i="39"/>
  <c r="S62" i="39"/>
  <c r="R63" i="39"/>
  <c r="S63" i="39" s="1"/>
  <c r="R64" i="39"/>
  <c r="S64" i="39"/>
  <c r="R65" i="39"/>
  <c r="S65" i="39" s="1"/>
  <c r="R66" i="39"/>
  <c r="S66" i="39"/>
  <c r="R67" i="39"/>
  <c r="S67" i="39" s="1"/>
  <c r="R68" i="39"/>
  <c r="S68" i="39"/>
  <c r="R69" i="39"/>
  <c r="S69" i="39" s="1"/>
  <c r="R70" i="39"/>
  <c r="S70" i="39"/>
  <c r="R71" i="39"/>
  <c r="S71" i="39" s="1"/>
  <c r="R72" i="39"/>
  <c r="S72" i="39"/>
  <c r="R73" i="39"/>
  <c r="S73" i="39" s="1"/>
  <c r="R74" i="39"/>
  <c r="S74" i="39"/>
  <c r="R75" i="39"/>
  <c r="S75" i="39" s="1"/>
  <c r="R76" i="39"/>
  <c r="S76" i="39"/>
  <c r="R77" i="39"/>
  <c r="S77" i="39" s="1"/>
  <c r="R78" i="39"/>
  <c r="S78" i="39"/>
  <c r="R79" i="39"/>
  <c r="S79" i="39" s="1"/>
  <c r="R80" i="39"/>
  <c r="S80" i="39"/>
  <c r="R81" i="39"/>
  <c r="S81" i="39" s="1"/>
  <c r="R82" i="39"/>
  <c r="S82" i="39"/>
  <c r="R83" i="39"/>
  <c r="S83" i="39" s="1"/>
  <c r="R84" i="39"/>
  <c r="S84" i="39"/>
  <c r="R85" i="39"/>
  <c r="S85" i="39" s="1"/>
  <c r="R86" i="39"/>
  <c r="S86" i="39"/>
  <c r="R87" i="39"/>
  <c r="S87" i="39" s="1"/>
  <c r="R88" i="39"/>
  <c r="S88" i="39"/>
  <c r="R89" i="39"/>
  <c r="S89" i="39" s="1"/>
  <c r="R90" i="39"/>
  <c r="S90" i="39"/>
  <c r="R91" i="39"/>
  <c r="S91" i="39" s="1"/>
  <c r="R92" i="39"/>
  <c r="S92" i="39"/>
  <c r="R93" i="39"/>
  <c r="S93" i="39" s="1"/>
  <c r="R94" i="39"/>
  <c r="S94" i="39"/>
  <c r="R95" i="39"/>
  <c r="S95" i="39" s="1"/>
  <c r="R96" i="39"/>
  <c r="S96" i="39"/>
  <c r="R97" i="39"/>
  <c r="S97" i="39" s="1"/>
  <c r="R98" i="39"/>
  <c r="S98" i="39"/>
  <c r="R99" i="39"/>
  <c r="S99" i="39" s="1"/>
  <c r="R100" i="39"/>
  <c r="S100" i="39"/>
  <c r="R101" i="39"/>
  <c r="S101" i="39" s="1"/>
  <c r="R102" i="39"/>
  <c r="S102" i="39"/>
  <c r="R103" i="39"/>
  <c r="S103" i="39" s="1"/>
  <c r="R104" i="39"/>
  <c r="S104" i="39"/>
  <c r="R105" i="39"/>
  <c r="S105" i="39" s="1"/>
  <c r="R106" i="39"/>
  <c r="S106" i="39"/>
  <c r="R107" i="39"/>
  <c r="S107" i="39" s="1"/>
  <c r="R108" i="39"/>
  <c r="S108" i="39"/>
  <c r="R109" i="39"/>
  <c r="S109" i="39" s="1"/>
  <c r="R110" i="39"/>
  <c r="S110" i="39"/>
  <c r="R111" i="39"/>
  <c r="S111" i="39" s="1"/>
  <c r="R112" i="39"/>
  <c r="S112" i="39"/>
  <c r="R113" i="39"/>
  <c r="S113" i="39" s="1"/>
  <c r="R114" i="39"/>
  <c r="S114" i="39"/>
  <c r="R115" i="39"/>
  <c r="S115" i="39" s="1"/>
  <c r="R116" i="39"/>
  <c r="S116" i="39"/>
  <c r="R117" i="39"/>
  <c r="S117" i="39" s="1"/>
  <c r="R118" i="39"/>
  <c r="S118" i="39"/>
  <c r="R119" i="39"/>
  <c r="S119" i="39" s="1"/>
  <c r="R120" i="39"/>
  <c r="S120" i="39"/>
  <c r="R121" i="39"/>
  <c r="S121" i="39" s="1"/>
  <c r="R122" i="39"/>
  <c r="S122" i="39"/>
  <c r="R123" i="39"/>
  <c r="S123" i="39" s="1"/>
  <c r="R124" i="39"/>
  <c r="S124" i="39"/>
  <c r="R125" i="39"/>
  <c r="S125" i="39" s="1"/>
  <c r="R126" i="39"/>
  <c r="S126" i="39"/>
  <c r="R127" i="39"/>
  <c r="S127" i="39" s="1"/>
  <c r="R128" i="39"/>
  <c r="S128" i="39"/>
  <c r="R129" i="39"/>
  <c r="S129" i="39" s="1"/>
  <c r="R130" i="39"/>
  <c r="S130" i="39"/>
  <c r="R131" i="39"/>
  <c r="S131" i="39" s="1"/>
  <c r="R132" i="39"/>
  <c r="S132" i="39"/>
  <c r="M3" i="39"/>
  <c r="N3" i="39" s="1"/>
  <c r="M4" i="39"/>
  <c r="N4" i="39"/>
  <c r="M5" i="39"/>
  <c r="N5" i="39" s="1"/>
  <c r="M6" i="39"/>
  <c r="N6" i="39"/>
  <c r="M7" i="39"/>
  <c r="N7" i="39" s="1"/>
  <c r="M8" i="39"/>
  <c r="N8" i="39"/>
  <c r="M9" i="39"/>
  <c r="N9" i="39" s="1"/>
  <c r="M10" i="39"/>
  <c r="N10" i="39"/>
  <c r="M11" i="39"/>
  <c r="N11" i="39" s="1"/>
  <c r="M12" i="39"/>
  <c r="N12" i="39"/>
  <c r="M13" i="39"/>
  <c r="N13" i="39" s="1"/>
  <c r="M14" i="39"/>
  <c r="N14" i="39"/>
  <c r="M15" i="39"/>
  <c r="N15" i="39" s="1"/>
  <c r="M16" i="39"/>
  <c r="N16" i="39"/>
  <c r="M17" i="39"/>
  <c r="N17" i="39" s="1"/>
  <c r="M18" i="39"/>
  <c r="N18" i="39"/>
  <c r="M19" i="39"/>
  <c r="N19" i="39" s="1"/>
  <c r="M20" i="39"/>
  <c r="N20" i="39"/>
  <c r="M21" i="39"/>
  <c r="N21" i="39" s="1"/>
  <c r="M22" i="39"/>
  <c r="N22" i="39"/>
  <c r="M23" i="39"/>
  <c r="N23" i="39" s="1"/>
  <c r="M24" i="39"/>
  <c r="N24" i="39"/>
  <c r="M25" i="39"/>
  <c r="N25" i="39" s="1"/>
  <c r="M26" i="39"/>
  <c r="N26" i="39"/>
  <c r="M27" i="39"/>
  <c r="N27" i="39" s="1"/>
  <c r="M28" i="39"/>
  <c r="N28" i="39"/>
  <c r="M29" i="39"/>
  <c r="N29" i="39" s="1"/>
  <c r="M30" i="39"/>
  <c r="N30" i="39"/>
  <c r="M31" i="39"/>
  <c r="N31" i="39" s="1"/>
  <c r="M32" i="39"/>
  <c r="N32" i="39"/>
  <c r="M33" i="39"/>
  <c r="N33" i="39" s="1"/>
  <c r="M34" i="39"/>
  <c r="N34" i="39"/>
  <c r="M35" i="39"/>
  <c r="N35" i="39" s="1"/>
  <c r="M36" i="39"/>
  <c r="N36" i="39"/>
  <c r="M37" i="39"/>
  <c r="N37" i="39" s="1"/>
  <c r="M38" i="39"/>
  <c r="N38" i="39"/>
  <c r="M39" i="39"/>
  <c r="N39" i="39" s="1"/>
  <c r="M40" i="39"/>
  <c r="N40" i="39"/>
  <c r="M41" i="39"/>
  <c r="N41" i="39" s="1"/>
  <c r="M42" i="39"/>
  <c r="N42" i="39"/>
  <c r="M43" i="39"/>
  <c r="N43" i="39" s="1"/>
  <c r="M44" i="39"/>
  <c r="N44" i="39"/>
  <c r="M45" i="39"/>
  <c r="N45" i="39" s="1"/>
  <c r="M46" i="39"/>
  <c r="N46" i="39"/>
  <c r="M47" i="39"/>
  <c r="N47" i="39" s="1"/>
  <c r="M48" i="39"/>
  <c r="N48" i="39"/>
  <c r="M49" i="39"/>
  <c r="N49" i="39" s="1"/>
  <c r="M50" i="39"/>
  <c r="N50" i="39"/>
  <c r="M51" i="39"/>
  <c r="N51" i="39" s="1"/>
  <c r="M52" i="39"/>
  <c r="N52" i="39"/>
  <c r="M53" i="39"/>
  <c r="N53" i="39" s="1"/>
  <c r="M54" i="39"/>
  <c r="N54" i="39"/>
  <c r="M55" i="39"/>
  <c r="N55" i="39" s="1"/>
  <c r="M56" i="39"/>
  <c r="N56" i="39"/>
  <c r="M57" i="39"/>
  <c r="N57" i="39" s="1"/>
  <c r="M58" i="39"/>
  <c r="N58" i="39"/>
  <c r="M59" i="39"/>
  <c r="N59" i="39" s="1"/>
  <c r="M60" i="39"/>
  <c r="N60" i="39"/>
  <c r="M61" i="39"/>
  <c r="N61" i="39" s="1"/>
  <c r="M62" i="39"/>
  <c r="N62" i="39"/>
  <c r="M63" i="39"/>
  <c r="N63" i="39" s="1"/>
  <c r="M64" i="39"/>
  <c r="N64" i="39"/>
  <c r="M65" i="39"/>
  <c r="N65" i="39" s="1"/>
  <c r="M66" i="39"/>
  <c r="N66" i="39"/>
  <c r="M67" i="39"/>
  <c r="N67" i="39" s="1"/>
  <c r="M68" i="39"/>
  <c r="N68" i="39"/>
  <c r="M69" i="39"/>
  <c r="N69" i="39" s="1"/>
  <c r="M70" i="39"/>
  <c r="N70" i="39"/>
  <c r="M71" i="39"/>
  <c r="N71" i="39" s="1"/>
  <c r="M72" i="39"/>
  <c r="N72" i="39"/>
  <c r="M73" i="39"/>
  <c r="N73" i="39" s="1"/>
  <c r="M74" i="39"/>
  <c r="N74" i="39"/>
  <c r="M75" i="39"/>
  <c r="N75" i="39" s="1"/>
  <c r="M76" i="39"/>
  <c r="N76" i="39"/>
  <c r="M77" i="39"/>
  <c r="N77" i="39" s="1"/>
  <c r="M78" i="39"/>
  <c r="N78" i="39"/>
  <c r="M79" i="39"/>
  <c r="N79" i="39" s="1"/>
  <c r="M80" i="39"/>
  <c r="N80" i="39"/>
  <c r="M81" i="39"/>
  <c r="N81" i="39" s="1"/>
  <c r="M82" i="39"/>
  <c r="N82" i="39"/>
  <c r="M83" i="39"/>
  <c r="N83" i="39" s="1"/>
  <c r="M84" i="39"/>
  <c r="N84" i="39"/>
  <c r="M85" i="39"/>
  <c r="N85" i="39" s="1"/>
  <c r="M86" i="39"/>
  <c r="N86" i="39"/>
  <c r="M87" i="39"/>
  <c r="N87" i="39" s="1"/>
  <c r="M88" i="39"/>
  <c r="N88" i="39"/>
  <c r="M89" i="39"/>
  <c r="N89" i="39" s="1"/>
  <c r="M90" i="39"/>
  <c r="N90" i="39"/>
  <c r="M91" i="39"/>
  <c r="N91" i="39" s="1"/>
  <c r="M92" i="39"/>
  <c r="N92" i="39"/>
  <c r="M93" i="39"/>
  <c r="N93" i="39" s="1"/>
  <c r="M94" i="39"/>
  <c r="N94" i="39"/>
  <c r="M95" i="39"/>
  <c r="N95" i="39" s="1"/>
  <c r="M96" i="39"/>
  <c r="N96" i="39"/>
  <c r="M97" i="39"/>
  <c r="N97" i="39" s="1"/>
  <c r="M98" i="39"/>
  <c r="N98" i="39"/>
  <c r="M99" i="39"/>
  <c r="N99" i="39" s="1"/>
  <c r="M100" i="39"/>
  <c r="N100" i="39"/>
  <c r="M101" i="39"/>
  <c r="N101" i="39" s="1"/>
  <c r="M102" i="39"/>
  <c r="N102" i="39"/>
  <c r="M103" i="39"/>
  <c r="N103" i="39" s="1"/>
  <c r="M104" i="39"/>
  <c r="N104" i="39"/>
  <c r="M105" i="39"/>
  <c r="N105" i="39" s="1"/>
  <c r="M106" i="39"/>
  <c r="N106" i="39"/>
  <c r="M107" i="39"/>
  <c r="N107" i="39" s="1"/>
  <c r="M108" i="39"/>
  <c r="N108" i="39"/>
  <c r="M109" i="39"/>
  <c r="N109" i="39" s="1"/>
  <c r="M110" i="39"/>
  <c r="N110" i="39"/>
  <c r="M111" i="39"/>
  <c r="N111" i="39" s="1"/>
  <c r="M112" i="39"/>
  <c r="N112" i="39"/>
  <c r="M113" i="39"/>
  <c r="N113" i="39" s="1"/>
  <c r="M114" i="39"/>
  <c r="N114" i="39"/>
  <c r="M115" i="39"/>
  <c r="N115" i="39" s="1"/>
  <c r="M116" i="39"/>
  <c r="N116" i="39"/>
  <c r="M117" i="39"/>
  <c r="N117" i="39" s="1"/>
  <c r="M118" i="39"/>
  <c r="N118" i="39"/>
  <c r="M119" i="39"/>
  <c r="N119" i="39" s="1"/>
  <c r="M120" i="39"/>
  <c r="N120" i="39"/>
  <c r="M121" i="39"/>
  <c r="N121" i="39" s="1"/>
  <c r="M122" i="39"/>
  <c r="N122" i="39"/>
  <c r="M123" i="39"/>
  <c r="N123" i="39" s="1"/>
  <c r="M124" i="39"/>
  <c r="N124" i="39"/>
  <c r="F103" i="9"/>
  <c r="R129" i="9"/>
  <c r="Q130" i="9"/>
  <c r="Q129" i="9"/>
  <c r="R126" i="9"/>
  <c r="R125" i="9"/>
  <c r="R124" i="9"/>
  <c r="Q125" i="9"/>
  <c r="O125" i="9"/>
  <c r="V126" i="9"/>
  <c r="U126" i="9"/>
  <c r="T126" i="9"/>
  <c r="S126" i="9"/>
  <c r="Q126" i="9"/>
  <c r="P126" i="9"/>
  <c r="O126" i="9"/>
  <c r="V125" i="9"/>
  <c r="U125" i="9"/>
  <c r="T125" i="9"/>
  <c r="S125" i="9"/>
  <c r="P125" i="9"/>
  <c r="S124" i="9"/>
  <c r="T124" i="9"/>
  <c r="U124" i="9"/>
  <c r="V124" i="9"/>
  <c r="Q124" i="9"/>
  <c r="P124" i="9"/>
  <c r="O124" i="9"/>
  <c r="C124" i="9"/>
  <c r="Q122" i="9"/>
  <c r="AF17" i="32"/>
  <c r="AF42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B42" i="32"/>
  <c r="AB40" i="32"/>
  <c r="AB39" i="32"/>
  <c r="AB38" i="32"/>
  <c r="AB37" i="32"/>
  <c r="AB36" i="32"/>
  <c r="AB35" i="32"/>
  <c r="AB34" i="32"/>
  <c r="AB33" i="32"/>
  <c r="AB32" i="32"/>
  <c r="AB31" i="32"/>
  <c r="AB30" i="32"/>
  <c r="AB29" i="32"/>
  <c r="X42" i="32"/>
  <c r="X40" i="32"/>
  <c r="X39" i="32"/>
  <c r="X38" i="32"/>
  <c r="X37" i="32"/>
  <c r="X36" i="32"/>
  <c r="X35" i="32"/>
  <c r="X34" i="32"/>
  <c r="X33" i="32"/>
  <c r="X32" i="32"/>
  <c r="X31" i="32"/>
  <c r="X30" i="32"/>
  <c r="X29" i="32"/>
  <c r="T42" i="32"/>
  <c r="T40" i="32"/>
  <c r="T39" i="32"/>
  <c r="T38" i="32"/>
  <c r="T37" i="32"/>
  <c r="T36" i="32"/>
  <c r="T35" i="32"/>
  <c r="T34" i="32"/>
  <c r="T33" i="32"/>
  <c r="T32" i="32"/>
  <c r="T31" i="32"/>
  <c r="T30" i="32"/>
  <c r="T29" i="32"/>
  <c r="P42" i="32"/>
  <c r="P40" i="32"/>
  <c r="P39" i="32"/>
  <c r="P38" i="32"/>
  <c r="P37" i="32"/>
  <c r="P36" i="32"/>
  <c r="P35" i="32"/>
  <c r="P34" i="32"/>
  <c r="P33" i="32"/>
  <c r="P32" i="32"/>
  <c r="P31" i="32"/>
  <c r="P30" i="32"/>
  <c r="P29" i="32"/>
  <c r="L42" i="32"/>
  <c r="L40" i="32"/>
  <c r="L39" i="32"/>
  <c r="L38" i="32"/>
  <c r="L37" i="32"/>
  <c r="L36" i="32"/>
  <c r="L35" i="32"/>
  <c r="L34" i="32"/>
  <c r="L33" i="32"/>
  <c r="L32" i="32"/>
  <c r="L31" i="32"/>
  <c r="L30" i="32"/>
  <c r="L29" i="32"/>
  <c r="H42" i="32"/>
  <c r="H40" i="32"/>
  <c r="H39" i="32"/>
  <c r="H38" i="32"/>
  <c r="H37" i="32"/>
  <c r="H36" i="32"/>
  <c r="H35" i="32"/>
  <c r="H34" i="32"/>
  <c r="H33" i="32"/>
  <c r="H32" i="32"/>
  <c r="H31" i="32"/>
  <c r="H30" i="32"/>
  <c r="H29" i="32"/>
  <c r="D30" i="32"/>
  <c r="D31" i="32"/>
  <c r="D32" i="32"/>
  <c r="D33" i="32"/>
  <c r="D34" i="32"/>
  <c r="D35" i="32"/>
  <c r="D36" i="32"/>
  <c r="D37" i="32"/>
  <c r="D38" i="32"/>
  <c r="D39" i="32"/>
  <c r="D40" i="32"/>
  <c r="D29" i="32"/>
  <c r="D42" i="32"/>
  <c r="AB13" i="7"/>
  <c r="AB12" i="7"/>
  <c r="AB11" i="7"/>
  <c r="AB7" i="7"/>
  <c r="AB8" i="7"/>
  <c r="AB6" i="7"/>
  <c r="S241" i="7"/>
  <c r="R122" i="9"/>
  <c r="P3" i="30"/>
  <c r="P4" i="30"/>
  <c r="P5" i="30"/>
  <c r="P6" i="30"/>
  <c r="P7" i="30"/>
  <c r="P8" i="30"/>
  <c r="P9" i="30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24" i="30"/>
  <c r="P25" i="30"/>
  <c r="P26" i="30"/>
  <c r="P27" i="30"/>
  <c r="P28" i="30"/>
  <c r="P29" i="30"/>
  <c r="P30" i="30"/>
  <c r="P31" i="30"/>
  <c r="P32" i="30"/>
  <c r="P33" i="30"/>
  <c r="P34" i="30"/>
  <c r="P35" i="30"/>
  <c r="P36" i="30"/>
  <c r="P37" i="30"/>
  <c r="P38" i="30"/>
  <c r="P39" i="30"/>
  <c r="P40" i="30"/>
  <c r="P41" i="30"/>
  <c r="P42" i="30"/>
  <c r="P43" i="30"/>
  <c r="P44" i="30"/>
  <c r="P45" i="30"/>
  <c r="P46" i="30"/>
  <c r="P47" i="30"/>
  <c r="P48" i="30"/>
  <c r="P49" i="30"/>
  <c r="P50" i="30"/>
  <c r="P51" i="30"/>
  <c r="P52" i="30"/>
  <c r="P53" i="30"/>
  <c r="P54" i="30"/>
  <c r="P55" i="30"/>
  <c r="P56" i="30"/>
  <c r="P57" i="30"/>
  <c r="P58" i="30"/>
  <c r="P59" i="30"/>
  <c r="P60" i="30"/>
  <c r="P61" i="30"/>
  <c r="P62" i="30"/>
  <c r="P63" i="30"/>
  <c r="P64" i="30"/>
  <c r="P65" i="30"/>
  <c r="P66" i="30"/>
  <c r="P67" i="30"/>
  <c r="P68" i="30"/>
  <c r="P69" i="30"/>
  <c r="P70" i="30"/>
  <c r="P71" i="30"/>
  <c r="P72" i="30"/>
  <c r="P73" i="30"/>
  <c r="P74" i="30"/>
  <c r="P75" i="30"/>
  <c r="P76" i="30"/>
  <c r="P77" i="30"/>
  <c r="P78" i="30"/>
  <c r="P79" i="30"/>
  <c r="P80" i="30"/>
  <c r="P81" i="30"/>
  <c r="P82" i="30"/>
  <c r="P83" i="30"/>
  <c r="P84" i="30"/>
  <c r="P85" i="30"/>
  <c r="P86" i="30"/>
  <c r="P87" i="30"/>
  <c r="P88" i="30"/>
  <c r="P89" i="30"/>
  <c r="P90" i="30"/>
  <c r="P91" i="30"/>
  <c r="P92" i="30"/>
  <c r="P93" i="30"/>
  <c r="P94" i="30"/>
  <c r="P95" i="30"/>
  <c r="P96" i="30"/>
  <c r="P97" i="30"/>
  <c r="P98" i="30"/>
  <c r="P99" i="30"/>
  <c r="P100" i="30"/>
  <c r="P101" i="30"/>
  <c r="P102" i="30"/>
  <c r="P103" i="30"/>
  <c r="P104" i="30"/>
  <c r="P105" i="30"/>
  <c r="P106" i="30"/>
  <c r="P107" i="30"/>
  <c r="P108" i="30"/>
  <c r="P109" i="30"/>
  <c r="P110" i="30"/>
  <c r="P111" i="30"/>
  <c r="P112" i="30"/>
  <c r="P113" i="30"/>
  <c r="P114" i="30"/>
  <c r="P115" i="30"/>
  <c r="P116" i="30"/>
  <c r="P117" i="30"/>
  <c r="P118" i="30"/>
  <c r="P119" i="30"/>
  <c r="P120" i="30"/>
  <c r="P121" i="30"/>
  <c r="P122" i="30"/>
  <c r="P123" i="30"/>
  <c r="P124" i="30"/>
  <c r="P125" i="30"/>
  <c r="P126" i="30"/>
  <c r="P127" i="30"/>
  <c r="P128" i="30"/>
  <c r="P129" i="30"/>
  <c r="P130" i="30"/>
  <c r="P131" i="30"/>
  <c r="P132" i="30"/>
  <c r="P133" i="30"/>
  <c r="P134" i="30"/>
  <c r="P135" i="30"/>
  <c r="P136" i="30"/>
  <c r="P137" i="30"/>
  <c r="P138" i="30"/>
  <c r="P139" i="30"/>
  <c r="P140" i="30"/>
  <c r="P141" i="30"/>
  <c r="P142" i="30"/>
  <c r="P143" i="30"/>
  <c r="P144" i="30"/>
  <c r="P145" i="30"/>
  <c r="P2" i="30"/>
  <c r="P3" i="64"/>
  <c r="P4" i="64"/>
  <c r="P5" i="64"/>
  <c r="P6" i="64"/>
  <c r="P7" i="64"/>
  <c r="P8" i="64"/>
  <c r="P9" i="64"/>
  <c r="P10" i="64"/>
  <c r="P11" i="64"/>
  <c r="P12" i="64"/>
  <c r="P13" i="64"/>
  <c r="P14" i="64"/>
  <c r="P15" i="64"/>
  <c r="P16" i="64"/>
  <c r="P17" i="64"/>
  <c r="P18" i="64"/>
  <c r="P19" i="64"/>
  <c r="P20" i="64"/>
  <c r="P21" i="64"/>
  <c r="P22" i="64"/>
  <c r="P23" i="64"/>
  <c r="P24" i="64"/>
  <c r="P25" i="64"/>
  <c r="P26" i="64"/>
  <c r="P27" i="64"/>
  <c r="P28" i="64"/>
  <c r="P29" i="64"/>
  <c r="P30" i="64"/>
  <c r="P31" i="64"/>
  <c r="P32" i="64"/>
  <c r="P33" i="64"/>
  <c r="P34" i="64"/>
  <c r="P35" i="64"/>
  <c r="P36" i="64"/>
  <c r="P37" i="64"/>
  <c r="P38" i="64"/>
  <c r="P39" i="64"/>
  <c r="P40" i="64"/>
  <c r="P41" i="64"/>
  <c r="P42" i="64"/>
  <c r="P43" i="64"/>
  <c r="P44" i="64"/>
  <c r="P45" i="64"/>
  <c r="P46" i="64"/>
  <c r="P47" i="64"/>
  <c r="P48" i="64"/>
  <c r="P49" i="64"/>
  <c r="P50" i="64"/>
  <c r="P51" i="64"/>
  <c r="P52" i="64"/>
  <c r="P53" i="64"/>
  <c r="P54" i="64"/>
  <c r="P55" i="64"/>
  <c r="P56" i="64"/>
  <c r="P57" i="64"/>
  <c r="P58" i="64"/>
  <c r="P59" i="64"/>
  <c r="P60" i="64"/>
  <c r="P61" i="64"/>
  <c r="P62" i="64"/>
  <c r="P63" i="64"/>
  <c r="P64" i="64"/>
  <c r="P65" i="64"/>
  <c r="P66" i="64"/>
  <c r="P67" i="64"/>
  <c r="P68" i="64"/>
  <c r="P69" i="64"/>
  <c r="P70" i="64"/>
  <c r="P71" i="64"/>
  <c r="P72" i="64"/>
  <c r="P73" i="64"/>
  <c r="P74" i="64"/>
  <c r="P75" i="64"/>
  <c r="P76" i="64"/>
  <c r="P77" i="64"/>
  <c r="P78" i="64"/>
  <c r="P79" i="64"/>
  <c r="P80" i="64"/>
  <c r="P81" i="64"/>
  <c r="P82" i="64"/>
  <c r="P83" i="64"/>
  <c r="P84" i="64"/>
  <c r="P85" i="64"/>
  <c r="P86" i="64"/>
  <c r="P87" i="64"/>
  <c r="P88" i="64"/>
  <c r="P89" i="64"/>
  <c r="P90" i="64"/>
  <c r="P91" i="64"/>
  <c r="P92" i="64"/>
  <c r="P93" i="64"/>
  <c r="P94" i="64"/>
  <c r="P95" i="64"/>
  <c r="P96" i="64"/>
  <c r="P97" i="64"/>
  <c r="P98" i="64"/>
  <c r="P99" i="64"/>
  <c r="P100" i="64"/>
  <c r="P101" i="64"/>
  <c r="P102" i="64"/>
  <c r="P103" i="64"/>
  <c r="P104" i="64"/>
  <c r="P105" i="64"/>
  <c r="P106" i="64"/>
  <c r="P107" i="64"/>
  <c r="P108" i="64"/>
  <c r="P109" i="64"/>
  <c r="P110" i="64"/>
  <c r="P111" i="64"/>
  <c r="P112" i="64"/>
  <c r="P113" i="64"/>
  <c r="P114" i="64"/>
  <c r="P115" i="64"/>
  <c r="P116" i="64"/>
  <c r="P117" i="64"/>
  <c r="P118" i="64"/>
  <c r="P119" i="64"/>
  <c r="P120" i="64"/>
  <c r="P121" i="64"/>
  <c r="P122" i="64"/>
  <c r="P123" i="64"/>
  <c r="P124" i="64"/>
  <c r="P125" i="64"/>
  <c r="P126" i="64"/>
  <c r="P127" i="64"/>
  <c r="P128" i="64"/>
  <c r="P129" i="64"/>
  <c r="P130" i="64"/>
  <c r="P131" i="64"/>
  <c r="P132" i="64"/>
  <c r="P133" i="64"/>
  <c r="P2" i="64"/>
  <c r="A122" i="28"/>
  <c r="B122" i="28" s="1"/>
  <c r="A123" i="28"/>
  <c r="B123" i="28" s="1"/>
  <c r="A124" i="28"/>
  <c r="C124" i="28" s="1"/>
  <c r="B124" i="28"/>
  <c r="A125" i="28"/>
  <c r="B125" i="28"/>
  <c r="C125" i="28"/>
  <c r="A126" i="28"/>
  <c r="B126" i="28"/>
  <c r="C126" i="28"/>
  <c r="A127" i="28"/>
  <c r="B127" i="28" s="1"/>
  <c r="A128" i="28"/>
  <c r="C128" i="28" s="1"/>
  <c r="B128" i="28"/>
  <c r="A129" i="28"/>
  <c r="B129" i="28" s="1"/>
  <c r="C129" i="28"/>
  <c r="A130" i="28"/>
  <c r="B130" i="28"/>
  <c r="C130" i="28"/>
  <c r="A131" i="28"/>
  <c r="B131" i="28" s="1"/>
  <c r="A132" i="28"/>
  <c r="C132" i="28" s="1"/>
  <c r="B132" i="28"/>
  <c r="A133" i="28"/>
  <c r="B133" i="28" s="1"/>
  <c r="C133" i="28"/>
  <c r="Y134" i="41"/>
  <c r="L27" i="36"/>
  <c r="L28" i="36"/>
  <c r="L29" i="36"/>
  <c r="L30" i="36"/>
  <c r="L31" i="36"/>
  <c r="L3" i="36"/>
  <c r="L4" i="36"/>
  <c r="L5" i="36"/>
  <c r="L6" i="36"/>
  <c r="L7" i="36"/>
  <c r="L8" i="36"/>
  <c r="L9" i="36"/>
  <c r="L10" i="36"/>
  <c r="D25" i="67"/>
  <c r="D24" i="67"/>
  <c r="D23" i="67"/>
  <c r="W28" i="35"/>
  <c r="W29" i="35"/>
  <c r="AC28" i="35"/>
  <c r="AC29" i="35"/>
  <c r="AC30" i="35" s="1"/>
  <c r="Q29" i="35"/>
  <c r="Q30" i="35" s="1"/>
  <c r="K29" i="35"/>
  <c r="E29" i="35"/>
  <c r="E28" i="35" s="1"/>
  <c r="K28" i="35"/>
  <c r="F29" i="35" a="1"/>
  <c r="F29" i="35" s="1"/>
  <c r="L29" i="35" a="1"/>
  <c r="L29" i="35" s="1"/>
  <c r="R29" i="35" a="1"/>
  <c r="R29" i="35"/>
  <c r="U29" i="35"/>
  <c r="X29" i="35" a="1"/>
  <c r="X29" i="35"/>
  <c r="AA29" i="35"/>
  <c r="AB29" i="35" s="1"/>
  <c r="AD29" i="35" a="1"/>
  <c r="AD29" i="35" s="1"/>
  <c r="AE29" i="35"/>
  <c r="L15" i="35"/>
  <c r="B15" i="35"/>
  <c r="C15" i="35"/>
  <c r="E15" i="35"/>
  <c r="F15" i="35"/>
  <c r="H15" i="35"/>
  <c r="I15" i="35"/>
  <c r="K15" i="35"/>
  <c r="N15" i="35"/>
  <c r="O15" i="35"/>
  <c r="Q15" i="35"/>
  <c r="R15" i="35"/>
  <c r="T15" i="35"/>
  <c r="U15" i="35"/>
  <c r="W15" i="35"/>
  <c r="X15" i="35"/>
  <c r="Z15" i="35"/>
  <c r="AA15" i="35"/>
  <c r="AC15" i="35"/>
  <c r="AD15" i="35"/>
  <c r="O15" i="70"/>
  <c r="N15" i="70"/>
  <c r="M15" i="70"/>
  <c r="M26" i="70"/>
  <c r="L26" i="70"/>
  <c r="M25" i="70"/>
  <c r="N32" i="70"/>
  <c r="M32" i="70"/>
  <c r="BN79" i="33"/>
  <c r="BN78" i="33"/>
  <c r="BQ14" i="33"/>
  <c r="BP14" i="33"/>
  <c r="BN15" i="33"/>
  <c r="AV78" i="33"/>
  <c r="AW78" i="33"/>
  <c r="AX78" i="33"/>
  <c r="BB78" i="33"/>
  <c r="BD78" i="33" s="1"/>
  <c r="BC78" i="33"/>
  <c r="AV79" i="33"/>
  <c r="AX79" i="33" s="1"/>
  <c r="AW79" i="33"/>
  <c r="BB79" i="33"/>
  <c r="BC79" i="33"/>
  <c r="BD79" i="33"/>
  <c r="AV80" i="33"/>
  <c r="AW80" i="33"/>
  <c r="AX80" i="33"/>
  <c r="BB80" i="33"/>
  <c r="BD80" i="33" s="1"/>
  <c r="BC80" i="33"/>
  <c r="AV81" i="33"/>
  <c r="AX81" i="33" s="1"/>
  <c r="AW81" i="33"/>
  <c r="BB81" i="33"/>
  <c r="BC81" i="33"/>
  <c r="BD81" i="33"/>
  <c r="AV82" i="33"/>
  <c r="AW82" i="33"/>
  <c r="AX82" i="33"/>
  <c r="BB82" i="33"/>
  <c r="BD82" i="33" s="1"/>
  <c r="BC82" i="33"/>
  <c r="AV83" i="33"/>
  <c r="AX83" i="33" s="1"/>
  <c r="AW83" i="33"/>
  <c r="BB83" i="33"/>
  <c r="BC83" i="33"/>
  <c r="BD83" i="33"/>
  <c r="AV84" i="33"/>
  <c r="AW84" i="33"/>
  <c r="AX84" i="33"/>
  <c r="BB84" i="33"/>
  <c r="BD84" i="33" s="1"/>
  <c r="BC84" i="33"/>
  <c r="AV85" i="33"/>
  <c r="AX85" i="33" s="1"/>
  <c r="AW85" i="33"/>
  <c r="BB85" i="33"/>
  <c r="BC85" i="33"/>
  <c r="BD85" i="33"/>
  <c r="AV86" i="33"/>
  <c r="AW86" i="33"/>
  <c r="AX86" i="33"/>
  <c r="BB86" i="33"/>
  <c r="BD86" i="33" s="1"/>
  <c r="BC86" i="33"/>
  <c r="AV87" i="33"/>
  <c r="AX87" i="33" s="1"/>
  <c r="AW87" i="33"/>
  <c r="BB87" i="33"/>
  <c r="BC87" i="33"/>
  <c r="BD87" i="33"/>
  <c r="AV88" i="33"/>
  <c r="AW88" i="33"/>
  <c r="AX88" i="33"/>
  <c r="BB88" i="33"/>
  <c r="BD88" i="33" s="1"/>
  <c r="BC88" i="33"/>
  <c r="AV89" i="33"/>
  <c r="AX89" i="33" s="1"/>
  <c r="AW89" i="33"/>
  <c r="BB89" i="33"/>
  <c r="BC89" i="33"/>
  <c r="BD89" i="33"/>
  <c r="BH78" i="33"/>
  <c r="BJ78" i="33" s="1"/>
  <c r="BI78" i="33"/>
  <c r="BM78" i="33"/>
  <c r="BP78" i="33"/>
  <c r="BO78" i="33"/>
  <c r="BH79" i="33"/>
  <c r="BJ79" i="33" s="1"/>
  <c r="BI79" i="33"/>
  <c r="BM79" i="33"/>
  <c r="BO79" i="33"/>
  <c r="BH80" i="33"/>
  <c r="BJ80" i="33" s="1"/>
  <c r="BI80" i="33"/>
  <c r="BO80" i="33" s="1"/>
  <c r="BM80" i="33"/>
  <c r="BN80" i="33"/>
  <c r="BH81" i="33"/>
  <c r="BI81" i="33"/>
  <c r="BJ81" i="33"/>
  <c r="BM81" i="33"/>
  <c r="BN81" i="33"/>
  <c r="BO81" i="33"/>
  <c r="BP81" i="33"/>
  <c r="BH82" i="33"/>
  <c r="BJ82" i="33" s="1"/>
  <c r="BI82" i="33"/>
  <c r="BM82" i="33"/>
  <c r="BN82" i="33"/>
  <c r="BP82" i="33" s="1"/>
  <c r="BO82" i="33"/>
  <c r="BH83" i="33"/>
  <c r="BN83" i="33" s="1"/>
  <c r="BP83" i="33" s="1"/>
  <c r="BI83" i="33"/>
  <c r="BM83" i="33"/>
  <c r="BO83" i="33"/>
  <c r="BH84" i="33"/>
  <c r="BI84" i="33"/>
  <c r="BJ84" i="33" s="1"/>
  <c r="BM84" i="33"/>
  <c r="BN84" i="33"/>
  <c r="BH85" i="33"/>
  <c r="BI85" i="33"/>
  <c r="BJ85" i="33"/>
  <c r="BM85" i="33"/>
  <c r="BN85" i="33"/>
  <c r="BO85" i="33"/>
  <c r="BP85" i="33"/>
  <c r="BH86" i="33"/>
  <c r="BJ86" i="33" s="1"/>
  <c r="BI86" i="33"/>
  <c r="BM86" i="33"/>
  <c r="BN86" i="33"/>
  <c r="BP86" i="33" s="1"/>
  <c r="BO86" i="33"/>
  <c r="BH87" i="33"/>
  <c r="BJ87" i="33" s="1"/>
  <c r="BI87" i="33"/>
  <c r="BM87" i="33"/>
  <c r="BN87" i="33"/>
  <c r="BP87" i="33" s="1"/>
  <c r="BO87" i="33"/>
  <c r="BH88" i="33"/>
  <c r="BI88" i="33"/>
  <c r="BJ88" i="33" s="1"/>
  <c r="BM88" i="33"/>
  <c r="BN88" i="33"/>
  <c r="BH89" i="33"/>
  <c r="BI89" i="33"/>
  <c r="BJ89" i="33"/>
  <c r="BM89" i="33"/>
  <c r="BN89" i="33"/>
  <c r="BO89" i="33"/>
  <c r="BP89" i="33"/>
  <c r="BN14" i="33"/>
  <c r="BG15" i="33"/>
  <c r="BH15" i="33" s="1"/>
  <c r="BN70" i="33"/>
  <c r="BN69" i="33"/>
  <c r="BN68" i="33"/>
  <c r="BN67" i="33"/>
  <c r="BN66" i="33"/>
  <c r="BA14" i="33"/>
  <c r="BB14" i="33" s="1"/>
  <c r="AU15" i="33"/>
  <c r="AV15" i="33" s="1"/>
  <c r="AL14" i="33"/>
  <c r="AM14" i="33" s="1"/>
  <c r="AL15" i="33"/>
  <c r="AM15" i="33" s="1"/>
  <c r="AC14" i="33"/>
  <c r="AD14" i="33" s="1"/>
  <c r="AC15" i="33"/>
  <c r="AD15" i="33" s="1"/>
  <c r="U14" i="33"/>
  <c r="U15" i="33"/>
  <c r="Q16" i="33"/>
  <c r="K14" i="33"/>
  <c r="L14" i="33" s="1"/>
  <c r="M14" i="33"/>
  <c r="Q14" i="33" s="1"/>
  <c r="N14" i="33"/>
  <c r="K15" i="33"/>
  <c r="L15" i="33" s="1"/>
  <c r="H16" i="33"/>
  <c r="E11" i="33"/>
  <c r="E12" i="33"/>
  <c r="E13" i="33"/>
  <c r="E14" i="33"/>
  <c r="E15" i="33"/>
  <c r="E6" i="33"/>
  <c r="E7" i="33"/>
  <c r="E8" i="33"/>
  <c r="E9" i="33"/>
  <c r="E10" i="33"/>
  <c r="B15" i="33"/>
  <c r="C15" i="33" s="1"/>
  <c r="D15" i="33"/>
  <c r="H15" i="33" s="1"/>
  <c r="F6" i="72" l="1"/>
  <c r="E20" i="72" s="1"/>
  <c r="F5" i="72"/>
  <c r="E19" i="72" s="1"/>
  <c r="F12" i="72"/>
  <c r="E26" i="72" s="1"/>
  <c r="H26" i="72" s="1"/>
  <c r="F11" i="72"/>
  <c r="E25" i="72" s="1"/>
  <c r="F9" i="72"/>
  <c r="E23" i="72" s="1"/>
  <c r="F10" i="72"/>
  <c r="E24" i="72" s="1"/>
  <c r="F8" i="72"/>
  <c r="E22" i="72" s="1"/>
  <c r="F7" i="72"/>
  <c r="E21" i="72" s="1"/>
  <c r="AF14" i="33"/>
  <c r="W14" i="33"/>
  <c r="C122" i="28"/>
  <c r="C131" i="28"/>
  <c r="C127" i="28"/>
  <c r="C123" i="28"/>
  <c r="L32" i="68"/>
  <c r="L32" i="36"/>
  <c r="L11" i="68"/>
  <c r="V29" i="35"/>
  <c r="Q28" i="35"/>
  <c r="Q27" i="35" s="1"/>
  <c r="BP80" i="33"/>
  <c r="BO88" i="33"/>
  <c r="BP88" i="33" s="1"/>
  <c r="BO84" i="33"/>
  <c r="BP84" i="33" s="1"/>
  <c r="BP79" i="33"/>
  <c r="BJ83" i="33"/>
  <c r="BA15" i="33"/>
  <c r="BB15" i="33" s="1"/>
  <c r="M15" i="33"/>
  <c r="Q15" i="33" s="1"/>
  <c r="N15" i="33"/>
  <c r="N93" i="9" l="1"/>
  <c r="N42" i="9" l="1"/>
  <c r="L8" i="67"/>
  <c r="L9" i="67"/>
  <c r="L10" i="67"/>
  <c r="L11" i="67"/>
  <c r="L12" i="67"/>
  <c r="L13" i="67"/>
  <c r="L14" i="67"/>
  <c r="L7" i="67"/>
  <c r="H8" i="67"/>
  <c r="H9" i="67"/>
  <c r="H10" i="67"/>
  <c r="H11" i="67"/>
  <c r="H12" i="67"/>
  <c r="H13" i="67"/>
  <c r="H14" i="67"/>
  <c r="H7" i="67"/>
  <c r="H15" i="67" s="1"/>
  <c r="G9" i="67"/>
  <c r="G10" i="67" s="1"/>
  <c r="G11" i="67" s="1"/>
  <c r="G12" i="67" s="1"/>
  <c r="G13" i="67" s="1"/>
  <c r="G14" i="67" s="1"/>
  <c r="G8" i="67"/>
  <c r="AE28" i="32" l="1"/>
  <c r="AE29" i="32"/>
  <c r="AE30" i="32"/>
  <c r="AE31" i="32"/>
  <c r="AE32" i="32"/>
  <c r="AE33" i="32"/>
  <c r="AE34" i="32"/>
  <c r="AE35" i="32"/>
  <c r="AE36" i="32"/>
  <c r="AE37" i="32"/>
  <c r="AE38" i="32"/>
  <c r="AE39" i="32"/>
  <c r="AE40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O28" i="32"/>
  <c r="O29" i="32"/>
  <c r="O30" i="32"/>
  <c r="O31" i="32"/>
  <c r="O32" i="32"/>
  <c r="O33" i="32"/>
  <c r="O34" i="32"/>
  <c r="O35" i="32"/>
  <c r="O36" i="32"/>
  <c r="O37" i="32"/>
  <c r="O38" i="32"/>
  <c r="O39" i="32"/>
  <c r="O40" i="32"/>
  <c r="S28" i="32"/>
  <c r="S29" i="32"/>
  <c r="S30" i="32"/>
  <c r="S31" i="32"/>
  <c r="S32" i="32"/>
  <c r="S33" i="32"/>
  <c r="S34" i="32"/>
  <c r="S35" i="32"/>
  <c r="S36" i="32"/>
  <c r="S37" i="32"/>
  <c r="S38" i="32"/>
  <c r="S39" i="32"/>
  <c r="S40" i="32"/>
  <c r="W28" i="32"/>
  <c r="W29" i="32"/>
  <c r="W30" i="32"/>
  <c r="W31" i="32"/>
  <c r="W32" i="32"/>
  <c r="W33" i="32"/>
  <c r="W34" i="32"/>
  <c r="W35" i="32"/>
  <c r="W36" i="32"/>
  <c r="W37" i="32"/>
  <c r="W38" i="32"/>
  <c r="W39" i="32"/>
  <c r="W40" i="32"/>
  <c r="AA28" i="32"/>
  <c r="AA29" i="32"/>
  <c r="AA30" i="32"/>
  <c r="AA31" i="32"/>
  <c r="AA32" i="32"/>
  <c r="AA33" i="32"/>
  <c r="AA34" i="32"/>
  <c r="AA35" i="32"/>
  <c r="AA36" i="32"/>
  <c r="AA37" i="32"/>
  <c r="AA38" i="32"/>
  <c r="AA39" i="32"/>
  <c r="AA40" i="32"/>
  <c r="E122" i="31"/>
  <c r="G122" i="31"/>
  <c r="E123" i="31"/>
  <c r="G123" i="31"/>
  <c r="L123" i="31" s="1"/>
  <c r="E124" i="31"/>
  <c r="G124" i="31"/>
  <c r="L124" i="31" s="1"/>
  <c r="E125" i="31"/>
  <c r="G125" i="31"/>
  <c r="L125" i="31" s="1"/>
  <c r="E126" i="31"/>
  <c r="G126" i="31"/>
  <c r="E127" i="31"/>
  <c r="G127" i="31"/>
  <c r="L127" i="31" s="1"/>
  <c r="E128" i="31"/>
  <c r="G128" i="31"/>
  <c r="L128" i="31" s="1"/>
  <c r="E129" i="31"/>
  <c r="G129" i="31"/>
  <c r="L129" i="31" s="1"/>
  <c r="E130" i="31"/>
  <c r="G130" i="31"/>
  <c r="E131" i="31"/>
  <c r="G131" i="31"/>
  <c r="L131" i="31" s="1"/>
  <c r="E132" i="31"/>
  <c r="G132" i="31"/>
  <c r="L132" i="31" s="1"/>
  <c r="E133" i="31"/>
  <c r="G133" i="31"/>
  <c r="L133" i="31" s="1"/>
  <c r="F122" i="30"/>
  <c r="G122" i="30"/>
  <c r="H122" i="30"/>
  <c r="I122" i="30"/>
  <c r="F123" i="30"/>
  <c r="G123" i="30"/>
  <c r="H123" i="30"/>
  <c r="I123" i="30"/>
  <c r="F124" i="30"/>
  <c r="G124" i="30"/>
  <c r="H124" i="30"/>
  <c r="I124" i="30"/>
  <c r="F125" i="30"/>
  <c r="G125" i="30"/>
  <c r="H125" i="30"/>
  <c r="I125" i="30"/>
  <c r="F126" i="30"/>
  <c r="G126" i="30"/>
  <c r="H126" i="30"/>
  <c r="I126" i="30"/>
  <c r="F127" i="30"/>
  <c r="G127" i="30"/>
  <c r="H127" i="30"/>
  <c r="I127" i="30"/>
  <c r="F128" i="30"/>
  <c r="G128" i="30"/>
  <c r="H128" i="30"/>
  <c r="I128" i="30"/>
  <c r="F129" i="30"/>
  <c r="G129" i="30"/>
  <c r="H129" i="30"/>
  <c r="I129" i="30"/>
  <c r="F130" i="30"/>
  <c r="G130" i="30"/>
  <c r="H130" i="30"/>
  <c r="I130" i="30"/>
  <c r="F131" i="30"/>
  <c r="G131" i="30"/>
  <c r="H131" i="30"/>
  <c r="I131" i="30"/>
  <c r="F132" i="30"/>
  <c r="G132" i="30"/>
  <c r="H132" i="30"/>
  <c r="I132" i="30"/>
  <c r="F133" i="30"/>
  <c r="G133" i="30"/>
  <c r="H133" i="30"/>
  <c r="I133" i="30"/>
  <c r="G122" i="29"/>
  <c r="H122" i="29"/>
  <c r="I122" i="29"/>
  <c r="J122" i="29"/>
  <c r="G123" i="29"/>
  <c r="H123" i="29"/>
  <c r="I123" i="29"/>
  <c r="J123" i="29"/>
  <c r="G124" i="29"/>
  <c r="H124" i="29"/>
  <c r="I124" i="29"/>
  <c r="J124" i="29"/>
  <c r="G125" i="29"/>
  <c r="H125" i="29"/>
  <c r="I125" i="29"/>
  <c r="J125" i="29"/>
  <c r="G126" i="29"/>
  <c r="H126" i="29"/>
  <c r="I126" i="29"/>
  <c r="J126" i="29"/>
  <c r="G127" i="29"/>
  <c r="H127" i="29"/>
  <c r="I127" i="29"/>
  <c r="J127" i="29"/>
  <c r="G128" i="29"/>
  <c r="H128" i="29"/>
  <c r="I128" i="29"/>
  <c r="J128" i="29"/>
  <c r="G129" i="29"/>
  <c r="H129" i="29"/>
  <c r="I129" i="29"/>
  <c r="J129" i="29"/>
  <c r="G130" i="29"/>
  <c r="H130" i="29"/>
  <c r="I130" i="29"/>
  <c r="J130" i="29"/>
  <c r="G131" i="29"/>
  <c r="H131" i="29"/>
  <c r="I131" i="29"/>
  <c r="J131" i="29"/>
  <c r="G132" i="29"/>
  <c r="H132" i="29"/>
  <c r="I132" i="29"/>
  <c r="J132" i="29"/>
  <c r="G133" i="29"/>
  <c r="H133" i="29"/>
  <c r="I133" i="29"/>
  <c r="J133" i="29"/>
  <c r="H122" i="28"/>
  <c r="H123" i="28"/>
  <c r="H124" i="28"/>
  <c r="H125" i="28"/>
  <c r="H126" i="28"/>
  <c r="H127" i="28"/>
  <c r="H128" i="28"/>
  <c r="H129" i="28"/>
  <c r="H130" i="28"/>
  <c r="H131" i="28"/>
  <c r="H132" i="28"/>
  <c r="H133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H135" i="27"/>
  <c r="H136" i="27"/>
  <c r="H137" i="27"/>
  <c r="H138" i="27"/>
  <c r="H139" i="27"/>
  <c r="H140" i="27"/>
  <c r="H141" i="27"/>
  <c r="H142" i="27"/>
  <c r="H143" i="27"/>
  <c r="H144" i="27"/>
  <c r="H145" i="27"/>
  <c r="H134" i="27"/>
  <c r="H123" i="27"/>
  <c r="H124" i="27"/>
  <c r="H125" i="27"/>
  <c r="H126" i="27"/>
  <c r="H127" i="27"/>
  <c r="H128" i="27"/>
  <c r="H129" i="27"/>
  <c r="H130" i="27"/>
  <c r="H131" i="27"/>
  <c r="H132" i="27"/>
  <c r="H133" i="27"/>
  <c r="H119" i="27"/>
  <c r="H120" i="27"/>
  <c r="H121" i="27"/>
  <c r="H122" i="27"/>
  <c r="L3" i="31"/>
  <c r="L4" i="31"/>
  <c r="L5" i="3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6" i="31"/>
  <c r="L130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2" i="31"/>
  <c r="L3" i="66"/>
  <c r="L4" i="66"/>
  <c r="L5" i="66"/>
  <c r="L6" i="66"/>
  <c r="L7" i="66"/>
  <c r="L8" i="66"/>
  <c r="L9" i="66"/>
  <c r="L10" i="66"/>
  <c r="L11" i="66"/>
  <c r="L12" i="66"/>
  <c r="L13" i="66"/>
  <c r="L14" i="66"/>
  <c r="L15" i="66"/>
  <c r="L16" i="66"/>
  <c r="L17" i="66"/>
  <c r="L18" i="66"/>
  <c r="L19" i="66"/>
  <c r="L20" i="66"/>
  <c r="L21" i="66"/>
  <c r="L22" i="66"/>
  <c r="L23" i="66"/>
  <c r="L24" i="66"/>
  <c r="L25" i="66"/>
  <c r="L26" i="66"/>
  <c r="L27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6" i="66"/>
  <c r="L57" i="66"/>
  <c r="L58" i="66"/>
  <c r="L59" i="66"/>
  <c r="L60" i="66"/>
  <c r="L61" i="66"/>
  <c r="L62" i="66"/>
  <c r="L63" i="66"/>
  <c r="L64" i="66"/>
  <c r="L65" i="66"/>
  <c r="L66" i="66"/>
  <c r="L67" i="66"/>
  <c r="L68" i="66"/>
  <c r="L69" i="66"/>
  <c r="L70" i="66"/>
  <c r="L71" i="66"/>
  <c r="L72" i="66"/>
  <c r="L73" i="66"/>
  <c r="L74" i="66"/>
  <c r="L75" i="66"/>
  <c r="L76" i="66"/>
  <c r="L77" i="66"/>
  <c r="L78" i="66"/>
  <c r="L79" i="66"/>
  <c r="L80" i="66"/>
  <c r="L81" i="66"/>
  <c r="L82" i="66"/>
  <c r="L83" i="66"/>
  <c r="L84" i="66"/>
  <c r="L85" i="66"/>
  <c r="L86" i="66"/>
  <c r="L87" i="66"/>
  <c r="L88" i="66"/>
  <c r="L89" i="66"/>
  <c r="L90" i="66"/>
  <c r="L91" i="66"/>
  <c r="L92" i="66"/>
  <c r="L93" i="66"/>
  <c r="L94" i="66"/>
  <c r="L95" i="66"/>
  <c r="L96" i="66"/>
  <c r="L97" i="66"/>
  <c r="L98" i="66"/>
  <c r="L99" i="66"/>
  <c r="L100" i="66"/>
  <c r="L101" i="66"/>
  <c r="L102" i="66"/>
  <c r="L103" i="66"/>
  <c r="L104" i="66"/>
  <c r="L105" i="66"/>
  <c r="L106" i="66"/>
  <c r="L107" i="66"/>
  <c r="L108" i="66"/>
  <c r="L109" i="66"/>
  <c r="L110" i="66"/>
  <c r="L111" i="66"/>
  <c r="L112" i="66"/>
  <c r="L113" i="66"/>
  <c r="L114" i="66"/>
  <c r="L115" i="66"/>
  <c r="L116" i="66"/>
  <c r="L117" i="66"/>
  <c r="L118" i="66"/>
  <c r="L119" i="66"/>
  <c r="L120" i="66"/>
  <c r="L121" i="66"/>
  <c r="L122" i="66"/>
  <c r="L123" i="66"/>
  <c r="L124" i="66"/>
  <c r="L125" i="66"/>
  <c r="L126" i="66"/>
  <c r="L127" i="66"/>
  <c r="L128" i="66"/>
  <c r="L129" i="66"/>
  <c r="L130" i="66"/>
  <c r="L131" i="66"/>
  <c r="L132" i="66"/>
  <c r="L133" i="66"/>
  <c r="L2" i="66"/>
  <c r="G2" i="66"/>
  <c r="D118" i="9"/>
  <c r="BO15" i="33" l="1"/>
  <c r="BP15" i="33" s="1"/>
  <c r="BQ15" i="33" s="1"/>
  <c r="D114" i="27" l="1"/>
  <c r="D115" i="27"/>
  <c r="D116" i="27"/>
  <c r="D117" i="27"/>
  <c r="D118" i="27"/>
  <c r="D119" i="27"/>
  <c r="D120" i="27"/>
  <c r="D121" i="27"/>
  <c r="E123" i="66"/>
  <c r="J123" i="66" s="1"/>
  <c r="E124" i="66"/>
  <c r="E125" i="66"/>
  <c r="E126" i="66"/>
  <c r="J126" i="66" s="1"/>
  <c r="E127" i="66"/>
  <c r="J127" i="66" s="1"/>
  <c r="E128" i="66"/>
  <c r="J128" i="66" s="1"/>
  <c r="E129" i="66"/>
  <c r="J129" i="66" s="1"/>
  <c r="E130" i="66"/>
  <c r="J130" i="66" s="1"/>
  <c r="E131" i="66"/>
  <c r="J131" i="66" s="1"/>
  <c r="E132" i="66"/>
  <c r="J132" i="66" s="1"/>
  <c r="E133" i="66"/>
  <c r="E122" i="66"/>
  <c r="H123" i="64"/>
  <c r="H124" i="64"/>
  <c r="O124" i="64" s="1"/>
  <c r="H125" i="64"/>
  <c r="O125" i="64" s="1"/>
  <c r="H126" i="64"/>
  <c r="O126" i="64" s="1"/>
  <c r="H127" i="64"/>
  <c r="H128" i="64"/>
  <c r="O128" i="64" s="1"/>
  <c r="H129" i="64"/>
  <c r="O129" i="64" s="1"/>
  <c r="H130" i="64"/>
  <c r="O130" i="64" s="1"/>
  <c r="H131" i="64"/>
  <c r="H132" i="64"/>
  <c r="H133" i="64"/>
  <c r="O133" i="64" s="1"/>
  <c r="H122" i="64"/>
  <c r="F123" i="64"/>
  <c r="F124" i="64"/>
  <c r="F125" i="64"/>
  <c r="F126" i="64"/>
  <c r="M126" i="64" s="1"/>
  <c r="F127" i="64"/>
  <c r="F128" i="64"/>
  <c r="M128" i="64" s="1"/>
  <c r="F129" i="64"/>
  <c r="M129" i="64" s="1"/>
  <c r="F130" i="64"/>
  <c r="M130" i="64" s="1"/>
  <c r="F131" i="64"/>
  <c r="M131" i="64" s="1"/>
  <c r="F132" i="64"/>
  <c r="F133" i="64"/>
  <c r="F122" i="64"/>
  <c r="M122" i="64" s="1"/>
  <c r="E123" i="64"/>
  <c r="L123" i="64" s="1"/>
  <c r="E124" i="64"/>
  <c r="E125" i="64"/>
  <c r="L125" i="64" s="1"/>
  <c r="E126" i="64"/>
  <c r="L126" i="64" s="1"/>
  <c r="E127" i="64"/>
  <c r="L127" i="64" s="1"/>
  <c r="E128" i="64"/>
  <c r="E129" i="64"/>
  <c r="L129" i="64" s="1"/>
  <c r="E130" i="64"/>
  <c r="L130" i="64" s="1"/>
  <c r="E131" i="64"/>
  <c r="L131" i="64" s="1"/>
  <c r="E132" i="64"/>
  <c r="L132" i="64" s="1"/>
  <c r="E133" i="64"/>
  <c r="L133" i="64" s="1"/>
  <c r="E122" i="64"/>
  <c r="L122" i="64" s="1"/>
  <c r="F122" i="58"/>
  <c r="H123" i="58"/>
  <c r="H124" i="58"/>
  <c r="H125" i="58"/>
  <c r="P125" i="58" s="1"/>
  <c r="H126" i="58"/>
  <c r="H127" i="58"/>
  <c r="H128" i="58"/>
  <c r="H129" i="58"/>
  <c r="P129" i="58" s="1"/>
  <c r="H130" i="58"/>
  <c r="P130" i="58" s="1"/>
  <c r="H131" i="58"/>
  <c r="H132" i="58"/>
  <c r="H133" i="58"/>
  <c r="P133" i="58" s="1"/>
  <c r="H122" i="58"/>
  <c r="G123" i="58"/>
  <c r="G124" i="58"/>
  <c r="G125" i="58"/>
  <c r="O125" i="58" s="1"/>
  <c r="G126" i="58"/>
  <c r="O126" i="58" s="1"/>
  <c r="G127" i="58"/>
  <c r="G128" i="58"/>
  <c r="G129" i="58"/>
  <c r="O129" i="58" s="1"/>
  <c r="G130" i="58"/>
  <c r="O130" i="58" s="1"/>
  <c r="G131" i="58"/>
  <c r="G132" i="58"/>
  <c r="G133" i="58"/>
  <c r="O133" i="58" s="1"/>
  <c r="G122" i="58"/>
  <c r="I122" i="41"/>
  <c r="F133" i="58"/>
  <c r="E133" i="58"/>
  <c r="M133" i="58" s="1"/>
  <c r="F132" i="58"/>
  <c r="E132" i="58"/>
  <c r="F131" i="58"/>
  <c r="E131" i="58"/>
  <c r="M131" i="58" s="1"/>
  <c r="F130" i="58"/>
  <c r="E130" i="58"/>
  <c r="M130" i="58" s="1"/>
  <c r="F129" i="58"/>
  <c r="E129" i="58"/>
  <c r="F128" i="58"/>
  <c r="E128" i="58"/>
  <c r="M128" i="58" s="1"/>
  <c r="F127" i="58"/>
  <c r="E127" i="58"/>
  <c r="F126" i="58"/>
  <c r="E126" i="58"/>
  <c r="M126" i="58" s="1"/>
  <c r="F125" i="58"/>
  <c r="E125" i="58"/>
  <c r="M125" i="58" s="1"/>
  <c r="F124" i="58"/>
  <c r="E124" i="58"/>
  <c r="M124" i="58" s="1"/>
  <c r="F123" i="58"/>
  <c r="E123" i="58"/>
  <c r="M123" i="58" s="1"/>
  <c r="E122" i="58"/>
  <c r="E123" i="47"/>
  <c r="F123" i="47"/>
  <c r="E124" i="47"/>
  <c r="K124" i="47" s="1"/>
  <c r="F124" i="47"/>
  <c r="L124" i="47" s="1"/>
  <c r="E125" i="47"/>
  <c r="F125" i="47"/>
  <c r="E126" i="47"/>
  <c r="F126" i="47"/>
  <c r="L126" i="47" s="1"/>
  <c r="E127" i="47"/>
  <c r="F127" i="47"/>
  <c r="E128" i="47"/>
  <c r="K128" i="47" s="1"/>
  <c r="F128" i="47"/>
  <c r="L128" i="47" s="1"/>
  <c r="E129" i="47"/>
  <c r="F129" i="47"/>
  <c r="E130" i="47"/>
  <c r="K130" i="47" s="1"/>
  <c r="F130" i="47"/>
  <c r="L130" i="47" s="1"/>
  <c r="E131" i="47"/>
  <c r="F131" i="47"/>
  <c r="E132" i="47"/>
  <c r="K132" i="47" s="1"/>
  <c r="F132" i="47"/>
  <c r="L132" i="47" s="1"/>
  <c r="E133" i="47"/>
  <c r="F133" i="47"/>
  <c r="F122" i="47"/>
  <c r="L122" i="47" s="1"/>
  <c r="E122" i="47"/>
  <c r="CI122" i="39"/>
  <c r="CI123" i="39" s="1"/>
  <c r="I123" i="41"/>
  <c r="I124" i="41"/>
  <c r="I125" i="41"/>
  <c r="I126" i="41"/>
  <c r="I127" i="41"/>
  <c r="I128" i="41"/>
  <c r="S128" i="41" s="1"/>
  <c r="I129" i="41"/>
  <c r="I130" i="41"/>
  <c r="S130" i="41" s="1"/>
  <c r="I131" i="41"/>
  <c r="I132" i="41"/>
  <c r="S132" i="41" s="1"/>
  <c r="I133" i="41"/>
  <c r="H121" i="41"/>
  <c r="H122" i="41"/>
  <c r="H123" i="41"/>
  <c r="H124" i="41"/>
  <c r="H125" i="41"/>
  <c r="R125" i="41" s="1"/>
  <c r="H126" i="41"/>
  <c r="H127" i="41"/>
  <c r="R127" i="41" s="1"/>
  <c r="H128" i="41"/>
  <c r="H129" i="41"/>
  <c r="H130" i="41"/>
  <c r="H131" i="41"/>
  <c r="R131" i="41" s="1"/>
  <c r="H132" i="41"/>
  <c r="R132" i="41" s="1"/>
  <c r="H133" i="41"/>
  <c r="R126" i="41"/>
  <c r="R130" i="41"/>
  <c r="F123" i="41"/>
  <c r="F124" i="41"/>
  <c r="F125" i="41"/>
  <c r="P125" i="41" s="1"/>
  <c r="F126" i="41"/>
  <c r="P126" i="41" s="1"/>
  <c r="F127" i="41"/>
  <c r="F128" i="41"/>
  <c r="F129" i="41"/>
  <c r="F130" i="41"/>
  <c r="P130" i="41" s="1"/>
  <c r="F131" i="41"/>
  <c r="F132" i="41"/>
  <c r="F133" i="41"/>
  <c r="P133" i="41" s="1"/>
  <c r="F119" i="41"/>
  <c r="F120" i="41"/>
  <c r="F121" i="41"/>
  <c r="F122" i="41"/>
  <c r="E123" i="41"/>
  <c r="O123" i="41" s="1"/>
  <c r="E124" i="41"/>
  <c r="E125" i="41"/>
  <c r="E126" i="41"/>
  <c r="O126" i="41" s="1"/>
  <c r="E127" i="41"/>
  <c r="O127" i="41" s="1"/>
  <c r="E128" i="41"/>
  <c r="E129" i="41"/>
  <c r="E130" i="41"/>
  <c r="E131" i="41"/>
  <c r="O131" i="41" s="1"/>
  <c r="E132" i="41"/>
  <c r="E133" i="41"/>
  <c r="E121" i="41"/>
  <c r="E122" i="41"/>
  <c r="O122" i="41" s="1"/>
  <c r="D121" i="41"/>
  <c r="CL122" i="39"/>
  <c r="CM122" i="39"/>
  <c r="CN122" i="39"/>
  <c r="CO122" i="39"/>
  <c r="CP122" i="39"/>
  <c r="CQ122" i="39"/>
  <c r="CR122" i="39"/>
  <c r="CS122" i="39"/>
  <c r="CT122" i="39"/>
  <c r="CU122" i="39"/>
  <c r="CV122" i="39"/>
  <c r="CW122" i="39"/>
  <c r="CX122" i="39"/>
  <c r="CL123" i="39"/>
  <c r="CM123" i="39"/>
  <c r="CN123" i="39"/>
  <c r="CO123" i="39"/>
  <c r="CP123" i="39"/>
  <c r="CQ123" i="39"/>
  <c r="CR123" i="39"/>
  <c r="CS123" i="39"/>
  <c r="CT123" i="39"/>
  <c r="CU123" i="39"/>
  <c r="CV123" i="39"/>
  <c r="CW123" i="39"/>
  <c r="CX123" i="39"/>
  <c r="CL124" i="39"/>
  <c r="CM124" i="39"/>
  <c r="CN124" i="39"/>
  <c r="CO124" i="39"/>
  <c r="CP124" i="39"/>
  <c r="CQ124" i="39"/>
  <c r="K124" i="41" s="1"/>
  <c r="U124" i="41" s="1"/>
  <c r="CR124" i="39"/>
  <c r="CS124" i="39"/>
  <c r="CT124" i="39"/>
  <c r="CU124" i="39"/>
  <c r="CV124" i="39"/>
  <c r="CW124" i="39"/>
  <c r="CX124" i="39"/>
  <c r="CL125" i="39"/>
  <c r="CM125" i="39"/>
  <c r="CN125" i="39"/>
  <c r="CO125" i="39"/>
  <c r="CP125" i="39"/>
  <c r="L125" i="41" s="1"/>
  <c r="V125" i="41" s="1"/>
  <c r="CQ125" i="39"/>
  <c r="CR125" i="39"/>
  <c r="CS125" i="39"/>
  <c r="CT125" i="39"/>
  <c r="CU125" i="39"/>
  <c r="CV125" i="39"/>
  <c r="CW125" i="39"/>
  <c r="CX125" i="39"/>
  <c r="CL126" i="39"/>
  <c r="CM126" i="39"/>
  <c r="CN126" i="39"/>
  <c r="CO126" i="39"/>
  <c r="CP126" i="39"/>
  <c r="CQ126" i="39"/>
  <c r="CR126" i="39"/>
  <c r="CS126" i="39"/>
  <c r="CT126" i="39"/>
  <c r="CU126" i="39"/>
  <c r="CV126" i="39"/>
  <c r="CW126" i="39"/>
  <c r="CX126" i="39"/>
  <c r="CL127" i="39"/>
  <c r="CM127" i="39"/>
  <c r="CN127" i="39"/>
  <c r="CO127" i="39"/>
  <c r="CP127" i="39"/>
  <c r="CQ127" i="39"/>
  <c r="CR127" i="39"/>
  <c r="CS127" i="39"/>
  <c r="CT127" i="39"/>
  <c r="CU127" i="39"/>
  <c r="CV127" i="39"/>
  <c r="CW127" i="39"/>
  <c r="CX127" i="39"/>
  <c r="CL128" i="39"/>
  <c r="CM128" i="39"/>
  <c r="CN128" i="39"/>
  <c r="CO128" i="39"/>
  <c r="CP128" i="39"/>
  <c r="CQ128" i="39"/>
  <c r="CR128" i="39"/>
  <c r="CS128" i="39"/>
  <c r="CT128" i="39"/>
  <c r="CU128" i="39"/>
  <c r="CV128" i="39"/>
  <c r="CW128" i="39"/>
  <c r="CX128" i="39"/>
  <c r="CL129" i="39"/>
  <c r="CM129" i="39"/>
  <c r="CN129" i="39"/>
  <c r="CO129" i="39"/>
  <c r="CP129" i="39"/>
  <c r="L129" i="41" s="1"/>
  <c r="V129" i="41" s="1"/>
  <c r="CQ129" i="39"/>
  <c r="CR129" i="39"/>
  <c r="CS129" i="39"/>
  <c r="CT129" i="39"/>
  <c r="CU129" i="39"/>
  <c r="CV129" i="39"/>
  <c r="CW129" i="39"/>
  <c r="CX129" i="39"/>
  <c r="CL130" i="39"/>
  <c r="CM130" i="39"/>
  <c r="CN130" i="39"/>
  <c r="CO130" i="39"/>
  <c r="CP130" i="39"/>
  <c r="CQ130" i="39"/>
  <c r="CR130" i="39"/>
  <c r="CS130" i="39"/>
  <c r="CT130" i="39"/>
  <c r="CU130" i="39"/>
  <c r="CV130" i="39"/>
  <c r="CW130" i="39"/>
  <c r="CX130" i="39"/>
  <c r="CL131" i="39"/>
  <c r="CM131" i="39"/>
  <c r="CN131" i="39"/>
  <c r="CO131" i="39"/>
  <c r="CP131" i="39"/>
  <c r="CQ131" i="39"/>
  <c r="CR131" i="39"/>
  <c r="CS131" i="39"/>
  <c r="CT131" i="39"/>
  <c r="CU131" i="39"/>
  <c r="CV131" i="39"/>
  <c r="CW131" i="39"/>
  <c r="CX131" i="39"/>
  <c r="CL132" i="39"/>
  <c r="CM132" i="39"/>
  <c r="CN132" i="39"/>
  <c r="CO132" i="39"/>
  <c r="CP132" i="39"/>
  <c r="CQ132" i="39"/>
  <c r="K132" i="41" s="1"/>
  <c r="U132" i="41" s="1"/>
  <c r="CR132" i="39"/>
  <c r="CS132" i="39"/>
  <c r="CT132" i="39"/>
  <c r="CU132" i="39"/>
  <c r="CV132" i="39"/>
  <c r="CW132" i="39"/>
  <c r="CX132" i="39"/>
  <c r="CL133" i="39"/>
  <c r="CM133" i="39"/>
  <c r="CN133" i="39"/>
  <c r="CO133" i="39"/>
  <c r="CP133" i="39"/>
  <c r="CQ133" i="39"/>
  <c r="CR133" i="39"/>
  <c r="CS133" i="39"/>
  <c r="CT133" i="39"/>
  <c r="CU133" i="39"/>
  <c r="CV133" i="39"/>
  <c r="CW133" i="39"/>
  <c r="CX133" i="39"/>
  <c r="CK123" i="39"/>
  <c r="CK124" i="39"/>
  <c r="CK125" i="39"/>
  <c r="CK126" i="39"/>
  <c r="CK127" i="39"/>
  <c r="CK128" i="39"/>
  <c r="CK129" i="39"/>
  <c r="CK130" i="39"/>
  <c r="CK131" i="39"/>
  <c r="CK132" i="39"/>
  <c r="CK133" i="39"/>
  <c r="CK122" i="39"/>
  <c r="CH123" i="39"/>
  <c r="CH124" i="39" s="1"/>
  <c r="CH125" i="39" s="1"/>
  <c r="CH126" i="39" s="1"/>
  <c r="CH127" i="39" s="1"/>
  <c r="CH128" i="39" s="1"/>
  <c r="CH129" i="39" s="1"/>
  <c r="CH130" i="39" s="1"/>
  <c r="CH131" i="39" s="1"/>
  <c r="CH132" i="39" s="1"/>
  <c r="CH133" i="39" s="1"/>
  <c r="U130" i="9"/>
  <c r="T130" i="9"/>
  <c r="S130" i="9"/>
  <c r="P130" i="9"/>
  <c r="O130" i="9"/>
  <c r="U129" i="9"/>
  <c r="T129" i="9"/>
  <c r="S129" i="9"/>
  <c r="P129" i="9"/>
  <c r="O129" i="9"/>
  <c r="J129" i="9"/>
  <c r="J130" i="9"/>
  <c r="G130" i="9"/>
  <c r="F130" i="9"/>
  <c r="E130" i="9"/>
  <c r="D130" i="9"/>
  <c r="C130" i="9"/>
  <c r="H130" i="9"/>
  <c r="I130" i="9"/>
  <c r="D129" i="9"/>
  <c r="E129" i="9"/>
  <c r="F129" i="9"/>
  <c r="G129" i="9"/>
  <c r="H129" i="9"/>
  <c r="I129" i="9"/>
  <c r="C129" i="9"/>
  <c r="F126" i="9"/>
  <c r="D126" i="9"/>
  <c r="E126" i="9"/>
  <c r="G126" i="9"/>
  <c r="H126" i="9"/>
  <c r="I126" i="9"/>
  <c r="J126" i="9"/>
  <c r="C126" i="9"/>
  <c r="C125" i="9"/>
  <c r="P122" i="9"/>
  <c r="S122" i="9"/>
  <c r="T122" i="9"/>
  <c r="U122" i="9"/>
  <c r="V122" i="9"/>
  <c r="O122" i="9"/>
  <c r="J125" i="9"/>
  <c r="I125" i="9"/>
  <c r="H125" i="9"/>
  <c r="G125" i="9"/>
  <c r="F125" i="9"/>
  <c r="E125" i="9"/>
  <c r="D125" i="9"/>
  <c r="J124" i="9"/>
  <c r="I124" i="9"/>
  <c r="H124" i="9"/>
  <c r="G124" i="9"/>
  <c r="F124" i="9"/>
  <c r="E124" i="9"/>
  <c r="D124" i="9"/>
  <c r="J121" i="9"/>
  <c r="I121" i="9"/>
  <c r="H121" i="9"/>
  <c r="G121" i="9"/>
  <c r="F121" i="9"/>
  <c r="E121" i="9"/>
  <c r="D121" i="9"/>
  <c r="C121" i="9"/>
  <c r="E119" i="39" s="1"/>
  <c r="C122" i="9"/>
  <c r="E123" i="39" s="1"/>
  <c r="F123" i="39" s="1"/>
  <c r="D123" i="27" s="1"/>
  <c r="E122" i="9"/>
  <c r="J122" i="9"/>
  <c r="I122" i="9"/>
  <c r="H122" i="9"/>
  <c r="G122" i="9"/>
  <c r="F122" i="9"/>
  <c r="D122" i="9"/>
  <c r="I123" i="39" s="1"/>
  <c r="J123" i="39" s="1"/>
  <c r="D123" i="28" s="1"/>
  <c r="J107" i="9"/>
  <c r="F107" i="9"/>
  <c r="E107" i="9"/>
  <c r="D107" i="9"/>
  <c r="C107" i="9"/>
  <c r="J106" i="9"/>
  <c r="F106" i="9"/>
  <c r="E106" i="9"/>
  <c r="D106" i="9"/>
  <c r="C106" i="9"/>
  <c r="C102" i="9"/>
  <c r="L17" i="70"/>
  <c r="M18" i="70"/>
  <c r="B122" i="66"/>
  <c r="C122" i="66"/>
  <c r="G122" i="66"/>
  <c r="I122" i="66"/>
  <c r="J122" i="66"/>
  <c r="B123" i="66"/>
  <c r="C123" i="66"/>
  <c r="G123" i="66"/>
  <c r="I123" i="66"/>
  <c r="B124" i="66"/>
  <c r="C124" i="66"/>
  <c r="G124" i="66"/>
  <c r="I124" i="66"/>
  <c r="J124" i="66"/>
  <c r="B125" i="66"/>
  <c r="C125" i="66"/>
  <c r="G125" i="66"/>
  <c r="I125" i="66"/>
  <c r="J125" i="66"/>
  <c r="B126" i="66"/>
  <c r="C126" i="66"/>
  <c r="G126" i="66"/>
  <c r="I126" i="66"/>
  <c r="B127" i="66"/>
  <c r="C127" i="66"/>
  <c r="G127" i="66"/>
  <c r="I127" i="66"/>
  <c r="B128" i="66"/>
  <c r="C128" i="66"/>
  <c r="G128" i="66"/>
  <c r="I128" i="66"/>
  <c r="B129" i="66"/>
  <c r="C129" i="66"/>
  <c r="G129" i="66"/>
  <c r="I129" i="66"/>
  <c r="B130" i="66"/>
  <c r="C130" i="66"/>
  <c r="G130" i="66"/>
  <c r="I130" i="66"/>
  <c r="B131" i="66"/>
  <c r="C131" i="66"/>
  <c r="G131" i="66"/>
  <c r="I131" i="66"/>
  <c r="B132" i="66"/>
  <c r="C132" i="66"/>
  <c r="G132" i="66"/>
  <c r="I132" i="66"/>
  <c r="B133" i="66"/>
  <c r="C133" i="66"/>
  <c r="G133" i="66"/>
  <c r="I133" i="66"/>
  <c r="J133" i="66"/>
  <c r="B122" i="64"/>
  <c r="C122" i="64"/>
  <c r="G122" i="64"/>
  <c r="I122" i="64"/>
  <c r="K122" i="64"/>
  <c r="N122" i="64"/>
  <c r="O122" i="64"/>
  <c r="B123" i="64"/>
  <c r="C123" i="64"/>
  <c r="G123" i="64"/>
  <c r="N123" i="64" s="1"/>
  <c r="I123" i="64"/>
  <c r="K123" i="64"/>
  <c r="M123" i="64"/>
  <c r="O123" i="64"/>
  <c r="B124" i="64"/>
  <c r="C124" i="64"/>
  <c r="G124" i="64"/>
  <c r="N124" i="64" s="1"/>
  <c r="I124" i="64"/>
  <c r="K124" i="64"/>
  <c r="L124" i="64"/>
  <c r="M124" i="64"/>
  <c r="B125" i="64"/>
  <c r="C125" i="64"/>
  <c r="G125" i="64"/>
  <c r="I125" i="64"/>
  <c r="K125" i="64"/>
  <c r="M125" i="64"/>
  <c r="N125" i="64"/>
  <c r="B126" i="64"/>
  <c r="C126" i="64"/>
  <c r="G126" i="64"/>
  <c r="N126" i="64" s="1"/>
  <c r="I126" i="64"/>
  <c r="K126" i="64"/>
  <c r="B127" i="64"/>
  <c r="C127" i="64"/>
  <c r="G127" i="64"/>
  <c r="N127" i="64" s="1"/>
  <c r="I127" i="64"/>
  <c r="K127" i="64"/>
  <c r="M127" i="64"/>
  <c r="O127" i="64"/>
  <c r="B128" i="64"/>
  <c r="C128" i="64"/>
  <c r="G128" i="64"/>
  <c r="N128" i="64" s="1"/>
  <c r="I128" i="64"/>
  <c r="K128" i="64"/>
  <c r="L128" i="64"/>
  <c r="B129" i="64"/>
  <c r="C129" i="64"/>
  <c r="G129" i="64"/>
  <c r="N129" i="64" s="1"/>
  <c r="I129" i="64"/>
  <c r="K129" i="64"/>
  <c r="B130" i="64"/>
  <c r="C130" i="64"/>
  <c r="G130" i="64"/>
  <c r="N130" i="64" s="1"/>
  <c r="I130" i="64"/>
  <c r="K130" i="64"/>
  <c r="B131" i="64"/>
  <c r="C131" i="64"/>
  <c r="G131" i="64"/>
  <c r="N131" i="64" s="1"/>
  <c r="I131" i="64"/>
  <c r="K131" i="64"/>
  <c r="O131" i="64"/>
  <c r="B132" i="64"/>
  <c r="C132" i="64"/>
  <c r="G132" i="64"/>
  <c r="I132" i="64"/>
  <c r="K132" i="64"/>
  <c r="M132" i="64"/>
  <c r="N132" i="64"/>
  <c r="O132" i="64"/>
  <c r="B133" i="64"/>
  <c r="C133" i="64"/>
  <c r="G133" i="64"/>
  <c r="I133" i="64"/>
  <c r="K133" i="64"/>
  <c r="M133" i="64"/>
  <c r="N133" i="64"/>
  <c r="B122" i="58"/>
  <c r="C122" i="58"/>
  <c r="I122" i="58"/>
  <c r="Q122" i="58" s="1"/>
  <c r="J122" i="58"/>
  <c r="L122" i="58"/>
  <c r="M122" i="58"/>
  <c r="N122" i="58"/>
  <c r="O122" i="58"/>
  <c r="P122" i="58"/>
  <c r="R122" i="58"/>
  <c r="B123" i="58"/>
  <c r="C123" i="58"/>
  <c r="I123" i="58"/>
  <c r="Q123" i="58" s="1"/>
  <c r="J123" i="58"/>
  <c r="R123" i="58" s="1"/>
  <c r="L123" i="58"/>
  <c r="N123" i="58"/>
  <c r="O123" i="58"/>
  <c r="P123" i="58"/>
  <c r="B124" i="58"/>
  <c r="C124" i="58"/>
  <c r="I124" i="58"/>
  <c r="Q124" i="58" s="1"/>
  <c r="J124" i="58"/>
  <c r="R124" i="58" s="1"/>
  <c r="L124" i="58"/>
  <c r="N124" i="58"/>
  <c r="O124" i="58"/>
  <c r="P124" i="58"/>
  <c r="B125" i="58"/>
  <c r="C125" i="58"/>
  <c r="I125" i="58"/>
  <c r="Q125" i="58" s="1"/>
  <c r="J125" i="58"/>
  <c r="R125" i="58" s="1"/>
  <c r="L125" i="58"/>
  <c r="N125" i="58"/>
  <c r="B126" i="58"/>
  <c r="C126" i="58"/>
  <c r="I126" i="58"/>
  <c r="Q126" i="58" s="1"/>
  <c r="J126" i="58"/>
  <c r="R126" i="58" s="1"/>
  <c r="L126" i="58"/>
  <c r="N126" i="58"/>
  <c r="P126" i="58"/>
  <c r="B127" i="58"/>
  <c r="C127" i="58"/>
  <c r="I127" i="58"/>
  <c r="Q127" i="58" s="1"/>
  <c r="J127" i="58"/>
  <c r="R127" i="58" s="1"/>
  <c r="L127" i="58"/>
  <c r="M127" i="58"/>
  <c r="N127" i="58"/>
  <c r="O127" i="58"/>
  <c r="P127" i="58"/>
  <c r="B128" i="58"/>
  <c r="C128" i="58"/>
  <c r="I128" i="58"/>
  <c r="Q128" i="58" s="1"/>
  <c r="J128" i="58"/>
  <c r="R128" i="58" s="1"/>
  <c r="L128" i="58"/>
  <c r="N128" i="58"/>
  <c r="O128" i="58"/>
  <c r="P128" i="58"/>
  <c r="B129" i="58"/>
  <c r="C129" i="58"/>
  <c r="I129" i="58"/>
  <c r="Q129" i="58" s="1"/>
  <c r="J129" i="58"/>
  <c r="R129" i="58" s="1"/>
  <c r="L129" i="58"/>
  <c r="M129" i="58"/>
  <c r="N129" i="58"/>
  <c r="B130" i="58"/>
  <c r="C130" i="58"/>
  <c r="I130" i="58"/>
  <c r="Q130" i="58" s="1"/>
  <c r="J130" i="58"/>
  <c r="R130" i="58" s="1"/>
  <c r="L130" i="58"/>
  <c r="N130" i="58"/>
  <c r="B131" i="58"/>
  <c r="C131" i="58"/>
  <c r="I131" i="58"/>
  <c r="Q131" i="58" s="1"/>
  <c r="J131" i="58"/>
  <c r="R131" i="58" s="1"/>
  <c r="L131" i="58"/>
  <c r="N131" i="58"/>
  <c r="O131" i="58"/>
  <c r="P131" i="58"/>
  <c r="B132" i="58"/>
  <c r="C132" i="58"/>
  <c r="I132" i="58"/>
  <c r="Q132" i="58" s="1"/>
  <c r="J132" i="58"/>
  <c r="R132" i="58" s="1"/>
  <c r="L132" i="58"/>
  <c r="M132" i="58"/>
  <c r="N132" i="58"/>
  <c r="O132" i="58"/>
  <c r="P132" i="58"/>
  <c r="B133" i="58"/>
  <c r="C133" i="58"/>
  <c r="I133" i="58"/>
  <c r="Q133" i="58" s="1"/>
  <c r="J133" i="58"/>
  <c r="R133" i="58" s="1"/>
  <c r="L133" i="58"/>
  <c r="N133" i="58"/>
  <c r="B122" i="47"/>
  <c r="C122" i="47"/>
  <c r="G122" i="47"/>
  <c r="J122" i="47"/>
  <c r="K122" i="47"/>
  <c r="M122" i="47"/>
  <c r="B123" i="47"/>
  <c r="C123" i="47"/>
  <c r="J123" i="47"/>
  <c r="K123" i="47"/>
  <c r="L123" i="47"/>
  <c r="B124" i="47"/>
  <c r="C124" i="47"/>
  <c r="J124" i="47"/>
  <c r="B125" i="47"/>
  <c r="C125" i="47"/>
  <c r="J125" i="47"/>
  <c r="K125" i="47"/>
  <c r="L125" i="47"/>
  <c r="B126" i="47"/>
  <c r="C126" i="47"/>
  <c r="J126" i="47"/>
  <c r="K126" i="47"/>
  <c r="B127" i="47"/>
  <c r="C127" i="47"/>
  <c r="J127" i="47"/>
  <c r="K127" i="47"/>
  <c r="L127" i="47"/>
  <c r="B128" i="47"/>
  <c r="C128" i="47"/>
  <c r="J128" i="47"/>
  <c r="B129" i="47"/>
  <c r="C129" i="47"/>
  <c r="J129" i="47"/>
  <c r="K129" i="47"/>
  <c r="L129" i="47"/>
  <c r="B130" i="47"/>
  <c r="C130" i="47"/>
  <c r="J130" i="47"/>
  <c r="B131" i="47"/>
  <c r="C131" i="47"/>
  <c r="J131" i="47"/>
  <c r="K131" i="47"/>
  <c r="L131" i="47"/>
  <c r="B132" i="47"/>
  <c r="C132" i="47"/>
  <c r="J132" i="47"/>
  <c r="B133" i="47"/>
  <c r="C133" i="47"/>
  <c r="J133" i="47"/>
  <c r="K133" i="47"/>
  <c r="L133" i="47"/>
  <c r="B122" i="41"/>
  <c r="C122" i="41"/>
  <c r="J122" i="41"/>
  <c r="K122" i="41"/>
  <c r="U122" i="41" s="1"/>
  <c r="L122" i="41"/>
  <c r="V122" i="41" s="1"/>
  <c r="N122" i="41"/>
  <c r="P122" i="41"/>
  <c r="R122" i="41"/>
  <c r="S122" i="41"/>
  <c r="T122" i="41"/>
  <c r="B123" i="41"/>
  <c r="C123" i="41"/>
  <c r="J123" i="41"/>
  <c r="T123" i="41" s="1"/>
  <c r="K123" i="41"/>
  <c r="L123" i="41"/>
  <c r="V123" i="41" s="1"/>
  <c r="N123" i="41"/>
  <c r="P123" i="41"/>
  <c r="R123" i="41"/>
  <c r="S123" i="41"/>
  <c r="U123" i="41"/>
  <c r="B124" i="41"/>
  <c r="C124" i="41"/>
  <c r="J124" i="41"/>
  <c r="T124" i="41" s="1"/>
  <c r="L124" i="41"/>
  <c r="V124" i="41" s="1"/>
  <c r="N124" i="41"/>
  <c r="O124" i="41"/>
  <c r="P124" i="41"/>
  <c r="R124" i="41"/>
  <c r="S124" i="41"/>
  <c r="B125" i="41"/>
  <c r="C125" i="41"/>
  <c r="J125" i="41"/>
  <c r="T125" i="41" s="1"/>
  <c r="K125" i="41"/>
  <c r="U125" i="41" s="1"/>
  <c r="N125" i="41"/>
  <c r="O125" i="41"/>
  <c r="S125" i="41"/>
  <c r="B126" i="41"/>
  <c r="C126" i="41"/>
  <c r="J126" i="41"/>
  <c r="T126" i="41" s="1"/>
  <c r="K126" i="41"/>
  <c r="U126" i="41" s="1"/>
  <c r="L126" i="41"/>
  <c r="N126" i="41"/>
  <c r="S126" i="41"/>
  <c r="V126" i="41"/>
  <c r="B127" i="41"/>
  <c r="C127" i="41"/>
  <c r="J127" i="41"/>
  <c r="T127" i="41" s="1"/>
  <c r="K127" i="41"/>
  <c r="U127" i="41" s="1"/>
  <c r="L127" i="41"/>
  <c r="V127" i="41" s="1"/>
  <c r="N127" i="41"/>
  <c r="P127" i="41"/>
  <c r="S127" i="41"/>
  <c r="B128" i="41"/>
  <c r="C128" i="41"/>
  <c r="J128" i="41"/>
  <c r="K128" i="41"/>
  <c r="U128" i="41" s="1"/>
  <c r="L128" i="41"/>
  <c r="V128" i="41" s="1"/>
  <c r="N128" i="41"/>
  <c r="O128" i="41"/>
  <c r="P128" i="41"/>
  <c r="R128" i="41"/>
  <c r="T128" i="41"/>
  <c r="B129" i="41"/>
  <c r="C129" i="41"/>
  <c r="J129" i="41"/>
  <c r="T129" i="41" s="1"/>
  <c r="K129" i="41"/>
  <c r="U129" i="41" s="1"/>
  <c r="N129" i="41"/>
  <c r="O129" i="41"/>
  <c r="P129" i="41"/>
  <c r="R129" i="41"/>
  <c r="S129" i="41"/>
  <c r="B130" i="41"/>
  <c r="C130" i="41"/>
  <c r="J130" i="41"/>
  <c r="T130" i="41" s="1"/>
  <c r="K130" i="41"/>
  <c r="U130" i="41" s="1"/>
  <c r="L130" i="41"/>
  <c r="N130" i="41"/>
  <c r="O130" i="41"/>
  <c r="V130" i="41"/>
  <c r="B131" i="41"/>
  <c r="C131" i="41"/>
  <c r="J131" i="41"/>
  <c r="T131" i="41" s="1"/>
  <c r="K131" i="41"/>
  <c r="U131" i="41" s="1"/>
  <c r="L131" i="41"/>
  <c r="V131" i="41" s="1"/>
  <c r="N131" i="41"/>
  <c r="P131" i="41"/>
  <c r="S131" i="41"/>
  <c r="B132" i="41"/>
  <c r="C132" i="41"/>
  <c r="J132" i="41"/>
  <c r="T132" i="41" s="1"/>
  <c r="L132" i="41"/>
  <c r="V132" i="41" s="1"/>
  <c r="N132" i="41"/>
  <c r="O132" i="41"/>
  <c r="P132" i="41"/>
  <c r="B133" i="41"/>
  <c r="C133" i="41"/>
  <c r="J133" i="41"/>
  <c r="T133" i="41" s="1"/>
  <c r="K133" i="41"/>
  <c r="L133" i="41"/>
  <c r="V133" i="41" s="1"/>
  <c r="N133" i="41"/>
  <c r="O133" i="41"/>
  <c r="R133" i="41"/>
  <c r="S133" i="41"/>
  <c r="U133" i="41"/>
  <c r="CF122" i="39"/>
  <c r="CE122" i="39"/>
  <c r="B122" i="39"/>
  <c r="AI122" i="39"/>
  <c r="AJ122" i="39"/>
  <c r="AK122" i="39"/>
  <c r="AL122" i="39"/>
  <c r="AM122" i="39"/>
  <c r="AN122" i="39"/>
  <c r="AO122" i="39"/>
  <c r="AP122" i="39"/>
  <c r="AQ122" i="39"/>
  <c r="AR122" i="39"/>
  <c r="AS122" i="39"/>
  <c r="AT122" i="39"/>
  <c r="AU122" i="39"/>
  <c r="AV122" i="39"/>
  <c r="AW122" i="39"/>
  <c r="AX122" i="39"/>
  <c r="AY122" i="39"/>
  <c r="G122" i="41" s="1"/>
  <c r="Q122" i="41" s="1"/>
  <c r="AZ122" i="39"/>
  <c r="BA122" i="39"/>
  <c r="H122" i="47" s="1"/>
  <c r="N122" i="47" s="1"/>
  <c r="BJ122" i="39"/>
  <c r="BK122" i="39"/>
  <c r="BL122" i="39"/>
  <c r="BM122" i="39"/>
  <c r="BN122" i="39"/>
  <c r="BO122" i="39" s="1"/>
  <c r="BQ122" i="39"/>
  <c r="BR122" i="39"/>
  <c r="BS122" i="39"/>
  <c r="BT122" i="39"/>
  <c r="BU122" i="39"/>
  <c r="BV122" i="39"/>
  <c r="BW122" i="39"/>
  <c r="BX122" i="39"/>
  <c r="BY122" i="39"/>
  <c r="BZ122" i="39"/>
  <c r="CA122" i="39"/>
  <c r="CB122" i="39"/>
  <c r="CC122" i="39"/>
  <c r="CD122" i="39"/>
  <c r="B123" i="39"/>
  <c r="AI123" i="39"/>
  <c r="AJ123" i="39"/>
  <c r="AK123" i="39"/>
  <c r="AL123" i="39"/>
  <c r="AM123" i="39"/>
  <c r="AN123" i="39"/>
  <c r="AO123" i="39"/>
  <c r="AP123" i="39"/>
  <c r="AQ123" i="39"/>
  <c r="AR123" i="39"/>
  <c r="AS123" i="39"/>
  <c r="AT123" i="39"/>
  <c r="AU123" i="39"/>
  <c r="AV123" i="39"/>
  <c r="AW123" i="39"/>
  <c r="AX123" i="39"/>
  <c r="AY123" i="39"/>
  <c r="G123" i="41" s="1"/>
  <c r="Q123" i="41" s="1"/>
  <c r="AZ123" i="39"/>
  <c r="BA123" i="39"/>
  <c r="H123" i="47" s="1"/>
  <c r="N123" i="47" s="1"/>
  <c r="BJ123" i="39"/>
  <c r="BK123" i="39"/>
  <c r="BL123" i="39"/>
  <c r="BM123" i="39"/>
  <c r="BN123" i="39"/>
  <c r="BO123" i="39" s="1"/>
  <c r="BQ123" i="39"/>
  <c r="BR123" i="39"/>
  <c r="BS123" i="39"/>
  <c r="BT123" i="39"/>
  <c r="BU123" i="39"/>
  <c r="BV123" i="39"/>
  <c r="BW123" i="39"/>
  <c r="BX123" i="39"/>
  <c r="BY123" i="39"/>
  <c r="BZ123" i="39"/>
  <c r="CA123" i="39"/>
  <c r="CB123" i="39"/>
  <c r="CC123" i="39"/>
  <c r="CD123" i="39"/>
  <c r="CE123" i="39"/>
  <c r="CF123" i="39"/>
  <c r="B124" i="39"/>
  <c r="AI124" i="39"/>
  <c r="AJ124" i="39"/>
  <c r="AK124" i="39"/>
  <c r="AL124" i="39"/>
  <c r="AM124" i="39"/>
  <c r="AN124" i="39"/>
  <c r="AO124" i="39"/>
  <c r="AP124" i="39"/>
  <c r="AQ124" i="39"/>
  <c r="AR124" i="39"/>
  <c r="AS124" i="39"/>
  <c r="AT124" i="39"/>
  <c r="AU124" i="39"/>
  <c r="AV124" i="39"/>
  <c r="AW124" i="39"/>
  <c r="AX124" i="39"/>
  <c r="AY124" i="39"/>
  <c r="G124" i="41" s="1"/>
  <c r="Q124" i="41" s="1"/>
  <c r="AZ124" i="39"/>
  <c r="BA124" i="39"/>
  <c r="H124" i="47" s="1"/>
  <c r="N124" i="47" s="1"/>
  <c r="BJ124" i="39"/>
  <c r="BK124" i="39"/>
  <c r="BL124" i="39"/>
  <c r="BM124" i="39"/>
  <c r="BQ124" i="39"/>
  <c r="BR124" i="39"/>
  <c r="BS124" i="39"/>
  <c r="BT124" i="39"/>
  <c r="BU124" i="39"/>
  <c r="BV124" i="39"/>
  <c r="BW124" i="39"/>
  <c r="BX124" i="39"/>
  <c r="BY124" i="39"/>
  <c r="BZ124" i="39"/>
  <c r="CA124" i="39"/>
  <c r="CB124" i="39"/>
  <c r="CC124" i="39"/>
  <c r="CD124" i="39"/>
  <c r="CE124" i="39"/>
  <c r="CF124" i="39"/>
  <c r="B125" i="39"/>
  <c r="AI125" i="39"/>
  <c r="AJ125" i="39"/>
  <c r="AK125" i="39"/>
  <c r="AL125" i="39"/>
  <c r="AM125" i="39"/>
  <c r="AN125" i="39"/>
  <c r="AO125" i="39"/>
  <c r="AP125" i="39"/>
  <c r="AQ125" i="39"/>
  <c r="AR125" i="39"/>
  <c r="AS125" i="39"/>
  <c r="AT125" i="39"/>
  <c r="AU125" i="39"/>
  <c r="AV125" i="39"/>
  <c r="AW125" i="39"/>
  <c r="AX125" i="39"/>
  <c r="AY125" i="39"/>
  <c r="G125" i="41" s="1"/>
  <c r="Q125" i="41" s="1"/>
  <c r="AZ125" i="39"/>
  <c r="BA125" i="39"/>
  <c r="H125" i="47" s="1"/>
  <c r="N125" i="47" s="1"/>
  <c r="BJ125" i="39"/>
  <c r="BK125" i="39"/>
  <c r="BL125" i="39"/>
  <c r="BM125" i="39"/>
  <c r="BQ125" i="39"/>
  <c r="BR125" i="39"/>
  <c r="BS125" i="39"/>
  <c r="BT125" i="39"/>
  <c r="BU125" i="39"/>
  <c r="BV125" i="39"/>
  <c r="BW125" i="39"/>
  <c r="BX125" i="39"/>
  <c r="BY125" i="39"/>
  <c r="BZ125" i="39"/>
  <c r="CA125" i="39"/>
  <c r="CB125" i="39"/>
  <c r="CC125" i="39"/>
  <c r="CD125" i="39"/>
  <c r="CE125" i="39"/>
  <c r="CF125" i="39"/>
  <c r="B126" i="39"/>
  <c r="AI126" i="39"/>
  <c r="AJ126" i="39"/>
  <c r="AK126" i="39"/>
  <c r="AL126" i="39"/>
  <c r="AM126" i="39"/>
  <c r="AN126" i="39"/>
  <c r="AO126" i="39"/>
  <c r="AP126" i="39"/>
  <c r="AQ126" i="39"/>
  <c r="AR126" i="39"/>
  <c r="AS126" i="39"/>
  <c r="AT126" i="39"/>
  <c r="AU126" i="39"/>
  <c r="AV126" i="39"/>
  <c r="AW126" i="39"/>
  <c r="AX126" i="39"/>
  <c r="AY126" i="39"/>
  <c r="G126" i="41" s="1"/>
  <c r="Q126" i="41" s="1"/>
  <c r="AZ126" i="39"/>
  <c r="BA126" i="39"/>
  <c r="H126" i="47" s="1"/>
  <c r="N126" i="47" s="1"/>
  <c r="BJ126" i="39"/>
  <c r="BK126" i="39"/>
  <c r="BL126" i="39"/>
  <c r="BM126" i="39"/>
  <c r="BQ126" i="39"/>
  <c r="BR126" i="39"/>
  <c r="BS126" i="39"/>
  <c r="BT126" i="39"/>
  <c r="BU126" i="39"/>
  <c r="BV126" i="39"/>
  <c r="BW126" i="39"/>
  <c r="BX126" i="39"/>
  <c r="BY126" i="39"/>
  <c r="BZ126" i="39"/>
  <c r="CA126" i="39"/>
  <c r="CB126" i="39"/>
  <c r="CC126" i="39"/>
  <c r="CD126" i="39"/>
  <c r="CE126" i="39"/>
  <c r="CF126" i="39"/>
  <c r="B127" i="39"/>
  <c r="AI127" i="39"/>
  <c r="AJ127" i="39"/>
  <c r="AK127" i="39"/>
  <c r="AL127" i="39"/>
  <c r="AM127" i="39"/>
  <c r="AN127" i="39"/>
  <c r="AO127" i="39"/>
  <c r="AP127" i="39"/>
  <c r="AQ127" i="39"/>
  <c r="AR127" i="39"/>
  <c r="AS127" i="39"/>
  <c r="AT127" i="39"/>
  <c r="AU127" i="39"/>
  <c r="AV127" i="39"/>
  <c r="AW127" i="39"/>
  <c r="AX127" i="39"/>
  <c r="AY127" i="39"/>
  <c r="G127" i="41" s="1"/>
  <c r="Q127" i="41" s="1"/>
  <c r="AZ127" i="39"/>
  <c r="BA127" i="39"/>
  <c r="H127" i="47" s="1"/>
  <c r="N127" i="47" s="1"/>
  <c r="BJ127" i="39"/>
  <c r="BK127" i="39"/>
  <c r="BL127" i="39"/>
  <c r="BM127" i="39"/>
  <c r="BQ127" i="39"/>
  <c r="BR127" i="39"/>
  <c r="BS127" i="39"/>
  <c r="BT127" i="39"/>
  <c r="BU127" i="39"/>
  <c r="BV127" i="39"/>
  <c r="BW127" i="39"/>
  <c r="BX127" i="39"/>
  <c r="BY127" i="39"/>
  <c r="BZ127" i="39"/>
  <c r="CA127" i="39"/>
  <c r="CB127" i="39"/>
  <c r="CC127" i="39"/>
  <c r="CD127" i="39"/>
  <c r="CE127" i="39"/>
  <c r="CF127" i="39"/>
  <c r="B128" i="39"/>
  <c r="AI128" i="39"/>
  <c r="AJ128" i="39"/>
  <c r="AK128" i="39"/>
  <c r="AL128" i="39"/>
  <c r="AM128" i="39"/>
  <c r="AN128" i="39"/>
  <c r="AO128" i="39"/>
  <c r="AP128" i="39"/>
  <c r="AQ128" i="39"/>
  <c r="AR128" i="39"/>
  <c r="AS128" i="39"/>
  <c r="AT128" i="39"/>
  <c r="AU128" i="39"/>
  <c r="AV128" i="39"/>
  <c r="AW128" i="39"/>
  <c r="AX128" i="39"/>
  <c r="AY128" i="39"/>
  <c r="G128" i="41" s="1"/>
  <c r="Q128" i="41" s="1"/>
  <c r="AZ128" i="39"/>
  <c r="BA128" i="39"/>
  <c r="H128" i="47" s="1"/>
  <c r="N128" i="47" s="1"/>
  <c r="BJ128" i="39"/>
  <c r="BK128" i="39"/>
  <c r="BL128" i="39"/>
  <c r="BM128" i="39"/>
  <c r="BQ128" i="39"/>
  <c r="BR128" i="39"/>
  <c r="BS128" i="39"/>
  <c r="BT128" i="39"/>
  <c r="BU128" i="39"/>
  <c r="BV128" i="39"/>
  <c r="BW128" i="39"/>
  <c r="BX128" i="39"/>
  <c r="BY128" i="39"/>
  <c r="BZ128" i="39"/>
  <c r="CA128" i="39"/>
  <c r="CB128" i="39"/>
  <c r="CC128" i="39"/>
  <c r="CD128" i="39"/>
  <c r="CE128" i="39"/>
  <c r="CF128" i="39"/>
  <c r="B129" i="39"/>
  <c r="AI129" i="39"/>
  <c r="AJ129" i="39"/>
  <c r="AK129" i="39"/>
  <c r="AL129" i="39"/>
  <c r="AM129" i="39"/>
  <c r="AN129" i="39"/>
  <c r="AO129" i="39"/>
  <c r="AP129" i="39"/>
  <c r="AQ129" i="39"/>
  <c r="AR129" i="39"/>
  <c r="AS129" i="39"/>
  <c r="AT129" i="39"/>
  <c r="AU129" i="39"/>
  <c r="AV129" i="39"/>
  <c r="AW129" i="39"/>
  <c r="AX129" i="39"/>
  <c r="AY129" i="39"/>
  <c r="G129" i="41" s="1"/>
  <c r="Q129" i="41" s="1"/>
  <c r="AZ129" i="39"/>
  <c r="BA129" i="39"/>
  <c r="H129" i="47" s="1"/>
  <c r="N129" i="47" s="1"/>
  <c r="BJ129" i="39"/>
  <c r="BK129" i="39"/>
  <c r="BL129" i="39"/>
  <c r="BM129" i="39"/>
  <c r="BQ129" i="39"/>
  <c r="BR129" i="39"/>
  <c r="BS129" i="39"/>
  <c r="BT129" i="39"/>
  <c r="BU129" i="39"/>
  <c r="BV129" i="39"/>
  <c r="BW129" i="39"/>
  <c r="BX129" i="39"/>
  <c r="BY129" i="39"/>
  <c r="BZ129" i="39"/>
  <c r="CA129" i="39"/>
  <c r="CB129" i="39"/>
  <c r="CC129" i="39"/>
  <c r="CD129" i="39"/>
  <c r="CE129" i="39"/>
  <c r="CF129" i="39"/>
  <c r="B130" i="39"/>
  <c r="AI130" i="39"/>
  <c r="AJ130" i="39"/>
  <c r="AK130" i="39"/>
  <c r="AL130" i="39"/>
  <c r="AM130" i="39"/>
  <c r="AN130" i="39"/>
  <c r="AO130" i="39"/>
  <c r="AP130" i="39"/>
  <c r="AQ130" i="39"/>
  <c r="AR130" i="39"/>
  <c r="AS130" i="39"/>
  <c r="AT130" i="39"/>
  <c r="AU130" i="39"/>
  <c r="AV130" i="39"/>
  <c r="AW130" i="39"/>
  <c r="AX130" i="39"/>
  <c r="AY130" i="39"/>
  <c r="G130" i="41" s="1"/>
  <c r="Q130" i="41" s="1"/>
  <c r="AZ130" i="39"/>
  <c r="BA130" i="39"/>
  <c r="H130" i="47" s="1"/>
  <c r="N130" i="47" s="1"/>
  <c r="BJ130" i="39"/>
  <c r="BK130" i="39"/>
  <c r="BL130" i="39"/>
  <c r="BM130" i="39"/>
  <c r="BQ130" i="39"/>
  <c r="BR130" i="39"/>
  <c r="BS130" i="39"/>
  <c r="BT130" i="39"/>
  <c r="BU130" i="39"/>
  <c r="BV130" i="39"/>
  <c r="BW130" i="39"/>
  <c r="BX130" i="39"/>
  <c r="BY130" i="39"/>
  <c r="BZ130" i="39"/>
  <c r="CA130" i="39"/>
  <c r="CB130" i="39"/>
  <c r="CC130" i="39"/>
  <c r="CD130" i="39"/>
  <c r="CE130" i="39"/>
  <c r="CF130" i="39"/>
  <c r="B131" i="39"/>
  <c r="AI131" i="39"/>
  <c r="AJ131" i="39"/>
  <c r="AK131" i="39"/>
  <c r="AL131" i="39"/>
  <c r="AM131" i="39"/>
  <c r="AN131" i="39"/>
  <c r="AO131" i="39"/>
  <c r="AP131" i="39"/>
  <c r="AQ131" i="39"/>
  <c r="AR131" i="39"/>
  <c r="AS131" i="39"/>
  <c r="AT131" i="39"/>
  <c r="AU131" i="39"/>
  <c r="AV131" i="39"/>
  <c r="AW131" i="39"/>
  <c r="AX131" i="39"/>
  <c r="AY131" i="39"/>
  <c r="G131" i="41" s="1"/>
  <c r="Q131" i="41" s="1"/>
  <c r="AZ131" i="39"/>
  <c r="BA131" i="39"/>
  <c r="H131" i="47" s="1"/>
  <c r="N131" i="47" s="1"/>
  <c r="BQ131" i="39"/>
  <c r="BR131" i="39"/>
  <c r="BS131" i="39"/>
  <c r="BT131" i="39"/>
  <c r="BU131" i="39"/>
  <c r="BV131" i="39"/>
  <c r="BW131" i="39"/>
  <c r="BX131" i="39"/>
  <c r="BY131" i="39"/>
  <c r="BZ131" i="39"/>
  <c r="CA131" i="39"/>
  <c r="CB131" i="39"/>
  <c r="CC131" i="39"/>
  <c r="CD131" i="39"/>
  <c r="CE131" i="39"/>
  <c r="CF131" i="39"/>
  <c r="B132" i="39"/>
  <c r="AI132" i="39"/>
  <c r="AJ132" i="39"/>
  <c r="AK132" i="39"/>
  <c r="AL132" i="39"/>
  <c r="AM132" i="39"/>
  <c r="AN132" i="39"/>
  <c r="AO132" i="39"/>
  <c r="AP132" i="39"/>
  <c r="AQ132" i="39"/>
  <c r="AR132" i="39"/>
  <c r="AS132" i="39"/>
  <c r="AT132" i="39"/>
  <c r="AU132" i="39"/>
  <c r="AV132" i="39"/>
  <c r="AW132" i="39"/>
  <c r="AX132" i="39"/>
  <c r="AY132" i="39"/>
  <c r="G132" i="41" s="1"/>
  <c r="Q132" i="41" s="1"/>
  <c r="AZ132" i="39"/>
  <c r="BA132" i="39"/>
  <c r="H132" i="47" s="1"/>
  <c r="N132" i="47" s="1"/>
  <c r="BQ132" i="39"/>
  <c r="BR132" i="39"/>
  <c r="BS132" i="39"/>
  <c r="BT132" i="39"/>
  <c r="BU132" i="39"/>
  <c r="BV132" i="39"/>
  <c r="BW132" i="39"/>
  <c r="BX132" i="39"/>
  <c r="BY132" i="39"/>
  <c r="BZ132" i="39"/>
  <c r="CA132" i="39"/>
  <c r="CB132" i="39"/>
  <c r="CC132" i="39"/>
  <c r="CD132" i="39"/>
  <c r="CE132" i="39"/>
  <c r="CF132" i="39"/>
  <c r="B133" i="39"/>
  <c r="AI133" i="39"/>
  <c r="AJ133" i="39"/>
  <c r="AK133" i="39"/>
  <c r="AL133" i="39"/>
  <c r="AM133" i="39"/>
  <c r="AN133" i="39"/>
  <c r="AO133" i="39"/>
  <c r="AP133" i="39"/>
  <c r="AQ133" i="39"/>
  <c r="AR133" i="39"/>
  <c r="AS133" i="39"/>
  <c r="AT133" i="39"/>
  <c r="AU133" i="39"/>
  <c r="AV133" i="39"/>
  <c r="AW133" i="39"/>
  <c r="AX133" i="39"/>
  <c r="AY133" i="39"/>
  <c r="G133" i="41" s="1"/>
  <c r="Q133" i="41" s="1"/>
  <c r="AZ133" i="39"/>
  <c r="BA133" i="39"/>
  <c r="H133" i="47" s="1"/>
  <c r="N133" i="47" s="1"/>
  <c r="BQ133" i="39"/>
  <c r="BR133" i="39"/>
  <c r="BS133" i="39"/>
  <c r="BT133" i="39"/>
  <c r="BU133" i="39"/>
  <c r="BV133" i="39"/>
  <c r="BW133" i="39"/>
  <c r="BX133" i="39"/>
  <c r="BY133" i="39"/>
  <c r="BZ133" i="39"/>
  <c r="CA133" i="39"/>
  <c r="CB133" i="39"/>
  <c r="CC133" i="39"/>
  <c r="CD133" i="39"/>
  <c r="CE133" i="39"/>
  <c r="CF133" i="39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Y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M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DA51" i="6"/>
  <c r="DB51" i="6"/>
  <c r="DC51" i="6"/>
  <c r="DD51" i="6"/>
  <c r="DE51" i="6"/>
  <c r="DF51" i="6"/>
  <c r="DG51" i="6"/>
  <c r="DH51" i="6"/>
  <c r="DI51" i="6"/>
  <c r="DJ51" i="6"/>
  <c r="DK51" i="6"/>
  <c r="DL51" i="6"/>
  <c r="DM51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K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Y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M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DA52" i="6"/>
  <c r="DB52" i="6"/>
  <c r="DC52" i="6"/>
  <c r="DD52" i="6"/>
  <c r="DE52" i="6"/>
  <c r="DF52" i="6"/>
  <c r="DG52" i="6"/>
  <c r="DH52" i="6"/>
  <c r="DI52" i="6"/>
  <c r="DJ52" i="6"/>
  <c r="DK52" i="6"/>
  <c r="DL52" i="6"/>
  <c r="DM52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DA24" i="6"/>
  <c r="DB24" i="6"/>
  <c r="DC24" i="6"/>
  <c r="DD24" i="6"/>
  <c r="DE24" i="6"/>
  <c r="DF24" i="6"/>
  <c r="DG24" i="6"/>
  <c r="DH24" i="6"/>
  <c r="DI24" i="6"/>
  <c r="DJ24" i="6"/>
  <c r="DK24" i="6"/>
  <c r="DL24" i="6"/>
  <c r="DM24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K25" i="6"/>
  <c r="BL25" i="6"/>
  <c r="BM25" i="6"/>
  <c r="BN25" i="6"/>
  <c r="BO25" i="6"/>
  <c r="BP25" i="6"/>
  <c r="BQ25" i="6"/>
  <c r="BR25" i="6"/>
  <c r="BS25" i="6"/>
  <c r="BT25" i="6"/>
  <c r="BU25" i="6"/>
  <c r="BV25" i="6"/>
  <c r="BW25" i="6"/>
  <c r="BY25" i="6"/>
  <c r="BZ25" i="6"/>
  <c r="CA25" i="6"/>
  <c r="CB25" i="6"/>
  <c r="CC25" i="6"/>
  <c r="CD25" i="6"/>
  <c r="CE25" i="6"/>
  <c r="CF25" i="6"/>
  <c r="CG25" i="6"/>
  <c r="CH25" i="6"/>
  <c r="CI25" i="6"/>
  <c r="CJ25" i="6"/>
  <c r="CK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DA25" i="6"/>
  <c r="DB25" i="6"/>
  <c r="DC25" i="6"/>
  <c r="DD25" i="6"/>
  <c r="DE25" i="6"/>
  <c r="DF25" i="6"/>
  <c r="DG25" i="6"/>
  <c r="DH25" i="6"/>
  <c r="DI25" i="6"/>
  <c r="DJ25" i="6"/>
  <c r="DK25" i="6"/>
  <c r="DL25" i="6"/>
  <c r="DM25" i="6"/>
  <c r="A288" i="6"/>
  <c r="B288" i="6"/>
  <c r="A289" i="6"/>
  <c r="B289" i="6"/>
  <c r="A279" i="6"/>
  <c r="B279" i="6"/>
  <c r="A280" i="6"/>
  <c r="B280" i="6"/>
  <c r="A281" i="6"/>
  <c r="B281" i="6"/>
  <c r="A282" i="6"/>
  <c r="B282" i="6"/>
  <c r="A283" i="6"/>
  <c r="B283" i="6"/>
  <c r="A284" i="6"/>
  <c r="B284" i="6"/>
  <c r="A285" i="6"/>
  <c r="B285" i="6"/>
  <c r="A286" i="6"/>
  <c r="B286" i="6"/>
  <c r="A287" i="6"/>
  <c r="B287" i="6"/>
  <c r="B278" i="6"/>
  <c r="A278" i="6"/>
  <c r="F73" i="70"/>
  <c r="G73" i="70"/>
  <c r="H73" i="70"/>
  <c r="I73" i="70"/>
  <c r="J73" i="70"/>
  <c r="K73" i="70"/>
  <c r="L73" i="70"/>
  <c r="E73" i="70"/>
  <c r="F11" i="67"/>
  <c r="F10" i="67"/>
  <c r="D123" i="29" l="1"/>
  <c r="M127" i="39"/>
  <c r="N127" i="39" s="1"/>
  <c r="D127" i="29" s="1"/>
  <c r="M131" i="39"/>
  <c r="N131" i="39" s="1"/>
  <c r="DD131" i="39" s="1"/>
  <c r="M125" i="39"/>
  <c r="N125" i="39" s="1"/>
  <c r="D125" i="29" s="1"/>
  <c r="M129" i="39"/>
  <c r="N129" i="39" s="1"/>
  <c r="D129" i="29" s="1"/>
  <c r="D124" i="29"/>
  <c r="M128" i="39"/>
  <c r="N128" i="39" s="1"/>
  <c r="D128" i="29" s="1"/>
  <c r="M132" i="39"/>
  <c r="N132" i="39" s="1"/>
  <c r="D132" i="29" s="1"/>
  <c r="M133" i="39"/>
  <c r="N133" i="39" s="1"/>
  <c r="D133" i="29" s="1"/>
  <c r="M126" i="39"/>
  <c r="N126" i="39" s="1"/>
  <c r="DD126" i="39" s="1"/>
  <c r="M130" i="39"/>
  <c r="N130" i="39" s="1"/>
  <c r="DD130" i="39" s="1"/>
  <c r="E121" i="39"/>
  <c r="E132" i="39"/>
  <c r="F132" i="39" s="1"/>
  <c r="E128" i="39"/>
  <c r="F128" i="39" s="1"/>
  <c r="E122" i="39"/>
  <c r="F122" i="39" s="1"/>
  <c r="CY122" i="39" s="1"/>
  <c r="I130" i="39"/>
  <c r="J130" i="39" s="1"/>
  <c r="D130" i="28" s="1"/>
  <c r="I126" i="39"/>
  <c r="J126" i="39" s="1"/>
  <c r="I122" i="39"/>
  <c r="J122" i="39" s="1"/>
  <c r="D122" i="28" s="1"/>
  <c r="E120" i="39"/>
  <c r="E131" i="39"/>
  <c r="F131" i="39" s="1"/>
  <c r="E127" i="39"/>
  <c r="F127" i="39" s="1"/>
  <c r="E124" i="39"/>
  <c r="F124" i="39" s="1"/>
  <c r="CY124" i="39" s="1"/>
  <c r="I133" i="39"/>
  <c r="J133" i="39" s="1"/>
  <c r="I129" i="39"/>
  <c r="J129" i="39" s="1"/>
  <c r="I125" i="39"/>
  <c r="J125" i="39" s="1"/>
  <c r="E130" i="39"/>
  <c r="F130" i="39" s="1"/>
  <c r="E126" i="39"/>
  <c r="F126" i="39" s="1"/>
  <c r="CY126" i="39" s="1"/>
  <c r="I132" i="39"/>
  <c r="J132" i="39" s="1"/>
  <c r="D132" i="28" s="1"/>
  <c r="I128" i="39"/>
  <c r="J128" i="39" s="1"/>
  <c r="D128" i="28" s="1"/>
  <c r="I124" i="39"/>
  <c r="J124" i="39" s="1"/>
  <c r="D124" i="28" s="1"/>
  <c r="D125" i="30"/>
  <c r="DE130" i="39"/>
  <c r="D129" i="30"/>
  <c r="D131" i="64"/>
  <c r="DB126" i="39"/>
  <c r="D128" i="30"/>
  <c r="D127" i="30"/>
  <c r="D132" i="30"/>
  <c r="D124" i="30"/>
  <c r="D123" i="64"/>
  <c r="R133" i="39"/>
  <c r="S133" i="39" s="1"/>
  <c r="D133" i="30" s="1"/>
  <c r="D126" i="31"/>
  <c r="D130" i="31"/>
  <c r="D128" i="31"/>
  <c r="D123" i="31"/>
  <c r="D127" i="31"/>
  <c r="D131" i="31"/>
  <c r="D124" i="31"/>
  <c r="D132" i="31"/>
  <c r="D125" i="31"/>
  <c r="D129" i="31"/>
  <c r="W133" i="39"/>
  <c r="X133" i="39" s="1"/>
  <c r="D133" i="31" s="1"/>
  <c r="E133" i="39"/>
  <c r="F133" i="39" s="1"/>
  <c r="CY133" i="39" s="1"/>
  <c r="E129" i="39"/>
  <c r="F129" i="39" s="1"/>
  <c r="E125" i="39"/>
  <c r="F125" i="39" s="1"/>
  <c r="I131" i="39"/>
  <c r="J131" i="39" s="1"/>
  <c r="D131" i="28" s="1"/>
  <c r="I127" i="39"/>
  <c r="J127" i="39" s="1"/>
  <c r="D127" i="28" s="1"/>
  <c r="D131" i="27"/>
  <c r="D131" i="41"/>
  <c r="D127" i="27"/>
  <c r="D127" i="41"/>
  <c r="D130" i="66"/>
  <c r="CY130" i="39"/>
  <c r="D130" i="27"/>
  <c r="D130" i="41"/>
  <c r="D126" i="41"/>
  <c r="CZ132" i="39"/>
  <c r="D132" i="47"/>
  <c r="D128" i="47"/>
  <c r="CZ128" i="39"/>
  <c r="D124" i="47"/>
  <c r="CZ124" i="39"/>
  <c r="D133" i="58"/>
  <c r="D129" i="58"/>
  <c r="D125" i="58"/>
  <c r="DA125" i="39"/>
  <c r="D129" i="64"/>
  <c r="D133" i="41"/>
  <c r="D129" i="27"/>
  <c r="D129" i="41"/>
  <c r="D125" i="27"/>
  <c r="D125" i="41"/>
  <c r="CZ131" i="39"/>
  <c r="D131" i="47"/>
  <c r="D127" i="47"/>
  <c r="D123" i="47"/>
  <c r="CZ123" i="39"/>
  <c r="DA132" i="39"/>
  <c r="D128" i="64"/>
  <c r="DE128" i="39"/>
  <c r="D124" i="64"/>
  <c r="DB124" i="39"/>
  <c r="DF128" i="39"/>
  <c r="D124" i="66"/>
  <c r="CY132" i="39"/>
  <c r="D132" i="41"/>
  <c r="D132" i="27"/>
  <c r="CY128" i="39"/>
  <c r="D128" i="41"/>
  <c r="D128" i="27"/>
  <c r="CZ130" i="39"/>
  <c r="D130" i="47"/>
  <c r="CZ122" i="39"/>
  <c r="D122" i="47"/>
  <c r="DD127" i="39"/>
  <c r="DA123" i="39"/>
  <c r="D123" i="58"/>
  <c r="DD123" i="39"/>
  <c r="D131" i="66"/>
  <c r="DF123" i="39"/>
  <c r="CY129" i="39"/>
  <c r="D123" i="41"/>
  <c r="D124" i="27"/>
  <c r="D122" i="41"/>
  <c r="D124" i="41"/>
  <c r="D130" i="64"/>
  <c r="D126" i="64"/>
  <c r="Q122" i="64"/>
  <c r="CI124" i="39"/>
  <c r="G123" i="47"/>
  <c r="M123" i="47" s="1"/>
  <c r="O123" i="47" s="1"/>
  <c r="P123" i="47" s="1"/>
  <c r="W133" i="41"/>
  <c r="D131" i="58"/>
  <c r="DD132" i="39"/>
  <c r="DF130" i="39"/>
  <c r="DA127" i="39"/>
  <c r="DA126" i="39"/>
  <c r="CZ126" i="39"/>
  <c r="CY125" i="39"/>
  <c r="W132" i="41"/>
  <c r="X132" i="41" s="1"/>
  <c r="W131" i="41"/>
  <c r="X131" i="41" s="1"/>
  <c r="W130" i="41"/>
  <c r="Y130" i="41" s="1"/>
  <c r="W129" i="41"/>
  <c r="Y129" i="41" s="1"/>
  <c r="W128" i="41"/>
  <c r="Y128" i="41" s="1"/>
  <c r="W127" i="41"/>
  <c r="W126" i="41"/>
  <c r="W124" i="41"/>
  <c r="W123" i="41"/>
  <c r="Y123" i="41" s="1"/>
  <c r="O122" i="47"/>
  <c r="P122" i="47" s="1"/>
  <c r="S133" i="58"/>
  <c r="S132" i="58"/>
  <c r="S131" i="58"/>
  <c r="S129" i="58"/>
  <c r="S128" i="58"/>
  <c r="S127" i="58"/>
  <c r="S125" i="58"/>
  <c r="S124" i="58"/>
  <c r="S123" i="58"/>
  <c r="S122" i="58"/>
  <c r="Q132" i="64"/>
  <c r="Q130" i="64"/>
  <c r="Q128" i="64"/>
  <c r="Q126" i="64"/>
  <c r="Q124" i="64"/>
  <c r="Q133" i="64"/>
  <c r="Q131" i="64"/>
  <c r="Q129" i="64"/>
  <c r="Q127" i="64"/>
  <c r="Q125" i="64"/>
  <c r="Q123" i="64"/>
  <c r="S130" i="58"/>
  <c r="S126" i="58"/>
  <c r="W125" i="41"/>
  <c r="W122" i="41"/>
  <c r="CY131" i="39"/>
  <c r="CY127" i="39"/>
  <c r="BN124" i="39"/>
  <c r="CY123" i="39"/>
  <c r="BP122" i="39"/>
  <c r="CZ133" i="39"/>
  <c r="CZ129" i="39"/>
  <c r="DD125" i="39"/>
  <c r="CZ125" i="39"/>
  <c r="BP123" i="39"/>
  <c r="AV52" i="6"/>
  <c r="AV24" i="6"/>
  <c r="AV51" i="6"/>
  <c r="AV25" i="6"/>
  <c r="F7" i="67"/>
  <c r="F8" i="67"/>
  <c r="F9" i="67"/>
  <c r="C8" i="67"/>
  <c r="C7" i="67"/>
  <c r="C11" i="67"/>
  <c r="C10" i="67"/>
  <c r="C9" i="67"/>
  <c r="T125" i="58" l="1"/>
  <c r="S124" i="64"/>
  <c r="DE133" i="39"/>
  <c r="D124" i="58"/>
  <c r="U124" i="58" s="1"/>
  <c r="DF133" i="39"/>
  <c r="DD129" i="39"/>
  <c r="DF129" i="39"/>
  <c r="DC123" i="39"/>
  <c r="DE123" i="39"/>
  <c r="DD124" i="39"/>
  <c r="DB133" i="39"/>
  <c r="DA129" i="39"/>
  <c r="DC129" i="39"/>
  <c r="T129" i="58"/>
  <c r="DC128" i="39"/>
  <c r="DD133" i="39"/>
  <c r="DE127" i="39"/>
  <c r="D127" i="64"/>
  <c r="R127" i="64" s="1"/>
  <c r="D127" i="58"/>
  <c r="DF124" i="39"/>
  <c r="D128" i="66"/>
  <c r="DB128" i="39"/>
  <c r="DC133" i="39"/>
  <c r="DA133" i="39"/>
  <c r="U125" i="58"/>
  <c r="DE129" i="39"/>
  <c r="DC124" i="39"/>
  <c r="DA124" i="39"/>
  <c r="D133" i="66"/>
  <c r="D133" i="64"/>
  <c r="R133" i="64" s="1"/>
  <c r="DC127" i="39"/>
  <c r="R123" i="64"/>
  <c r="T123" i="58"/>
  <c r="T133" i="58"/>
  <c r="D123" i="66"/>
  <c r="DB127" i="39"/>
  <c r="DE132" i="39"/>
  <c r="D129" i="66"/>
  <c r="DB129" i="39"/>
  <c r="DC125" i="39"/>
  <c r="DF131" i="39"/>
  <c r="DF132" i="39"/>
  <c r="D132" i="58"/>
  <c r="U132" i="58" s="1"/>
  <c r="D125" i="66"/>
  <c r="DC130" i="39"/>
  <c r="R128" i="64"/>
  <c r="DC131" i="39"/>
  <c r="DE124" i="39"/>
  <c r="DF125" i="39"/>
  <c r="AN15" i="33"/>
  <c r="AR15" i="33" s="1"/>
  <c r="DE122" i="39"/>
  <c r="AE15" i="33"/>
  <c r="AI15" i="33" s="1"/>
  <c r="D122" i="29"/>
  <c r="V15" i="33"/>
  <c r="Z15" i="33" s="1"/>
  <c r="R130" i="64"/>
  <c r="X133" i="41"/>
  <c r="DE125" i="39"/>
  <c r="T127" i="58"/>
  <c r="Y124" i="41"/>
  <c r="DC126" i="39"/>
  <c r="Y133" i="41"/>
  <c r="DA130" i="39"/>
  <c r="D132" i="64"/>
  <c r="R132" i="64" s="1"/>
  <c r="DA128" i="39"/>
  <c r="CZ127" i="39"/>
  <c r="D133" i="27"/>
  <c r="D126" i="27"/>
  <c r="S131" i="64"/>
  <c r="Y126" i="41"/>
  <c r="DE131" i="39"/>
  <c r="D122" i="27"/>
  <c r="D127" i="66"/>
  <c r="DC132" i="39"/>
  <c r="DD128" i="39"/>
  <c r="DB125" i="39"/>
  <c r="D126" i="66"/>
  <c r="Y127" i="41"/>
  <c r="DF127" i="39"/>
  <c r="D132" i="66"/>
  <c r="DB132" i="39"/>
  <c r="D128" i="58"/>
  <c r="U128" i="58" s="1"/>
  <c r="D125" i="64"/>
  <c r="S125" i="64" s="1"/>
  <c r="DF126" i="39"/>
  <c r="DB131" i="39"/>
  <c r="D131" i="30"/>
  <c r="D133" i="47"/>
  <c r="D133" i="28"/>
  <c r="D130" i="58"/>
  <c r="U130" i="58" s="1"/>
  <c r="D130" i="29"/>
  <c r="D122" i="58"/>
  <c r="T122" i="58" s="1"/>
  <c r="D126" i="58"/>
  <c r="U126" i="58" s="1"/>
  <c r="D126" i="29"/>
  <c r="DA131" i="39"/>
  <c r="D131" i="29"/>
  <c r="DB123" i="39"/>
  <c r="D123" i="30"/>
  <c r="DB130" i="39"/>
  <c r="D130" i="30"/>
  <c r="D125" i="47"/>
  <c r="D125" i="28"/>
  <c r="D126" i="47"/>
  <c r="D126" i="28"/>
  <c r="DE126" i="39"/>
  <c r="D126" i="30"/>
  <c r="D129" i="47"/>
  <c r="D129" i="28"/>
  <c r="R131" i="64"/>
  <c r="S129" i="64"/>
  <c r="R126" i="64"/>
  <c r="X123" i="41"/>
  <c r="X124" i="41"/>
  <c r="S128" i="64"/>
  <c r="S130" i="64"/>
  <c r="S133" i="64"/>
  <c r="R124" i="64"/>
  <c r="U123" i="58"/>
  <c r="Q122" i="47"/>
  <c r="CI125" i="39"/>
  <c r="G124" i="47"/>
  <c r="M124" i="47" s="1"/>
  <c r="O124" i="47" s="1"/>
  <c r="Y131" i="41"/>
  <c r="Y132" i="41"/>
  <c r="X127" i="41"/>
  <c r="X128" i="41"/>
  <c r="X126" i="41"/>
  <c r="X130" i="41"/>
  <c r="X129" i="41"/>
  <c r="T124" i="58"/>
  <c r="U129" i="58"/>
  <c r="T131" i="58"/>
  <c r="U127" i="58"/>
  <c r="U133" i="58"/>
  <c r="T132" i="58"/>
  <c r="U131" i="58"/>
  <c r="Q123" i="47"/>
  <c r="S123" i="64"/>
  <c r="R129" i="64"/>
  <c r="S126" i="64"/>
  <c r="S127" i="64"/>
  <c r="Y122" i="41"/>
  <c r="X122" i="41"/>
  <c r="X125" i="41"/>
  <c r="Y125" i="41"/>
  <c r="BP124" i="39"/>
  <c r="BO124" i="39"/>
  <c r="BN125" i="39"/>
  <c r="AO86" i="6"/>
  <c r="AO87" i="6"/>
  <c r="AO77" i="6"/>
  <c r="AO78" i="6"/>
  <c r="AO79" i="6"/>
  <c r="AO80" i="6"/>
  <c r="AO81" i="6"/>
  <c r="AO82" i="6"/>
  <c r="AO83" i="6"/>
  <c r="AO84" i="6"/>
  <c r="AO85" i="6"/>
  <c r="AO76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T130" i="58" l="1"/>
  <c r="T126" i="58"/>
  <c r="S132" i="64"/>
  <c r="D122" i="30"/>
  <c r="U122" i="58"/>
  <c r="AF15" i="33"/>
  <c r="DB122" i="39"/>
  <c r="D122" i="64"/>
  <c r="DA122" i="39"/>
  <c r="W15" i="33"/>
  <c r="DD122" i="39"/>
  <c r="D122" i="31"/>
  <c r="AO15" i="33"/>
  <c r="DF122" i="39"/>
  <c r="D122" i="66"/>
  <c r="DC122" i="39"/>
  <c r="R125" i="64"/>
  <c r="T128" i="58"/>
  <c r="P124" i="47"/>
  <c r="Q124" i="47"/>
  <c r="G125" i="47"/>
  <c r="M125" i="47" s="1"/>
  <c r="O125" i="47" s="1"/>
  <c r="CI126" i="39"/>
  <c r="BN126" i="39"/>
  <c r="BP125" i="39"/>
  <c r="BO125" i="39"/>
  <c r="DT1" i="6"/>
  <c r="DS1" i="6"/>
  <c r="DR1" i="6"/>
  <c r="DQ1" i="6"/>
  <c r="DP1" i="6"/>
  <c r="S122" i="64" l="1"/>
  <c r="R122" i="64"/>
  <c r="P125" i="47"/>
  <c r="Q125" i="47"/>
  <c r="CI127" i="39"/>
  <c r="G126" i="47"/>
  <c r="M126" i="47" s="1"/>
  <c r="O126" i="47" s="1"/>
  <c r="BN127" i="39"/>
  <c r="BO126" i="39"/>
  <c r="BP126" i="39"/>
  <c r="AC7" i="7"/>
  <c r="AC8" i="7"/>
  <c r="AC11" i="7"/>
  <c r="AC12" i="7"/>
  <c r="AC13" i="7"/>
  <c r="AC6" i="7"/>
  <c r="P126" i="47" l="1"/>
  <c r="Q126" i="47"/>
  <c r="CI128" i="39"/>
  <c r="G127" i="47"/>
  <c r="M127" i="47" s="1"/>
  <c r="O127" i="47" s="1"/>
  <c r="BO127" i="39"/>
  <c r="BP127" i="39"/>
  <c r="BN128" i="39"/>
  <c r="R248" i="7"/>
  <c r="R244" i="7"/>
  <c r="R251" i="7"/>
  <c r="R245" i="7"/>
  <c r="R246" i="7"/>
  <c r="R247" i="7"/>
  <c r="R250" i="7"/>
  <c r="R249" i="7"/>
  <c r="R252" i="7"/>
  <c r="R241" i="7"/>
  <c r="R242" i="7"/>
  <c r="R243" i="7"/>
  <c r="R122" i="29"/>
  <c r="R123" i="29"/>
  <c r="R124" i="29"/>
  <c r="R125" i="29"/>
  <c r="R126" i="29"/>
  <c r="R127" i="29"/>
  <c r="R128" i="29"/>
  <c r="R129" i="29"/>
  <c r="R130" i="29"/>
  <c r="R131" i="29"/>
  <c r="R132" i="29"/>
  <c r="R133" i="29"/>
  <c r="I134" i="29"/>
  <c r="R134" i="29" s="1"/>
  <c r="I135" i="29"/>
  <c r="R135" i="29" s="1"/>
  <c r="I136" i="29"/>
  <c r="R136" i="29" s="1"/>
  <c r="I137" i="29"/>
  <c r="R137" i="29" s="1"/>
  <c r="I138" i="29"/>
  <c r="R138" i="29" s="1"/>
  <c r="I139" i="29"/>
  <c r="R139" i="29" s="1"/>
  <c r="I140" i="29"/>
  <c r="R140" i="29" s="1"/>
  <c r="I141" i="29"/>
  <c r="R141" i="29" s="1"/>
  <c r="I142" i="29"/>
  <c r="R142" i="29" s="1"/>
  <c r="I143" i="29"/>
  <c r="R143" i="29" s="1"/>
  <c r="I144" i="29"/>
  <c r="R144" i="29" s="1"/>
  <c r="I145" i="29"/>
  <c r="R145" i="29" s="1"/>
  <c r="I3" i="29"/>
  <c r="R3" i="29" s="1"/>
  <c r="I4" i="29"/>
  <c r="R4" i="29" s="1"/>
  <c r="I5" i="29"/>
  <c r="R5" i="29" s="1"/>
  <c r="I6" i="29"/>
  <c r="R6" i="29" s="1"/>
  <c r="I7" i="29"/>
  <c r="R7" i="29" s="1"/>
  <c r="I8" i="29"/>
  <c r="R8" i="29" s="1"/>
  <c r="I9" i="29"/>
  <c r="R9" i="29" s="1"/>
  <c r="I10" i="29"/>
  <c r="R10" i="29" s="1"/>
  <c r="I11" i="29"/>
  <c r="R11" i="29" s="1"/>
  <c r="I12" i="29"/>
  <c r="R12" i="29" s="1"/>
  <c r="I13" i="29"/>
  <c r="R13" i="29" s="1"/>
  <c r="I14" i="29"/>
  <c r="R14" i="29" s="1"/>
  <c r="I15" i="29"/>
  <c r="R15" i="29" s="1"/>
  <c r="I16" i="29"/>
  <c r="R16" i="29" s="1"/>
  <c r="I17" i="29"/>
  <c r="R17" i="29" s="1"/>
  <c r="I18" i="29"/>
  <c r="R18" i="29" s="1"/>
  <c r="I19" i="29"/>
  <c r="R19" i="29" s="1"/>
  <c r="I20" i="29"/>
  <c r="R20" i="29" s="1"/>
  <c r="I21" i="29"/>
  <c r="R21" i="29" s="1"/>
  <c r="I22" i="29"/>
  <c r="R22" i="29" s="1"/>
  <c r="I23" i="29"/>
  <c r="R23" i="29" s="1"/>
  <c r="I24" i="29"/>
  <c r="R24" i="29" s="1"/>
  <c r="I25" i="29"/>
  <c r="R25" i="29" s="1"/>
  <c r="I26" i="29"/>
  <c r="R26" i="29" s="1"/>
  <c r="I27" i="29"/>
  <c r="R27" i="29" s="1"/>
  <c r="I28" i="29"/>
  <c r="R28" i="29" s="1"/>
  <c r="I29" i="29"/>
  <c r="R29" i="29" s="1"/>
  <c r="I30" i="29"/>
  <c r="R30" i="29" s="1"/>
  <c r="I31" i="29"/>
  <c r="R31" i="29" s="1"/>
  <c r="I32" i="29"/>
  <c r="R32" i="29" s="1"/>
  <c r="I33" i="29"/>
  <c r="R33" i="29" s="1"/>
  <c r="I34" i="29"/>
  <c r="R34" i="29" s="1"/>
  <c r="I35" i="29"/>
  <c r="R35" i="29" s="1"/>
  <c r="I36" i="29"/>
  <c r="R36" i="29" s="1"/>
  <c r="I37" i="29"/>
  <c r="R37" i="29" s="1"/>
  <c r="I38" i="29"/>
  <c r="R38" i="29" s="1"/>
  <c r="I39" i="29"/>
  <c r="R39" i="29" s="1"/>
  <c r="I40" i="29"/>
  <c r="R40" i="29" s="1"/>
  <c r="I41" i="29"/>
  <c r="R41" i="29" s="1"/>
  <c r="I42" i="29"/>
  <c r="R42" i="29" s="1"/>
  <c r="I43" i="29"/>
  <c r="R43" i="29" s="1"/>
  <c r="I44" i="29"/>
  <c r="R44" i="29" s="1"/>
  <c r="I45" i="29"/>
  <c r="R45" i="29" s="1"/>
  <c r="I46" i="29"/>
  <c r="R46" i="29" s="1"/>
  <c r="I47" i="29"/>
  <c r="R47" i="29" s="1"/>
  <c r="I48" i="29"/>
  <c r="R48" i="29" s="1"/>
  <c r="I49" i="29"/>
  <c r="R49" i="29" s="1"/>
  <c r="I50" i="29"/>
  <c r="R50" i="29" s="1"/>
  <c r="I51" i="29"/>
  <c r="R51" i="29" s="1"/>
  <c r="I52" i="29"/>
  <c r="R52" i="29" s="1"/>
  <c r="I53" i="29"/>
  <c r="R53" i="29" s="1"/>
  <c r="I54" i="29"/>
  <c r="R54" i="29" s="1"/>
  <c r="I55" i="29"/>
  <c r="R55" i="29" s="1"/>
  <c r="I56" i="29"/>
  <c r="R56" i="29" s="1"/>
  <c r="I57" i="29"/>
  <c r="R57" i="29" s="1"/>
  <c r="I58" i="29"/>
  <c r="R58" i="29" s="1"/>
  <c r="I59" i="29"/>
  <c r="R59" i="29" s="1"/>
  <c r="I60" i="29"/>
  <c r="R60" i="29" s="1"/>
  <c r="I61" i="29"/>
  <c r="R61" i="29" s="1"/>
  <c r="I62" i="29"/>
  <c r="R62" i="29" s="1"/>
  <c r="I63" i="29"/>
  <c r="R63" i="29" s="1"/>
  <c r="I64" i="29"/>
  <c r="R64" i="29" s="1"/>
  <c r="I65" i="29"/>
  <c r="R65" i="29" s="1"/>
  <c r="I66" i="29"/>
  <c r="R66" i="29" s="1"/>
  <c r="I67" i="29"/>
  <c r="R67" i="29" s="1"/>
  <c r="I68" i="29"/>
  <c r="R68" i="29" s="1"/>
  <c r="I69" i="29"/>
  <c r="R69" i="29" s="1"/>
  <c r="I70" i="29"/>
  <c r="R70" i="29" s="1"/>
  <c r="I71" i="29"/>
  <c r="R71" i="29" s="1"/>
  <c r="I72" i="29"/>
  <c r="R72" i="29" s="1"/>
  <c r="I73" i="29"/>
  <c r="R73" i="29" s="1"/>
  <c r="I74" i="29"/>
  <c r="R74" i="29" s="1"/>
  <c r="I75" i="29"/>
  <c r="R75" i="29" s="1"/>
  <c r="I76" i="29"/>
  <c r="R76" i="29" s="1"/>
  <c r="I77" i="29"/>
  <c r="R77" i="29" s="1"/>
  <c r="I78" i="29"/>
  <c r="R78" i="29" s="1"/>
  <c r="I79" i="29"/>
  <c r="R79" i="29" s="1"/>
  <c r="I80" i="29"/>
  <c r="R80" i="29" s="1"/>
  <c r="I81" i="29"/>
  <c r="R81" i="29" s="1"/>
  <c r="I82" i="29"/>
  <c r="R82" i="29" s="1"/>
  <c r="I83" i="29"/>
  <c r="R83" i="29" s="1"/>
  <c r="I84" i="29"/>
  <c r="R84" i="29" s="1"/>
  <c r="I85" i="29"/>
  <c r="R85" i="29" s="1"/>
  <c r="I86" i="29"/>
  <c r="R86" i="29" s="1"/>
  <c r="I87" i="29"/>
  <c r="R87" i="29" s="1"/>
  <c r="I88" i="29"/>
  <c r="R88" i="29" s="1"/>
  <c r="I89" i="29"/>
  <c r="R89" i="29" s="1"/>
  <c r="I90" i="29"/>
  <c r="R90" i="29" s="1"/>
  <c r="I91" i="29"/>
  <c r="R91" i="29" s="1"/>
  <c r="I92" i="29"/>
  <c r="R92" i="29" s="1"/>
  <c r="I93" i="29"/>
  <c r="R93" i="29" s="1"/>
  <c r="I94" i="29"/>
  <c r="R94" i="29" s="1"/>
  <c r="I95" i="29"/>
  <c r="R95" i="29" s="1"/>
  <c r="I96" i="29"/>
  <c r="R96" i="29" s="1"/>
  <c r="I97" i="29"/>
  <c r="R97" i="29" s="1"/>
  <c r="I98" i="29"/>
  <c r="R98" i="29" s="1"/>
  <c r="I99" i="29"/>
  <c r="R99" i="29" s="1"/>
  <c r="I100" i="29"/>
  <c r="R100" i="29" s="1"/>
  <c r="I101" i="29"/>
  <c r="R101" i="29" s="1"/>
  <c r="I102" i="29"/>
  <c r="R102" i="29" s="1"/>
  <c r="I103" i="29"/>
  <c r="R103" i="29" s="1"/>
  <c r="I104" i="29"/>
  <c r="R104" i="29" s="1"/>
  <c r="I105" i="29"/>
  <c r="R105" i="29" s="1"/>
  <c r="I106" i="29"/>
  <c r="R106" i="29" s="1"/>
  <c r="I107" i="29"/>
  <c r="R107" i="29" s="1"/>
  <c r="I108" i="29"/>
  <c r="R108" i="29" s="1"/>
  <c r="I109" i="29"/>
  <c r="R109" i="29" s="1"/>
  <c r="I110" i="29"/>
  <c r="R110" i="29" s="1"/>
  <c r="I111" i="29"/>
  <c r="R111" i="29" s="1"/>
  <c r="I112" i="29"/>
  <c r="R112" i="29" s="1"/>
  <c r="I113" i="29"/>
  <c r="R113" i="29" s="1"/>
  <c r="I114" i="29"/>
  <c r="R114" i="29" s="1"/>
  <c r="I115" i="29"/>
  <c r="R115" i="29" s="1"/>
  <c r="I116" i="29"/>
  <c r="R116" i="29" s="1"/>
  <c r="I117" i="29"/>
  <c r="R117" i="29" s="1"/>
  <c r="I118" i="29"/>
  <c r="R118" i="29" s="1"/>
  <c r="I119" i="29"/>
  <c r="R119" i="29" s="1"/>
  <c r="I120" i="29"/>
  <c r="R120" i="29" s="1"/>
  <c r="I121" i="29"/>
  <c r="R121" i="29" s="1"/>
  <c r="I2" i="29"/>
  <c r="R2" i="29" s="1"/>
  <c r="I1" i="29"/>
  <c r="R1" i="29" s="1"/>
  <c r="H4" i="29"/>
  <c r="P4" i="29" s="1"/>
  <c r="H5" i="29"/>
  <c r="P5" i="29" s="1"/>
  <c r="H6" i="29"/>
  <c r="P6" i="29" s="1"/>
  <c r="H7" i="29"/>
  <c r="P7" i="29" s="1"/>
  <c r="H8" i="29"/>
  <c r="P8" i="29" s="1"/>
  <c r="H9" i="29"/>
  <c r="P9" i="29" s="1"/>
  <c r="H10" i="29"/>
  <c r="P10" i="29" s="1"/>
  <c r="H11" i="29"/>
  <c r="P11" i="29" s="1"/>
  <c r="H12" i="29"/>
  <c r="P12" i="29" s="1"/>
  <c r="H13" i="29"/>
  <c r="P13" i="29" s="1"/>
  <c r="H2" i="29"/>
  <c r="P2" i="29" s="1"/>
  <c r="H3" i="29"/>
  <c r="P3" i="29" s="1"/>
  <c r="H1" i="29"/>
  <c r="P1" i="29" s="1"/>
  <c r="R253" i="7" l="1"/>
  <c r="BL131" i="39"/>
  <c r="R255" i="7"/>
  <c r="BL133" i="39"/>
  <c r="R254" i="7"/>
  <c r="BL132" i="39"/>
  <c r="P127" i="47"/>
  <c r="Q127" i="47"/>
  <c r="G128" i="47"/>
  <c r="M128" i="47" s="1"/>
  <c r="O128" i="47" s="1"/>
  <c r="CI129" i="39"/>
  <c r="BP128" i="39"/>
  <c r="BN129" i="39"/>
  <c r="BO128" i="39"/>
  <c r="BM15" i="33"/>
  <c r="BM16" i="33" s="1"/>
  <c r="BM77" i="33"/>
  <c r="BM67" i="33"/>
  <c r="BM68" i="33"/>
  <c r="BM69" i="33"/>
  <c r="BM70" i="33"/>
  <c r="BM71" i="33"/>
  <c r="BM72" i="33"/>
  <c r="BM73" i="33"/>
  <c r="BM74" i="33"/>
  <c r="BM75" i="33"/>
  <c r="BM76" i="33"/>
  <c r="BM66" i="33"/>
  <c r="G129" i="47" l="1"/>
  <c r="M129" i="47" s="1"/>
  <c r="O129" i="47" s="1"/>
  <c r="CI130" i="39"/>
  <c r="Q128" i="47"/>
  <c r="P128" i="47"/>
  <c r="BN130" i="39"/>
  <c r="BP129" i="39"/>
  <c r="BO129" i="39"/>
  <c r="J3" i="58"/>
  <c r="R3" i="58" s="1"/>
  <c r="J4" i="58"/>
  <c r="R4" i="58" s="1"/>
  <c r="J5" i="58"/>
  <c r="R5" i="58" s="1"/>
  <c r="J6" i="58"/>
  <c r="R6" i="58" s="1"/>
  <c r="J7" i="58"/>
  <c r="R7" i="58" s="1"/>
  <c r="J8" i="58"/>
  <c r="R8" i="58" s="1"/>
  <c r="J9" i="58"/>
  <c r="R9" i="58" s="1"/>
  <c r="J10" i="58"/>
  <c r="R10" i="58" s="1"/>
  <c r="J11" i="58"/>
  <c r="R11" i="58" s="1"/>
  <c r="J12" i="58"/>
  <c r="R12" i="58" s="1"/>
  <c r="J13" i="58"/>
  <c r="R13" i="58" s="1"/>
  <c r="J14" i="58"/>
  <c r="R14" i="58" s="1"/>
  <c r="J15" i="58"/>
  <c r="R15" i="58" s="1"/>
  <c r="J16" i="58"/>
  <c r="R16" i="58" s="1"/>
  <c r="J17" i="58"/>
  <c r="R17" i="58" s="1"/>
  <c r="J18" i="58"/>
  <c r="R18" i="58" s="1"/>
  <c r="J19" i="58"/>
  <c r="R19" i="58" s="1"/>
  <c r="J20" i="58"/>
  <c r="R20" i="58" s="1"/>
  <c r="J21" i="58"/>
  <c r="R21" i="58" s="1"/>
  <c r="J22" i="58"/>
  <c r="R22" i="58" s="1"/>
  <c r="J23" i="58"/>
  <c r="R23" i="58" s="1"/>
  <c r="J24" i="58"/>
  <c r="R24" i="58" s="1"/>
  <c r="J25" i="58"/>
  <c r="R25" i="58" s="1"/>
  <c r="J26" i="58"/>
  <c r="R26" i="58" s="1"/>
  <c r="J27" i="58"/>
  <c r="R27" i="58" s="1"/>
  <c r="J28" i="58"/>
  <c r="R28" i="58" s="1"/>
  <c r="J29" i="58"/>
  <c r="R29" i="58" s="1"/>
  <c r="J30" i="58"/>
  <c r="R30" i="58" s="1"/>
  <c r="J31" i="58"/>
  <c r="R31" i="58" s="1"/>
  <c r="J32" i="58"/>
  <c r="R32" i="58" s="1"/>
  <c r="J33" i="58"/>
  <c r="R33" i="58" s="1"/>
  <c r="J34" i="58"/>
  <c r="R34" i="58" s="1"/>
  <c r="J35" i="58"/>
  <c r="R35" i="58" s="1"/>
  <c r="J36" i="58"/>
  <c r="R36" i="58" s="1"/>
  <c r="J37" i="58"/>
  <c r="R37" i="58" s="1"/>
  <c r="J38" i="58"/>
  <c r="R38" i="58" s="1"/>
  <c r="J39" i="58"/>
  <c r="R39" i="58" s="1"/>
  <c r="J40" i="58"/>
  <c r="R40" i="58" s="1"/>
  <c r="J41" i="58"/>
  <c r="R41" i="58" s="1"/>
  <c r="J42" i="58"/>
  <c r="R42" i="58" s="1"/>
  <c r="J43" i="58"/>
  <c r="R43" i="58" s="1"/>
  <c r="J44" i="58"/>
  <c r="R44" i="58" s="1"/>
  <c r="J45" i="58"/>
  <c r="R45" i="58" s="1"/>
  <c r="J46" i="58"/>
  <c r="R46" i="58" s="1"/>
  <c r="J47" i="58"/>
  <c r="R47" i="58" s="1"/>
  <c r="J48" i="58"/>
  <c r="R48" i="58" s="1"/>
  <c r="J49" i="58"/>
  <c r="R49" i="58" s="1"/>
  <c r="J50" i="58"/>
  <c r="R50" i="58" s="1"/>
  <c r="J51" i="58"/>
  <c r="R51" i="58" s="1"/>
  <c r="J52" i="58"/>
  <c r="R52" i="58" s="1"/>
  <c r="J53" i="58"/>
  <c r="R53" i="58" s="1"/>
  <c r="J54" i="58"/>
  <c r="R54" i="58" s="1"/>
  <c r="J55" i="58"/>
  <c r="R55" i="58" s="1"/>
  <c r="J56" i="58"/>
  <c r="R56" i="58" s="1"/>
  <c r="J57" i="58"/>
  <c r="R57" i="58" s="1"/>
  <c r="J58" i="58"/>
  <c r="R58" i="58" s="1"/>
  <c r="J59" i="58"/>
  <c r="R59" i="58" s="1"/>
  <c r="J60" i="58"/>
  <c r="R60" i="58" s="1"/>
  <c r="J61" i="58"/>
  <c r="R61" i="58" s="1"/>
  <c r="J62" i="58"/>
  <c r="R62" i="58" s="1"/>
  <c r="J63" i="58"/>
  <c r="R63" i="58" s="1"/>
  <c r="J64" i="58"/>
  <c r="R64" i="58" s="1"/>
  <c r="J65" i="58"/>
  <c r="R65" i="58" s="1"/>
  <c r="J66" i="58"/>
  <c r="R66" i="58" s="1"/>
  <c r="J67" i="58"/>
  <c r="R67" i="58" s="1"/>
  <c r="J68" i="58"/>
  <c r="R68" i="58" s="1"/>
  <c r="J69" i="58"/>
  <c r="R69" i="58" s="1"/>
  <c r="J70" i="58"/>
  <c r="R70" i="58" s="1"/>
  <c r="J71" i="58"/>
  <c r="R71" i="58" s="1"/>
  <c r="J72" i="58"/>
  <c r="R72" i="58" s="1"/>
  <c r="J73" i="58"/>
  <c r="R73" i="58" s="1"/>
  <c r="J74" i="58"/>
  <c r="R74" i="58" s="1"/>
  <c r="J75" i="58"/>
  <c r="R75" i="58" s="1"/>
  <c r="J76" i="58"/>
  <c r="R76" i="58" s="1"/>
  <c r="J77" i="58"/>
  <c r="R77" i="58" s="1"/>
  <c r="J78" i="58"/>
  <c r="R78" i="58" s="1"/>
  <c r="J79" i="58"/>
  <c r="R79" i="58" s="1"/>
  <c r="J80" i="58"/>
  <c r="R80" i="58" s="1"/>
  <c r="J81" i="58"/>
  <c r="R81" i="58" s="1"/>
  <c r="J82" i="58"/>
  <c r="R82" i="58" s="1"/>
  <c r="J83" i="58"/>
  <c r="R83" i="58" s="1"/>
  <c r="J84" i="58"/>
  <c r="R84" i="58" s="1"/>
  <c r="J85" i="58"/>
  <c r="R85" i="58" s="1"/>
  <c r="J86" i="58"/>
  <c r="R86" i="58" s="1"/>
  <c r="J87" i="58"/>
  <c r="R87" i="58" s="1"/>
  <c r="J88" i="58"/>
  <c r="R88" i="58" s="1"/>
  <c r="J89" i="58"/>
  <c r="R89" i="58" s="1"/>
  <c r="J90" i="58"/>
  <c r="R90" i="58" s="1"/>
  <c r="J91" i="58"/>
  <c r="R91" i="58" s="1"/>
  <c r="J92" i="58"/>
  <c r="R92" i="58" s="1"/>
  <c r="J93" i="58"/>
  <c r="R93" i="58" s="1"/>
  <c r="J94" i="58"/>
  <c r="R94" i="58" s="1"/>
  <c r="J95" i="58"/>
  <c r="R95" i="58" s="1"/>
  <c r="J96" i="58"/>
  <c r="R96" i="58" s="1"/>
  <c r="J97" i="58"/>
  <c r="R97" i="58" s="1"/>
  <c r="J98" i="58"/>
  <c r="R98" i="58" s="1"/>
  <c r="J99" i="58"/>
  <c r="R99" i="58" s="1"/>
  <c r="J100" i="58"/>
  <c r="R100" i="58" s="1"/>
  <c r="J101" i="58"/>
  <c r="R101" i="58" s="1"/>
  <c r="J102" i="58"/>
  <c r="R102" i="58" s="1"/>
  <c r="J103" i="58"/>
  <c r="R103" i="58" s="1"/>
  <c r="J104" i="58"/>
  <c r="R104" i="58" s="1"/>
  <c r="J105" i="58"/>
  <c r="R105" i="58" s="1"/>
  <c r="J106" i="58"/>
  <c r="R106" i="58" s="1"/>
  <c r="J107" i="58"/>
  <c r="R107" i="58" s="1"/>
  <c r="J108" i="58"/>
  <c r="R108" i="58" s="1"/>
  <c r="J109" i="58"/>
  <c r="R109" i="58" s="1"/>
  <c r="J110" i="58"/>
  <c r="R110" i="58" s="1"/>
  <c r="J111" i="58"/>
  <c r="R111" i="58" s="1"/>
  <c r="J112" i="58"/>
  <c r="R112" i="58" s="1"/>
  <c r="J113" i="58"/>
  <c r="R113" i="58" s="1"/>
  <c r="J114" i="58"/>
  <c r="R114" i="58" s="1"/>
  <c r="J115" i="58"/>
  <c r="R115" i="58" s="1"/>
  <c r="J116" i="58"/>
  <c r="R116" i="58" s="1"/>
  <c r="J117" i="58"/>
  <c r="R117" i="58" s="1"/>
  <c r="J118" i="58"/>
  <c r="R118" i="58" s="1"/>
  <c r="J119" i="58"/>
  <c r="R119" i="58" s="1"/>
  <c r="J120" i="58"/>
  <c r="R120" i="58" s="1"/>
  <c r="J121" i="58"/>
  <c r="R121" i="58" s="1"/>
  <c r="J2" i="58"/>
  <c r="R2" i="58" s="1"/>
  <c r="J1" i="58"/>
  <c r="R1" i="58" s="1"/>
  <c r="P1" i="58"/>
  <c r="B103" i="9"/>
  <c r="B104" i="9"/>
  <c r="B102" i="9"/>
  <c r="A103" i="9"/>
  <c r="A104" i="9" s="1"/>
  <c r="M135" i="27"/>
  <c r="M136" i="27"/>
  <c r="M137" i="27" s="1"/>
  <c r="M138" i="27" s="1"/>
  <c r="M139" i="27" s="1"/>
  <c r="M140" i="27" s="1"/>
  <c r="M141" i="27" s="1"/>
  <c r="M142" i="27" s="1"/>
  <c r="M143" i="27" s="1"/>
  <c r="M144" i="27" s="1"/>
  <c r="M145" i="27" s="1"/>
  <c r="H24" i="70"/>
  <c r="H23" i="70"/>
  <c r="P129" i="47" l="1"/>
  <c r="Q129" i="47"/>
  <c r="G130" i="47"/>
  <c r="M130" i="47" s="1"/>
  <c r="O130" i="47" s="1"/>
  <c r="CI131" i="39"/>
  <c r="BO130" i="39"/>
  <c r="BP130" i="39"/>
  <c r="BN131" i="39"/>
  <c r="I57" i="70"/>
  <c r="I58" i="70"/>
  <c r="I59" i="70"/>
  <c r="I60" i="70"/>
  <c r="I61" i="70"/>
  <c r="I62" i="70"/>
  <c r="I56" i="70"/>
  <c r="I3" i="31"/>
  <c r="I4" i="31"/>
  <c r="I5" i="31"/>
  <c r="I6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2" i="31"/>
  <c r="I3" i="66"/>
  <c r="I4" i="66"/>
  <c r="I5" i="66"/>
  <c r="I6" i="66"/>
  <c r="I7" i="66"/>
  <c r="I8" i="66"/>
  <c r="I9" i="66"/>
  <c r="I10" i="66"/>
  <c r="I11" i="66"/>
  <c r="I12" i="66"/>
  <c r="I13" i="66"/>
  <c r="I14" i="66"/>
  <c r="I15" i="66"/>
  <c r="I16" i="66"/>
  <c r="I17" i="66"/>
  <c r="I18" i="66"/>
  <c r="I19" i="66"/>
  <c r="I20" i="66"/>
  <c r="I21" i="66"/>
  <c r="I22" i="66"/>
  <c r="I23" i="66"/>
  <c r="I24" i="66"/>
  <c r="I25" i="66"/>
  <c r="I26" i="66"/>
  <c r="I27" i="66"/>
  <c r="I28" i="66"/>
  <c r="I29" i="66"/>
  <c r="I30" i="66"/>
  <c r="I31" i="66"/>
  <c r="I32" i="66"/>
  <c r="I33" i="66"/>
  <c r="I34" i="66"/>
  <c r="I35" i="66"/>
  <c r="I36" i="66"/>
  <c r="I37" i="66"/>
  <c r="I38" i="66"/>
  <c r="I39" i="66"/>
  <c r="I40" i="66"/>
  <c r="I41" i="66"/>
  <c r="I42" i="66"/>
  <c r="I43" i="66"/>
  <c r="I44" i="66"/>
  <c r="I45" i="66"/>
  <c r="I46" i="66"/>
  <c r="I47" i="66"/>
  <c r="I48" i="66"/>
  <c r="I49" i="66"/>
  <c r="I50" i="66"/>
  <c r="I51" i="66"/>
  <c r="I52" i="66"/>
  <c r="I53" i="66"/>
  <c r="I54" i="66"/>
  <c r="I55" i="66"/>
  <c r="I56" i="66"/>
  <c r="I57" i="66"/>
  <c r="I58" i="66"/>
  <c r="I59" i="66"/>
  <c r="I60" i="66"/>
  <c r="I61" i="66"/>
  <c r="I62" i="66"/>
  <c r="I63" i="66"/>
  <c r="I64" i="66"/>
  <c r="I65" i="66"/>
  <c r="I66" i="66"/>
  <c r="I67" i="66"/>
  <c r="I68" i="66"/>
  <c r="I69" i="66"/>
  <c r="I70" i="66"/>
  <c r="I71" i="66"/>
  <c r="I72" i="66"/>
  <c r="I73" i="66"/>
  <c r="I74" i="66"/>
  <c r="I75" i="66"/>
  <c r="I76" i="66"/>
  <c r="I77" i="66"/>
  <c r="I78" i="66"/>
  <c r="I79" i="66"/>
  <c r="I80" i="66"/>
  <c r="I81" i="66"/>
  <c r="I82" i="66"/>
  <c r="I83" i="66"/>
  <c r="I84" i="66"/>
  <c r="I85" i="66"/>
  <c r="I86" i="66"/>
  <c r="I87" i="66"/>
  <c r="I88" i="66"/>
  <c r="I89" i="66"/>
  <c r="I90" i="66"/>
  <c r="I91" i="66"/>
  <c r="I92" i="66"/>
  <c r="I93" i="66"/>
  <c r="I94" i="66"/>
  <c r="I95" i="66"/>
  <c r="I96" i="66"/>
  <c r="I97" i="66"/>
  <c r="I98" i="66"/>
  <c r="I99" i="66"/>
  <c r="I100" i="66"/>
  <c r="I101" i="66"/>
  <c r="I102" i="66"/>
  <c r="I103" i="66"/>
  <c r="I104" i="66"/>
  <c r="I105" i="66"/>
  <c r="I106" i="66"/>
  <c r="I107" i="66"/>
  <c r="I108" i="66"/>
  <c r="I109" i="66"/>
  <c r="I110" i="66"/>
  <c r="I111" i="66"/>
  <c r="I112" i="66"/>
  <c r="I113" i="66"/>
  <c r="I114" i="66"/>
  <c r="I115" i="66"/>
  <c r="I116" i="66"/>
  <c r="I117" i="66"/>
  <c r="I118" i="66"/>
  <c r="I119" i="66"/>
  <c r="I120" i="66"/>
  <c r="I121" i="66"/>
  <c r="I2" i="66"/>
  <c r="K3" i="30"/>
  <c r="K4" i="30"/>
  <c r="K5" i="30"/>
  <c r="K6" i="30"/>
  <c r="K7" i="30"/>
  <c r="K8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9" i="30"/>
  <c r="K40" i="30"/>
  <c r="K41" i="30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55" i="30"/>
  <c r="K56" i="30"/>
  <c r="K57" i="30"/>
  <c r="K58" i="30"/>
  <c r="K59" i="30"/>
  <c r="K60" i="30"/>
  <c r="K61" i="30"/>
  <c r="K62" i="30"/>
  <c r="K63" i="30"/>
  <c r="K64" i="30"/>
  <c r="K65" i="30"/>
  <c r="K66" i="30"/>
  <c r="K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96" i="30"/>
  <c r="K97" i="30"/>
  <c r="K98" i="30"/>
  <c r="K99" i="30"/>
  <c r="K100" i="30"/>
  <c r="K101" i="30"/>
  <c r="K102" i="30"/>
  <c r="K103" i="30"/>
  <c r="K104" i="30"/>
  <c r="K105" i="30"/>
  <c r="K106" i="30"/>
  <c r="K107" i="30"/>
  <c r="K108" i="30"/>
  <c r="K109" i="30"/>
  <c r="K110" i="30"/>
  <c r="K111" i="30"/>
  <c r="K112" i="30"/>
  <c r="K113" i="30"/>
  <c r="K114" i="30"/>
  <c r="K115" i="30"/>
  <c r="K116" i="30"/>
  <c r="K117" i="30"/>
  <c r="K118" i="30"/>
  <c r="K119" i="30"/>
  <c r="K120" i="30"/>
  <c r="K121" i="30"/>
  <c r="K122" i="30"/>
  <c r="K123" i="30"/>
  <c r="K124" i="30"/>
  <c r="K125" i="30"/>
  <c r="K126" i="30"/>
  <c r="K127" i="30"/>
  <c r="K128" i="30"/>
  <c r="K129" i="30"/>
  <c r="K130" i="30"/>
  <c r="K131" i="30"/>
  <c r="K132" i="30"/>
  <c r="K133" i="30"/>
  <c r="K134" i="30"/>
  <c r="K135" i="30"/>
  <c r="K136" i="30"/>
  <c r="K137" i="30"/>
  <c r="K138" i="30"/>
  <c r="K139" i="30"/>
  <c r="K140" i="30"/>
  <c r="K141" i="30"/>
  <c r="K142" i="30"/>
  <c r="K143" i="30"/>
  <c r="K144" i="30"/>
  <c r="K145" i="30"/>
  <c r="K2" i="30"/>
  <c r="K3" i="64"/>
  <c r="K4" i="64"/>
  <c r="K5" i="64"/>
  <c r="K6" i="64"/>
  <c r="K7" i="64"/>
  <c r="K8" i="64"/>
  <c r="K9" i="64"/>
  <c r="K10" i="64"/>
  <c r="K11" i="64"/>
  <c r="K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2" i="64"/>
  <c r="L3" i="29"/>
  <c r="L4" i="29"/>
  <c r="L5" i="29"/>
  <c r="L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2" i="29"/>
  <c r="L53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88" i="29"/>
  <c r="L89" i="29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14" i="29"/>
  <c r="L115" i="29"/>
  <c r="L116" i="29"/>
  <c r="L117" i="29"/>
  <c r="L118" i="29"/>
  <c r="L119" i="29"/>
  <c r="L120" i="29"/>
  <c r="L121" i="29"/>
  <c r="L122" i="29"/>
  <c r="L123" i="29"/>
  <c r="L124" i="29"/>
  <c r="L125" i="29"/>
  <c r="L126" i="29"/>
  <c r="L127" i="29"/>
  <c r="L128" i="29"/>
  <c r="L129" i="29"/>
  <c r="L130" i="29"/>
  <c r="L131" i="29"/>
  <c r="L132" i="29"/>
  <c r="L133" i="29"/>
  <c r="L134" i="29"/>
  <c r="L135" i="29"/>
  <c r="L136" i="29"/>
  <c r="L137" i="29"/>
  <c r="L138" i="29"/>
  <c r="L139" i="29"/>
  <c r="L140" i="29"/>
  <c r="L141" i="29"/>
  <c r="L142" i="29"/>
  <c r="L143" i="29"/>
  <c r="L144" i="29"/>
  <c r="L145" i="29"/>
  <c r="L2" i="29"/>
  <c r="L3" i="58"/>
  <c r="L4" i="58"/>
  <c r="L5" i="58"/>
  <c r="L6" i="58"/>
  <c r="L7" i="58"/>
  <c r="L8" i="58"/>
  <c r="L9" i="58"/>
  <c r="L10" i="58"/>
  <c r="L11" i="58"/>
  <c r="L12" i="58"/>
  <c r="L13" i="58"/>
  <c r="L14" i="58"/>
  <c r="L15" i="58"/>
  <c r="L16" i="58"/>
  <c r="L17" i="58"/>
  <c r="L18" i="58"/>
  <c r="L19" i="58"/>
  <c r="L20" i="58"/>
  <c r="L21" i="58"/>
  <c r="L22" i="58"/>
  <c r="L23" i="58"/>
  <c r="L24" i="58"/>
  <c r="L25" i="58"/>
  <c r="L26" i="58"/>
  <c r="L27" i="58"/>
  <c r="L28" i="58"/>
  <c r="L29" i="58"/>
  <c r="L30" i="58"/>
  <c r="L31" i="58"/>
  <c r="L32" i="58"/>
  <c r="L33" i="58"/>
  <c r="L34" i="58"/>
  <c r="L35" i="58"/>
  <c r="L36" i="58"/>
  <c r="L37" i="58"/>
  <c r="L38" i="58"/>
  <c r="L39" i="58"/>
  <c r="L40" i="58"/>
  <c r="L41" i="58"/>
  <c r="L42" i="58"/>
  <c r="L43" i="58"/>
  <c r="L44" i="58"/>
  <c r="L45" i="58"/>
  <c r="L46" i="58"/>
  <c r="L47" i="58"/>
  <c r="L48" i="58"/>
  <c r="L49" i="58"/>
  <c r="L50" i="58"/>
  <c r="L51" i="58"/>
  <c r="L52" i="58"/>
  <c r="L53" i="58"/>
  <c r="L54" i="58"/>
  <c r="L55" i="58"/>
  <c r="L56" i="58"/>
  <c r="L57" i="58"/>
  <c r="L58" i="58"/>
  <c r="L59" i="58"/>
  <c r="L60" i="58"/>
  <c r="L61" i="58"/>
  <c r="L62" i="58"/>
  <c r="L63" i="58"/>
  <c r="L64" i="58"/>
  <c r="L65" i="58"/>
  <c r="L66" i="58"/>
  <c r="L67" i="58"/>
  <c r="L68" i="58"/>
  <c r="L69" i="58"/>
  <c r="L70" i="58"/>
  <c r="L71" i="58"/>
  <c r="L72" i="58"/>
  <c r="L73" i="58"/>
  <c r="L74" i="58"/>
  <c r="L75" i="58"/>
  <c r="L76" i="58"/>
  <c r="L77" i="58"/>
  <c r="L78" i="58"/>
  <c r="L79" i="58"/>
  <c r="L80" i="58"/>
  <c r="L81" i="58"/>
  <c r="L82" i="58"/>
  <c r="L83" i="58"/>
  <c r="L84" i="58"/>
  <c r="L85" i="58"/>
  <c r="L86" i="58"/>
  <c r="L87" i="58"/>
  <c r="L88" i="58"/>
  <c r="L89" i="58"/>
  <c r="L90" i="58"/>
  <c r="L91" i="58"/>
  <c r="L92" i="58"/>
  <c r="L93" i="58"/>
  <c r="L94" i="58"/>
  <c r="L95" i="58"/>
  <c r="L96" i="58"/>
  <c r="L97" i="58"/>
  <c r="L98" i="58"/>
  <c r="L99" i="58"/>
  <c r="L100" i="58"/>
  <c r="L101" i="58"/>
  <c r="L102" i="58"/>
  <c r="L103" i="58"/>
  <c r="L104" i="58"/>
  <c r="L105" i="58"/>
  <c r="L106" i="58"/>
  <c r="L107" i="58"/>
  <c r="L108" i="58"/>
  <c r="L109" i="58"/>
  <c r="L110" i="58"/>
  <c r="L111" i="58"/>
  <c r="L112" i="58"/>
  <c r="L113" i="58"/>
  <c r="L114" i="58"/>
  <c r="L115" i="58"/>
  <c r="L116" i="58"/>
  <c r="L117" i="58"/>
  <c r="L118" i="58"/>
  <c r="L119" i="58"/>
  <c r="L120" i="58"/>
  <c r="L121" i="58"/>
  <c r="L2" i="58"/>
  <c r="N3" i="41"/>
  <c r="N4" i="41"/>
  <c r="N5" i="41"/>
  <c r="N6" i="41"/>
  <c r="N7" i="41"/>
  <c r="N8" i="41"/>
  <c r="N9" i="41"/>
  <c r="N10" i="41"/>
  <c r="N11" i="41"/>
  <c r="N12" i="41"/>
  <c r="N13" i="41"/>
  <c r="N14" i="41"/>
  <c r="N15" i="41"/>
  <c r="N16" i="41"/>
  <c r="N17" i="41"/>
  <c r="N18" i="41"/>
  <c r="N19" i="41"/>
  <c r="N20" i="41"/>
  <c r="N21" i="41"/>
  <c r="N22" i="41"/>
  <c r="N23" i="41"/>
  <c r="N24" i="41"/>
  <c r="N25" i="41"/>
  <c r="N26" i="41"/>
  <c r="N27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52" i="41"/>
  <c r="N53" i="41"/>
  <c r="N54" i="41"/>
  <c r="N55" i="41"/>
  <c r="N56" i="41"/>
  <c r="N57" i="41"/>
  <c r="N58" i="41"/>
  <c r="N59" i="41"/>
  <c r="N60" i="41"/>
  <c r="N61" i="41"/>
  <c r="N62" i="41"/>
  <c r="N63" i="41"/>
  <c r="N64" i="41"/>
  <c r="N65" i="41"/>
  <c r="N66" i="41"/>
  <c r="N67" i="41"/>
  <c r="N68" i="41"/>
  <c r="N69" i="41"/>
  <c r="N70" i="41"/>
  <c r="N71" i="41"/>
  <c r="N72" i="41"/>
  <c r="N73" i="41"/>
  <c r="N74" i="41"/>
  <c r="N75" i="41"/>
  <c r="N76" i="41"/>
  <c r="N77" i="41"/>
  <c r="N78" i="41"/>
  <c r="N79" i="41"/>
  <c r="N80" i="41"/>
  <c r="N81" i="41"/>
  <c r="N82" i="41"/>
  <c r="N83" i="41"/>
  <c r="N84" i="41"/>
  <c r="N85" i="41"/>
  <c r="N86" i="41"/>
  <c r="N87" i="41"/>
  <c r="N88" i="41"/>
  <c r="N89" i="41"/>
  <c r="N90" i="41"/>
  <c r="N91" i="41"/>
  <c r="N92" i="41"/>
  <c r="N93" i="41"/>
  <c r="N94" i="41"/>
  <c r="N95" i="41"/>
  <c r="N96" i="41"/>
  <c r="N97" i="41"/>
  <c r="N98" i="41"/>
  <c r="N99" i="41"/>
  <c r="N100" i="41"/>
  <c r="N101" i="41"/>
  <c r="N102" i="41"/>
  <c r="N103" i="41"/>
  <c r="N104" i="41"/>
  <c r="N105" i="41"/>
  <c r="N106" i="41"/>
  <c r="N107" i="41"/>
  <c r="N108" i="41"/>
  <c r="N109" i="41"/>
  <c r="N110" i="41"/>
  <c r="N111" i="41"/>
  <c r="N112" i="41"/>
  <c r="N113" i="41"/>
  <c r="N114" i="41"/>
  <c r="N115" i="41"/>
  <c r="N116" i="41"/>
  <c r="N117" i="41"/>
  <c r="N118" i="41"/>
  <c r="N119" i="41"/>
  <c r="N120" i="41"/>
  <c r="N121" i="41"/>
  <c r="N2" i="41"/>
  <c r="J3" i="28"/>
  <c r="J4" i="28"/>
  <c r="J5" i="28"/>
  <c r="J6" i="28"/>
  <c r="J7" i="28"/>
  <c r="J8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J24" i="28"/>
  <c r="J25" i="28"/>
  <c r="J26" i="28"/>
  <c r="J27" i="28"/>
  <c r="J28" i="28"/>
  <c r="J29" i="28"/>
  <c r="J30" i="28"/>
  <c r="J31" i="28"/>
  <c r="J32" i="28"/>
  <c r="J33" i="28"/>
  <c r="J34" i="28"/>
  <c r="J35" i="28"/>
  <c r="J36" i="28"/>
  <c r="J37" i="28"/>
  <c r="J38" i="28"/>
  <c r="J39" i="28"/>
  <c r="J40" i="28"/>
  <c r="J41" i="28"/>
  <c r="J42" i="28"/>
  <c r="J43" i="28"/>
  <c r="J44" i="28"/>
  <c r="J45" i="28"/>
  <c r="J46" i="28"/>
  <c r="J47" i="28"/>
  <c r="J48" i="28"/>
  <c r="J49" i="28"/>
  <c r="J50" i="28"/>
  <c r="J51" i="28"/>
  <c r="J52" i="28"/>
  <c r="J53" i="28"/>
  <c r="J54" i="28"/>
  <c r="J55" i="28"/>
  <c r="J56" i="28"/>
  <c r="J57" i="28"/>
  <c r="J58" i="28"/>
  <c r="J59" i="28"/>
  <c r="J60" i="28"/>
  <c r="J61" i="28"/>
  <c r="J62" i="28"/>
  <c r="J63" i="28"/>
  <c r="J64" i="28"/>
  <c r="J65" i="28"/>
  <c r="J66" i="28"/>
  <c r="J67" i="28"/>
  <c r="J68" i="28"/>
  <c r="J69" i="28"/>
  <c r="J70" i="28"/>
  <c r="J71" i="28"/>
  <c r="J72" i="28"/>
  <c r="J73" i="28"/>
  <c r="J74" i="28"/>
  <c r="J75" i="28"/>
  <c r="J76" i="28"/>
  <c r="J77" i="28"/>
  <c r="J78" i="28"/>
  <c r="J79" i="28"/>
  <c r="J80" i="28"/>
  <c r="J81" i="28"/>
  <c r="J82" i="28"/>
  <c r="J83" i="28"/>
  <c r="J84" i="28"/>
  <c r="J85" i="28"/>
  <c r="J86" i="28"/>
  <c r="J87" i="28"/>
  <c r="J88" i="28"/>
  <c r="J89" i="28"/>
  <c r="J90" i="28"/>
  <c r="J91" i="28"/>
  <c r="J92" i="28"/>
  <c r="J93" i="28"/>
  <c r="J94" i="28"/>
  <c r="J95" i="28"/>
  <c r="J96" i="28"/>
  <c r="J97" i="28"/>
  <c r="J98" i="28"/>
  <c r="J99" i="28"/>
  <c r="J100" i="28"/>
  <c r="J101" i="28"/>
  <c r="J102" i="28"/>
  <c r="J103" i="28"/>
  <c r="J104" i="28"/>
  <c r="J105" i="28"/>
  <c r="J106" i="28"/>
  <c r="J107" i="28"/>
  <c r="J108" i="28"/>
  <c r="J109" i="28"/>
  <c r="J110" i="28"/>
  <c r="J111" i="28"/>
  <c r="J112" i="28"/>
  <c r="J113" i="28"/>
  <c r="J114" i="28"/>
  <c r="J115" i="28"/>
  <c r="J116" i="28"/>
  <c r="J117" i="28"/>
  <c r="J118" i="28"/>
  <c r="J119" i="28"/>
  <c r="J120" i="28"/>
  <c r="J121" i="28"/>
  <c r="J122" i="28"/>
  <c r="J123" i="28"/>
  <c r="J124" i="28"/>
  <c r="J125" i="28"/>
  <c r="J126" i="28"/>
  <c r="J127" i="28"/>
  <c r="J128" i="28"/>
  <c r="J129" i="28"/>
  <c r="J130" i="28"/>
  <c r="J131" i="28"/>
  <c r="J132" i="28"/>
  <c r="J133" i="28"/>
  <c r="J134" i="28"/>
  <c r="J135" i="28"/>
  <c r="J136" i="28"/>
  <c r="J137" i="28"/>
  <c r="J138" i="28"/>
  <c r="J139" i="28"/>
  <c r="J140" i="28"/>
  <c r="J141" i="28"/>
  <c r="J142" i="28"/>
  <c r="J143" i="28"/>
  <c r="J144" i="28"/>
  <c r="J145" i="28"/>
  <c r="J2" i="28"/>
  <c r="J3" i="47"/>
  <c r="J4" i="47"/>
  <c r="J5" i="47"/>
  <c r="J6" i="47"/>
  <c r="J7" i="47"/>
  <c r="J8" i="47"/>
  <c r="J9" i="47"/>
  <c r="J10" i="47"/>
  <c r="J11" i="47"/>
  <c r="J12" i="47"/>
  <c r="J13" i="47"/>
  <c r="J14" i="47"/>
  <c r="J15" i="47"/>
  <c r="J16" i="47"/>
  <c r="J17" i="47"/>
  <c r="J18" i="47"/>
  <c r="J19" i="47"/>
  <c r="J20" i="47"/>
  <c r="J21" i="47"/>
  <c r="J22" i="47"/>
  <c r="J23" i="47"/>
  <c r="J24" i="47"/>
  <c r="J25" i="47"/>
  <c r="J26" i="47"/>
  <c r="J27" i="47"/>
  <c r="J28" i="47"/>
  <c r="J29" i="47"/>
  <c r="J30" i="47"/>
  <c r="J31" i="47"/>
  <c r="J32" i="47"/>
  <c r="J33" i="47"/>
  <c r="J34" i="47"/>
  <c r="J35" i="47"/>
  <c r="J36" i="47"/>
  <c r="J37" i="47"/>
  <c r="J38" i="47"/>
  <c r="J39" i="47"/>
  <c r="J40" i="47"/>
  <c r="J41" i="47"/>
  <c r="J42" i="47"/>
  <c r="J43" i="47"/>
  <c r="J44" i="47"/>
  <c r="J45" i="47"/>
  <c r="J46" i="47"/>
  <c r="J47" i="47"/>
  <c r="J48" i="47"/>
  <c r="J49" i="47"/>
  <c r="J50" i="47"/>
  <c r="J51" i="47"/>
  <c r="J52" i="47"/>
  <c r="J53" i="47"/>
  <c r="J54" i="47"/>
  <c r="J55" i="47"/>
  <c r="J56" i="47"/>
  <c r="J57" i="47"/>
  <c r="J58" i="47"/>
  <c r="J59" i="47"/>
  <c r="J60" i="47"/>
  <c r="J61" i="47"/>
  <c r="J62" i="47"/>
  <c r="J63" i="47"/>
  <c r="J64" i="47"/>
  <c r="J65" i="47"/>
  <c r="J66" i="47"/>
  <c r="J67" i="47"/>
  <c r="J68" i="47"/>
  <c r="J69" i="47"/>
  <c r="J70" i="47"/>
  <c r="J71" i="47"/>
  <c r="J72" i="47"/>
  <c r="J73" i="47"/>
  <c r="J74" i="47"/>
  <c r="J75" i="47"/>
  <c r="J76" i="47"/>
  <c r="J77" i="47"/>
  <c r="J78" i="47"/>
  <c r="J79" i="47"/>
  <c r="J80" i="47"/>
  <c r="J81" i="47"/>
  <c r="J82" i="47"/>
  <c r="J83" i="47"/>
  <c r="J84" i="47"/>
  <c r="J85" i="47"/>
  <c r="J86" i="47"/>
  <c r="J87" i="47"/>
  <c r="J88" i="47"/>
  <c r="J89" i="47"/>
  <c r="J90" i="47"/>
  <c r="J91" i="47"/>
  <c r="J92" i="47"/>
  <c r="J93" i="47"/>
  <c r="J94" i="47"/>
  <c r="J95" i="47"/>
  <c r="J96" i="47"/>
  <c r="J97" i="47"/>
  <c r="J98" i="47"/>
  <c r="J99" i="47"/>
  <c r="J100" i="47"/>
  <c r="J101" i="47"/>
  <c r="J102" i="47"/>
  <c r="J103" i="47"/>
  <c r="J104" i="47"/>
  <c r="J105" i="47"/>
  <c r="J106" i="47"/>
  <c r="J107" i="47"/>
  <c r="J108" i="47"/>
  <c r="J109" i="47"/>
  <c r="J110" i="47"/>
  <c r="J111" i="47"/>
  <c r="J112" i="47"/>
  <c r="J113" i="47"/>
  <c r="J114" i="47"/>
  <c r="J115" i="47"/>
  <c r="J116" i="47"/>
  <c r="J117" i="47"/>
  <c r="J118" i="47"/>
  <c r="J119" i="47"/>
  <c r="J120" i="47"/>
  <c r="J121" i="47"/>
  <c r="J2" i="47"/>
  <c r="N3" i="27"/>
  <c r="N4" i="27"/>
  <c r="N5" i="27"/>
  <c r="N6" i="27"/>
  <c r="N7" i="27"/>
  <c r="N8" i="27"/>
  <c r="N9" i="27"/>
  <c r="N10" i="27"/>
  <c r="N11" i="27"/>
  <c r="N12" i="27"/>
  <c r="N13" i="27"/>
  <c r="N14" i="27"/>
  <c r="N15" i="27"/>
  <c r="N16" i="27"/>
  <c r="N17" i="27"/>
  <c r="N18" i="27"/>
  <c r="N19" i="27"/>
  <c r="N20" i="27"/>
  <c r="N21" i="27"/>
  <c r="N22" i="27"/>
  <c r="N23" i="27"/>
  <c r="N24" i="27"/>
  <c r="N25" i="27"/>
  <c r="N26" i="27"/>
  <c r="N27" i="27"/>
  <c r="N28" i="27"/>
  <c r="N29" i="27"/>
  <c r="N30" i="27"/>
  <c r="N31" i="27"/>
  <c r="N32" i="27"/>
  <c r="N33" i="27"/>
  <c r="N34" i="27"/>
  <c r="N35" i="27"/>
  <c r="N36" i="27"/>
  <c r="N37" i="27"/>
  <c r="N38" i="27"/>
  <c r="N39" i="27"/>
  <c r="N40" i="27"/>
  <c r="N41" i="27"/>
  <c r="N42" i="27"/>
  <c r="N43" i="27"/>
  <c r="N44" i="27"/>
  <c r="N45" i="27"/>
  <c r="N46" i="27"/>
  <c r="N47" i="27"/>
  <c r="N48" i="27"/>
  <c r="N49" i="27"/>
  <c r="N50" i="27"/>
  <c r="N51" i="27"/>
  <c r="N52" i="27"/>
  <c r="N53" i="27"/>
  <c r="N54" i="27"/>
  <c r="N55" i="27"/>
  <c r="N56" i="27"/>
  <c r="N57" i="27"/>
  <c r="N58" i="27"/>
  <c r="N59" i="27"/>
  <c r="N60" i="27"/>
  <c r="N61" i="27"/>
  <c r="N62" i="27"/>
  <c r="N63" i="27"/>
  <c r="N64" i="27"/>
  <c r="N65" i="27"/>
  <c r="N66" i="27"/>
  <c r="N67" i="27"/>
  <c r="N68" i="27"/>
  <c r="N69" i="27"/>
  <c r="N70" i="27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2" i="27"/>
  <c r="N103" i="27"/>
  <c r="N104" i="27"/>
  <c r="N105" i="27"/>
  <c r="N106" i="27"/>
  <c r="N107" i="27"/>
  <c r="N108" i="27"/>
  <c r="N109" i="27"/>
  <c r="N110" i="27"/>
  <c r="N111" i="27"/>
  <c r="N112" i="27"/>
  <c r="N113" i="27"/>
  <c r="N114" i="27"/>
  <c r="N115" i="27"/>
  <c r="N116" i="27"/>
  <c r="N117" i="27"/>
  <c r="N118" i="27"/>
  <c r="N119" i="27"/>
  <c r="N120" i="27"/>
  <c r="N121" i="27"/>
  <c r="N122" i="27"/>
  <c r="N123" i="27"/>
  <c r="N124" i="27"/>
  <c r="N125" i="27"/>
  <c r="N126" i="27"/>
  <c r="N127" i="27"/>
  <c r="N128" i="27"/>
  <c r="N129" i="27"/>
  <c r="N130" i="27"/>
  <c r="N131" i="27"/>
  <c r="N132" i="27"/>
  <c r="N133" i="27"/>
  <c r="N134" i="27"/>
  <c r="N135" i="27"/>
  <c r="N136" i="27"/>
  <c r="N137" i="27"/>
  <c r="N138" i="27"/>
  <c r="N139" i="27"/>
  <c r="N140" i="27"/>
  <c r="N141" i="27"/>
  <c r="N142" i="27"/>
  <c r="N143" i="27"/>
  <c r="N144" i="27"/>
  <c r="N145" i="27"/>
  <c r="N2" i="27"/>
  <c r="G131" i="47" l="1"/>
  <c r="M131" i="47" s="1"/>
  <c r="O131" i="47" s="1"/>
  <c r="CI132" i="39"/>
  <c r="Q130" i="47"/>
  <c r="P130" i="47"/>
  <c r="BO131" i="39"/>
  <c r="BP131" i="39"/>
  <c r="BN132" i="39"/>
  <c r="BJ3" i="39"/>
  <c r="BK3" i="39"/>
  <c r="BL3" i="39"/>
  <c r="BM3" i="39"/>
  <c r="BJ4" i="39"/>
  <c r="BK4" i="39"/>
  <c r="BL4" i="39"/>
  <c r="BM4" i="39"/>
  <c r="BJ5" i="39"/>
  <c r="BK5" i="39"/>
  <c r="BL5" i="39"/>
  <c r="BM5" i="39"/>
  <c r="BJ6" i="39"/>
  <c r="BK6" i="39"/>
  <c r="BL6" i="39"/>
  <c r="BM6" i="39"/>
  <c r="BJ7" i="39"/>
  <c r="BK7" i="39"/>
  <c r="BL7" i="39"/>
  <c r="BM7" i="39"/>
  <c r="BJ8" i="39"/>
  <c r="BK8" i="39"/>
  <c r="BL8" i="39"/>
  <c r="BM8" i="39"/>
  <c r="BJ9" i="39"/>
  <c r="BK9" i="39"/>
  <c r="BL9" i="39"/>
  <c r="BM9" i="39"/>
  <c r="BJ10" i="39"/>
  <c r="BK10" i="39"/>
  <c r="BL10" i="39"/>
  <c r="BM10" i="39"/>
  <c r="BJ11" i="39"/>
  <c r="BK11" i="39"/>
  <c r="BL11" i="39"/>
  <c r="BM11" i="39"/>
  <c r="BJ12" i="39"/>
  <c r="BK12" i="39"/>
  <c r="BL12" i="39"/>
  <c r="BM12" i="39"/>
  <c r="BJ13" i="39"/>
  <c r="BK13" i="39"/>
  <c r="BL13" i="39"/>
  <c r="BM13" i="39"/>
  <c r="BJ14" i="39"/>
  <c r="BK14" i="39"/>
  <c r="BL14" i="39"/>
  <c r="BM14" i="39"/>
  <c r="BJ15" i="39"/>
  <c r="BK15" i="39"/>
  <c r="BL15" i="39"/>
  <c r="BM15" i="39"/>
  <c r="BJ16" i="39"/>
  <c r="BK16" i="39"/>
  <c r="BL16" i="39"/>
  <c r="BM16" i="39"/>
  <c r="BJ17" i="39"/>
  <c r="BK17" i="39"/>
  <c r="BL17" i="39"/>
  <c r="BM17" i="39"/>
  <c r="BJ18" i="39"/>
  <c r="BK18" i="39"/>
  <c r="BL18" i="39"/>
  <c r="BM18" i="39"/>
  <c r="BJ19" i="39"/>
  <c r="BK19" i="39"/>
  <c r="BL19" i="39"/>
  <c r="BM19" i="39"/>
  <c r="BJ20" i="39"/>
  <c r="BK20" i="39"/>
  <c r="BL20" i="39"/>
  <c r="BM20" i="39"/>
  <c r="BJ21" i="39"/>
  <c r="BK21" i="39"/>
  <c r="BL21" i="39"/>
  <c r="BM21" i="39"/>
  <c r="BJ22" i="39"/>
  <c r="BK22" i="39"/>
  <c r="BL22" i="39"/>
  <c r="BM22" i="39"/>
  <c r="BJ23" i="39"/>
  <c r="BK23" i="39"/>
  <c r="BL23" i="39"/>
  <c r="BM23" i="39"/>
  <c r="BJ24" i="39"/>
  <c r="BK24" i="39"/>
  <c r="BL24" i="39"/>
  <c r="BM24" i="39"/>
  <c r="BJ25" i="39"/>
  <c r="BK25" i="39"/>
  <c r="BL25" i="39"/>
  <c r="BM25" i="39"/>
  <c r="BJ26" i="39"/>
  <c r="BK26" i="39"/>
  <c r="BL26" i="39"/>
  <c r="BM26" i="39"/>
  <c r="BJ27" i="39"/>
  <c r="BK27" i="39"/>
  <c r="BL27" i="39"/>
  <c r="BM27" i="39"/>
  <c r="BJ28" i="39"/>
  <c r="BK28" i="39"/>
  <c r="BL28" i="39"/>
  <c r="BM28" i="39"/>
  <c r="BJ29" i="39"/>
  <c r="BK29" i="39"/>
  <c r="BL29" i="39"/>
  <c r="BM29" i="39"/>
  <c r="BJ30" i="39"/>
  <c r="BK30" i="39"/>
  <c r="BL30" i="39"/>
  <c r="BM30" i="39"/>
  <c r="BJ31" i="39"/>
  <c r="BK31" i="39"/>
  <c r="BL31" i="39"/>
  <c r="BM31" i="39"/>
  <c r="BJ32" i="39"/>
  <c r="BK32" i="39"/>
  <c r="BL32" i="39"/>
  <c r="BM32" i="39"/>
  <c r="BJ33" i="39"/>
  <c r="BK33" i="39"/>
  <c r="BL33" i="39"/>
  <c r="BM33" i="39"/>
  <c r="BJ34" i="39"/>
  <c r="BK34" i="39"/>
  <c r="BL34" i="39"/>
  <c r="BM34" i="39"/>
  <c r="BJ35" i="39"/>
  <c r="BK35" i="39"/>
  <c r="BL35" i="39"/>
  <c r="BM35" i="39"/>
  <c r="BJ36" i="39"/>
  <c r="BK36" i="39"/>
  <c r="BL36" i="39"/>
  <c r="BM36" i="39"/>
  <c r="BJ37" i="39"/>
  <c r="BK37" i="39"/>
  <c r="BL37" i="39"/>
  <c r="BM37" i="39"/>
  <c r="BJ38" i="39"/>
  <c r="BK38" i="39"/>
  <c r="BL38" i="39"/>
  <c r="BM38" i="39"/>
  <c r="BJ39" i="39"/>
  <c r="BK39" i="39"/>
  <c r="BL39" i="39"/>
  <c r="BM39" i="39"/>
  <c r="BJ40" i="39"/>
  <c r="BK40" i="39"/>
  <c r="BL40" i="39"/>
  <c r="BM40" i="39"/>
  <c r="BJ41" i="39"/>
  <c r="BK41" i="39"/>
  <c r="BL41" i="39"/>
  <c r="BM41" i="39"/>
  <c r="BJ42" i="39"/>
  <c r="BK42" i="39"/>
  <c r="BL42" i="39"/>
  <c r="BM42" i="39"/>
  <c r="BJ43" i="39"/>
  <c r="BK43" i="39"/>
  <c r="BL43" i="39"/>
  <c r="BM43" i="39"/>
  <c r="BJ44" i="39"/>
  <c r="BK44" i="39"/>
  <c r="BL44" i="39"/>
  <c r="BM44" i="39"/>
  <c r="BJ45" i="39"/>
  <c r="BK45" i="39"/>
  <c r="BL45" i="39"/>
  <c r="BM45" i="39"/>
  <c r="BJ46" i="39"/>
  <c r="BK46" i="39"/>
  <c r="BL46" i="39"/>
  <c r="BM46" i="39"/>
  <c r="BJ47" i="39"/>
  <c r="BK47" i="39"/>
  <c r="BL47" i="39"/>
  <c r="BM47" i="39"/>
  <c r="BJ48" i="39"/>
  <c r="BK48" i="39"/>
  <c r="BL48" i="39"/>
  <c r="BM48" i="39"/>
  <c r="BJ49" i="39"/>
  <c r="BK49" i="39"/>
  <c r="BL49" i="39"/>
  <c r="BM49" i="39"/>
  <c r="BJ50" i="39"/>
  <c r="BK50" i="39"/>
  <c r="BL50" i="39"/>
  <c r="BM50" i="39"/>
  <c r="BJ51" i="39"/>
  <c r="BK51" i="39"/>
  <c r="BL51" i="39"/>
  <c r="BM51" i="39"/>
  <c r="BJ52" i="39"/>
  <c r="BK52" i="39"/>
  <c r="BL52" i="39"/>
  <c r="BM52" i="39"/>
  <c r="BJ53" i="39"/>
  <c r="BK53" i="39"/>
  <c r="BL53" i="39"/>
  <c r="BM53" i="39"/>
  <c r="BJ54" i="39"/>
  <c r="BK54" i="39"/>
  <c r="BL54" i="39"/>
  <c r="BM54" i="39"/>
  <c r="BJ55" i="39"/>
  <c r="BK55" i="39"/>
  <c r="BL55" i="39"/>
  <c r="BM55" i="39"/>
  <c r="BJ56" i="39"/>
  <c r="BK56" i="39"/>
  <c r="BL56" i="39"/>
  <c r="BM56" i="39"/>
  <c r="BJ57" i="39"/>
  <c r="BK57" i="39"/>
  <c r="BL57" i="39"/>
  <c r="BM57" i="39"/>
  <c r="BJ58" i="39"/>
  <c r="BK58" i="39"/>
  <c r="BL58" i="39"/>
  <c r="BM58" i="39"/>
  <c r="BJ59" i="39"/>
  <c r="BK59" i="39"/>
  <c r="BL59" i="39"/>
  <c r="BM59" i="39"/>
  <c r="BJ60" i="39"/>
  <c r="BK60" i="39"/>
  <c r="BL60" i="39"/>
  <c r="BM60" i="39"/>
  <c r="BJ61" i="39"/>
  <c r="BK61" i="39"/>
  <c r="BL61" i="39"/>
  <c r="BM61" i="39"/>
  <c r="BJ62" i="39"/>
  <c r="BK62" i="39"/>
  <c r="BL62" i="39"/>
  <c r="BM62" i="39"/>
  <c r="BJ63" i="39"/>
  <c r="BK63" i="39"/>
  <c r="BL63" i="39"/>
  <c r="BM63" i="39"/>
  <c r="BJ64" i="39"/>
  <c r="BK64" i="39"/>
  <c r="BL64" i="39"/>
  <c r="BM64" i="39"/>
  <c r="BJ65" i="39"/>
  <c r="BK65" i="39"/>
  <c r="BL65" i="39"/>
  <c r="BM65" i="39"/>
  <c r="BJ66" i="39"/>
  <c r="BK66" i="39"/>
  <c r="BL66" i="39"/>
  <c r="BM66" i="39"/>
  <c r="BJ67" i="39"/>
  <c r="BK67" i="39"/>
  <c r="BL67" i="39"/>
  <c r="BM67" i="39"/>
  <c r="BJ68" i="39"/>
  <c r="BK68" i="39"/>
  <c r="BL68" i="39"/>
  <c r="BM68" i="39"/>
  <c r="BJ69" i="39"/>
  <c r="BK69" i="39"/>
  <c r="BL69" i="39"/>
  <c r="BM69" i="39"/>
  <c r="BJ70" i="39"/>
  <c r="BK70" i="39"/>
  <c r="BL70" i="39"/>
  <c r="BM70" i="39"/>
  <c r="BJ71" i="39"/>
  <c r="BK71" i="39"/>
  <c r="BL71" i="39"/>
  <c r="BM71" i="39"/>
  <c r="BJ72" i="39"/>
  <c r="BK72" i="39"/>
  <c r="BL72" i="39"/>
  <c r="BM72" i="39"/>
  <c r="BJ73" i="39"/>
  <c r="BK73" i="39"/>
  <c r="BL73" i="39"/>
  <c r="BM73" i="39"/>
  <c r="BJ74" i="39"/>
  <c r="BK74" i="39"/>
  <c r="BL74" i="39"/>
  <c r="BM74" i="39"/>
  <c r="BJ75" i="39"/>
  <c r="BK75" i="39"/>
  <c r="BL75" i="39"/>
  <c r="BM75" i="39"/>
  <c r="BJ76" i="39"/>
  <c r="BK76" i="39"/>
  <c r="BL76" i="39"/>
  <c r="BM76" i="39"/>
  <c r="BJ77" i="39"/>
  <c r="BK77" i="39"/>
  <c r="BL77" i="39"/>
  <c r="BM77" i="39"/>
  <c r="BJ78" i="39"/>
  <c r="BK78" i="39"/>
  <c r="BL78" i="39"/>
  <c r="BM78" i="39"/>
  <c r="BJ79" i="39"/>
  <c r="BK79" i="39"/>
  <c r="BL79" i="39"/>
  <c r="BM79" i="39"/>
  <c r="BJ80" i="39"/>
  <c r="BK80" i="39"/>
  <c r="BL80" i="39"/>
  <c r="BM80" i="39"/>
  <c r="BJ81" i="39"/>
  <c r="BK81" i="39"/>
  <c r="BL81" i="39"/>
  <c r="BM81" i="39"/>
  <c r="BJ82" i="39"/>
  <c r="BK82" i="39"/>
  <c r="BL82" i="39"/>
  <c r="BM82" i="39"/>
  <c r="BJ83" i="39"/>
  <c r="BK83" i="39"/>
  <c r="BL83" i="39"/>
  <c r="BM83" i="39"/>
  <c r="BJ84" i="39"/>
  <c r="BK84" i="39"/>
  <c r="BL84" i="39"/>
  <c r="BM84" i="39"/>
  <c r="BJ85" i="39"/>
  <c r="BK85" i="39"/>
  <c r="BL85" i="39"/>
  <c r="BM85" i="39"/>
  <c r="BJ86" i="39"/>
  <c r="BK86" i="39"/>
  <c r="BL86" i="39"/>
  <c r="BM86" i="39"/>
  <c r="BJ87" i="39"/>
  <c r="BK87" i="39"/>
  <c r="BL87" i="39"/>
  <c r="BM87" i="39"/>
  <c r="BJ88" i="39"/>
  <c r="BK88" i="39"/>
  <c r="BL88" i="39"/>
  <c r="BM88" i="39"/>
  <c r="BJ89" i="39"/>
  <c r="BK89" i="39"/>
  <c r="BL89" i="39"/>
  <c r="BM89" i="39"/>
  <c r="BJ90" i="39"/>
  <c r="BK90" i="39"/>
  <c r="BL90" i="39"/>
  <c r="BM90" i="39"/>
  <c r="BJ91" i="39"/>
  <c r="BK91" i="39"/>
  <c r="BL91" i="39"/>
  <c r="BM91" i="39"/>
  <c r="BJ92" i="39"/>
  <c r="BK92" i="39"/>
  <c r="BL92" i="39"/>
  <c r="BM92" i="39"/>
  <c r="BJ93" i="39"/>
  <c r="BK93" i="39"/>
  <c r="BL93" i="39"/>
  <c r="BM93" i="39"/>
  <c r="BJ94" i="39"/>
  <c r="BK94" i="39"/>
  <c r="BL94" i="39"/>
  <c r="BM94" i="39"/>
  <c r="BJ95" i="39"/>
  <c r="BK95" i="39"/>
  <c r="BL95" i="39"/>
  <c r="BM95" i="39"/>
  <c r="BJ96" i="39"/>
  <c r="BK96" i="39"/>
  <c r="BL96" i="39"/>
  <c r="BM96" i="39"/>
  <c r="BJ97" i="39"/>
  <c r="BK97" i="39"/>
  <c r="BL97" i="39"/>
  <c r="BM97" i="39"/>
  <c r="BJ98" i="39"/>
  <c r="BK98" i="39"/>
  <c r="BL98" i="39"/>
  <c r="BM98" i="39"/>
  <c r="BJ99" i="39"/>
  <c r="BK99" i="39"/>
  <c r="BL99" i="39"/>
  <c r="BM99" i="39"/>
  <c r="BJ100" i="39"/>
  <c r="BK100" i="39"/>
  <c r="BL100" i="39"/>
  <c r="BM100" i="39"/>
  <c r="BJ101" i="39"/>
  <c r="BK101" i="39"/>
  <c r="BL101" i="39"/>
  <c r="BM101" i="39"/>
  <c r="BJ102" i="39"/>
  <c r="BK102" i="39"/>
  <c r="BL102" i="39"/>
  <c r="BM102" i="39"/>
  <c r="BJ103" i="39"/>
  <c r="BK103" i="39"/>
  <c r="BL103" i="39"/>
  <c r="BM103" i="39"/>
  <c r="BJ104" i="39"/>
  <c r="BK104" i="39"/>
  <c r="BL104" i="39"/>
  <c r="BM104" i="39"/>
  <c r="BJ105" i="39"/>
  <c r="BK105" i="39"/>
  <c r="BL105" i="39"/>
  <c r="BM105" i="39"/>
  <c r="BJ106" i="39"/>
  <c r="BK106" i="39"/>
  <c r="BL106" i="39"/>
  <c r="BM106" i="39"/>
  <c r="BJ107" i="39"/>
  <c r="BK107" i="39"/>
  <c r="BL107" i="39"/>
  <c r="BM107" i="39"/>
  <c r="BJ108" i="39"/>
  <c r="BK108" i="39"/>
  <c r="BL108" i="39"/>
  <c r="BM108" i="39"/>
  <c r="BJ109" i="39"/>
  <c r="BK109" i="39"/>
  <c r="BL109" i="39"/>
  <c r="BM109" i="39"/>
  <c r="BJ110" i="39"/>
  <c r="BK110" i="39"/>
  <c r="BL110" i="39"/>
  <c r="BM110" i="39"/>
  <c r="BJ111" i="39"/>
  <c r="BK111" i="39"/>
  <c r="BL111" i="39"/>
  <c r="BM111" i="39"/>
  <c r="BJ112" i="39"/>
  <c r="BK112" i="39"/>
  <c r="BL112" i="39"/>
  <c r="BM112" i="39"/>
  <c r="BJ113" i="39"/>
  <c r="BK113" i="39"/>
  <c r="BL113" i="39"/>
  <c r="BM113" i="39"/>
  <c r="BJ114" i="39"/>
  <c r="BK114" i="39"/>
  <c r="BL114" i="39"/>
  <c r="BM114" i="39"/>
  <c r="BJ115" i="39"/>
  <c r="BK115" i="39"/>
  <c r="BL115" i="39"/>
  <c r="BM115" i="39"/>
  <c r="BJ116" i="39"/>
  <c r="BK116" i="39"/>
  <c r="BL116" i="39"/>
  <c r="BM116" i="39"/>
  <c r="BJ117" i="39"/>
  <c r="BK117" i="39"/>
  <c r="BL117" i="39"/>
  <c r="BM117" i="39"/>
  <c r="BJ118" i="39"/>
  <c r="BK118" i="39"/>
  <c r="BL118" i="39"/>
  <c r="BM118" i="39"/>
  <c r="BJ119" i="39"/>
  <c r="BK119" i="39"/>
  <c r="BL119" i="39"/>
  <c r="BM119" i="39"/>
  <c r="BJ120" i="39"/>
  <c r="BK120" i="39"/>
  <c r="BL120" i="39"/>
  <c r="BM120" i="39"/>
  <c r="BJ121" i="39"/>
  <c r="BK121" i="39"/>
  <c r="BL121" i="39"/>
  <c r="BM121" i="39"/>
  <c r="BK2" i="39"/>
  <c r="BL2" i="39"/>
  <c r="BM2" i="39"/>
  <c r="BJ2" i="39"/>
  <c r="H122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21" i="31"/>
  <c r="G3" i="66"/>
  <c r="G4" i="66"/>
  <c r="G5" i="66"/>
  <c r="G6" i="66"/>
  <c r="G7" i="66"/>
  <c r="G8" i="66"/>
  <c r="G9" i="66"/>
  <c r="G10" i="66"/>
  <c r="G11" i="66"/>
  <c r="G12" i="66"/>
  <c r="G13" i="66"/>
  <c r="G1" i="66"/>
  <c r="L1" i="66" s="1"/>
  <c r="F1" i="66"/>
  <c r="K1" i="66" s="1"/>
  <c r="I134" i="30"/>
  <c r="I135" i="30"/>
  <c r="I136" i="30"/>
  <c r="I137" i="30"/>
  <c r="I138" i="30"/>
  <c r="I139" i="30"/>
  <c r="I140" i="30"/>
  <c r="I141" i="30"/>
  <c r="I142" i="30"/>
  <c r="I143" i="30"/>
  <c r="I144" i="30"/>
  <c r="I145" i="30"/>
  <c r="I2" i="30"/>
  <c r="I3" i="30"/>
  <c r="I4" i="30"/>
  <c r="I5" i="30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0" i="30"/>
  <c r="I71" i="30"/>
  <c r="I72" i="30"/>
  <c r="I73" i="30"/>
  <c r="I74" i="30"/>
  <c r="I75" i="30"/>
  <c r="I76" i="30"/>
  <c r="I77" i="30"/>
  <c r="I78" i="30"/>
  <c r="I79" i="30"/>
  <c r="I80" i="30"/>
  <c r="I81" i="30"/>
  <c r="I82" i="30"/>
  <c r="I83" i="30"/>
  <c r="I84" i="30"/>
  <c r="I85" i="30"/>
  <c r="I86" i="30"/>
  <c r="I87" i="30"/>
  <c r="I88" i="30"/>
  <c r="I89" i="30"/>
  <c r="I90" i="30"/>
  <c r="I91" i="30"/>
  <c r="I92" i="30"/>
  <c r="I93" i="30"/>
  <c r="I94" i="30"/>
  <c r="I95" i="30"/>
  <c r="I96" i="30"/>
  <c r="I97" i="30"/>
  <c r="I98" i="30"/>
  <c r="I99" i="30"/>
  <c r="I100" i="30"/>
  <c r="I101" i="30"/>
  <c r="I102" i="30"/>
  <c r="I103" i="30"/>
  <c r="I104" i="30"/>
  <c r="I105" i="30"/>
  <c r="I106" i="30"/>
  <c r="I107" i="30"/>
  <c r="I108" i="30"/>
  <c r="I109" i="30"/>
  <c r="I110" i="30"/>
  <c r="I111" i="30"/>
  <c r="I112" i="30"/>
  <c r="I113" i="30"/>
  <c r="I114" i="30"/>
  <c r="I115" i="30"/>
  <c r="I116" i="30"/>
  <c r="I117" i="30"/>
  <c r="I118" i="30"/>
  <c r="I119" i="30"/>
  <c r="I120" i="30"/>
  <c r="I121" i="30"/>
  <c r="I1" i="30"/>
  <c r="P1" i="30" s="1"/>
  <c r="I1" i="64"/>
  <c r="P1" i="64" s="1"/>
  <c r="G2" i="64"/>
  <c r="N2" i="64" s="1"/>
  <c r="G1" i="64"/>
  <c r="I2" i="64"/>
  <c r="I3" i="64"/>
  <c r="I4" i="64"/>
  <c r="I5" i="64"/>
  <c r="I6" i="64"/>
  <c r="I7" i="64"/>
  <c r="I8" i="64"/>
  <c r="I9" i="64"/>
  <c r="I10" i="64"/>
  <c r="I11" i="64"/>
  <c r="I12" i="64"/>
  <c r="I13" i="64"/>
  <c r="I14" i="64"/>
  <c r="I15" i="64"/>
  <c r="I16" i="64"/>
  <c r="I17" i="64"/>
  <c r="I18" i="64"/>
  <c r="I19" i="64"/>
  <c r="I20" i="64"/>
  <c r="I21" i="64"/>
  <c r="I22" i="64"/>
  <c r="I23" i="64"/>
  <c r="I24" i="64"/>
  <c r="I25" i="64"/>
  <c r="I26" i="64"/>
  <c r="I27" i="64"/>
  <c r="I28" i="64"/>
  <c r="I29" i="64"/>
  <c r="I30" i="64"/>
  <c r="I31" i="64"/>
  <c r="I32" i="64"/>
  <c r="I33" i="64"/>
  <c r="I34" i="64"/>
  <c r="I35" i="64"/>
  <c r="I36" i="64"/>
  <c r="I37" i="64"/>
  <c r="I38" i="64"/>
  <c r="I39" i="64"/>
  <c r="I40" i="64"/>
  <c r="I41" i="64"/>
  <c r="I42" i="64"/>
  <c r="I43" i="64"/>
  <c r="I44" i="64"/>
  <c r="I45" i="64"/>
  <c r="I46" i="64"/>
  <c r="I47" i="64"/>
  <c r="I48" i="64"/>
  <c r="I49" i="64"/>
  <c r="I50" i="64"/>
  <c r="I51" i="64"/>
  <c r="I52" i="64"/>
  <c r="I53" i="64"/>
  <c r="I54" i="64"/>
  <c r="I55" i="64"/>
  <c r="I56" i="64"/>
  <c r="I57" i="64"/>
  <c r="I58" i="64"/>
  <c r="I59" i="64"/>
  <c r="I60" i="64"/>
  <c r="I61" i="64"/>
  <c r="I62" i="64"/>
  <c r="I63" i="64"/>
  <c r="I64" i="64"/>
  <c r="I65" i="64"/>
  <c r="I66" i="64"/>
  <c r="I67" i="64"/>
  <c r="I68" i="64"/>
  <c r="I69" i="64"/>
  <c r="I70" i="64"/>
  <c r="I71" i="64"/>
  <c r="I72" i="64"/>
  <c r="I73" i="64"/>
  <c r="I74" i="64"/>
  <c r="I75" i="64"/>
  <c r="I76" i="64"/>
  <c r="I77" i="64"/>
  <c r="I78" i="64"/>
  <c r="I79" i="64"/>
  <c r="I80" i="64"/>
  <c r="I81" i="64"/>
  <c r="I82" i="64"/>
  <c r="I83" i="64"/>
  <c r="I84" i="64"/>
  <c r="I85" i="64"/>
  <c r="I86" i="64"/>
  <c r="I87" i="64"/>
  <c r="I88" i="64"/>
  <c r="I89" i="64"/>
  <c r="I90" i="64"/>
  <c r="I91" i="64"/>
  <c r="I92" i="64"/>
  <c r="I93" i="64"/>
  <c r="I94" i="64"/>
  <c r="I95" i="64"/>
  <c r="I96" i="64"/>
  <c r="I97" i="64"/>
  <c r="I98" i="64"/>
  <c r="I99" i="64"/>
  <c r="I100" i="64"/>
  <c r="I101" i="64"/>
  <c r="I102" i="64"/>
  <c r="I103" i="64"/>
  <c r="I104" i="64"/>
  <c r="I105" i="64"/>
  <c r="I106" i="64"/>
  <c r="I107" i="64"/>
  <c r="I108" i="64"/>
  <c r="I109" i="64"/>
  <c r="I110" i="64"/>
  <c r="I111" i="64"/>
  <c r="I112" i="64"/>
  <c r="I113" i="64"/>
  <c r="I114" i="64"/>
  <c r="I115" i="64"/>
  <c r="I116" i="64"/>
  <c r="I117" i="64"/>
  <c r="I118" i="64"/>
  <c r="I119" i="64"/>
  <c r="I120" i="64"/>
  <c r="I121" i="64"/>
  <c r="I122" i="28"/>
  <c r="K122" i="29" s="1"/>
  <c r="I134" i="28"/>
  <c r="G134" i="28" s="1"/>
  <c r="M134" i="28" s="1"/>
  <c r="I135" i="28"/>
  <c r="G135" i="28" s="1"/>
  <c r="M135" i="28" s="1"/>
  <c r="I136" i="28"/>
  <c r="K136" i="29" s="1"/>
  <c r="I137" i="28"/>
  <c r="K137" i="29" s="1"/>
  <c r="I138" i="28"/>
  <c r="G138" i="28" s="1"/>
  <c r="M138" i="28" s="1"/>
  <c r="I139" i="28"/>
  <c r="G139" i="28" s="1"/>
  <c r="M139" i="28" s="1"/>
  <c r="I140" i="28"/>
  <c r="K140" i="29" s="1"/>
  <c r="I141" i="28"/>
  <c r="K141" i="29" s="1"/>
  <c r="I142" i="28"/>
  <c r="G142" i="28" s="1"/>
  <c r="M142" i="28" s="1"/>
  <c r="I143" i="28"/>
  <c r="G143" i="28" s="1"/>
  <c r="M143" i="28" s="1"/>
  <c r="I144" i="28"/>
  <c r="K144" i="29" s="1"/>
  <c r="I145" i="28"/>
  <c r="K145" i="29" s="1"/>
  <c r="I121" i="28"/>
  <c r="K121" i="29" s="1"/>
  <c r="H1" i="28"/>
  <c r="G2" i="28"/>
  <c r="M2" i="28" s="1"/>
  <c r="G3" i="28"/>
  <c r="M3" i="28" s="1"/>
  <c r="G4" i="28"/>
  <c r="M4" i="28" s="1"/>
  <c r="G5" i="28"/>
  <c r="M5" i="28" s="1"/>
  <c r="G6" i="28"/>
  <c r="M6" i="28" s="1"/>
  <c r="G7" i="28"/>
  <c r="M7" i="28" s="1"/>
  <c r="G8" i="28"/>
  <c r="M8" i="28" s="1"/>
  <c r="G9" i="28"/>
  <c r="M9" i="28" s="1"/>
  <c r="G10" i="28"/>
  <c r="M10" i="28" s="1"/>
  <c r="G11" i="28"/>
  <c r="M11" i="28" s="1"/>
  <c r="G12" i="28"/>
  <c r="M12" i="28" s="1"/>
  <c r="G13" i="28"/>
  <c r="M13" i="28" s="1"/>
  <c r="G14" i="28"/>
  <c r="M14" i="28" s="1"/>
  <c r="G15" i="28"/>
  <c r="M15" i="28" s="1"/>
  <c r="G16" i="28"/>
  <c r="M16" i="28" s="1"/>
  <c r="G17" i="28"/>
  <c r="M17" i="28" s="1"/>
  <c r="G18" i="28"/>
  <c r="M18" i="28" s="1"/>
  <c r="G19" i="28"/>
  <c r="M19" i="28" s="1"/>
  <c r="G20" i="28"/>
  <c r="M20" i="28" s="1"/>
  <c r="G21" i="28"/>
  <c r="M21" i="28" s="1"/>
  <c r="G22" i="28"/>
  <c r="M22" i="28" s="1"/>
  <c r="G23" i="28"/>
  <c r="M23" i="28" s="1"/>
  <c r="G24" i="28"/>
  <c r="M24" i="28" s="1"/>
  <c r="G25" i="28"/>
  <c r="M25" i="28" s="1"/>
  <c r="G26" i="28"/>
  <c r="M26" i="28" s="1"/>
  <c r="G27" i="28"/>
  <c r="M27" i="28" s="1"/>
  <c r="G28" i="28"/>
  <c r="M28" i="28" s="1"/>
  <c r="G29" i="28"/>
  <c r="M29" i="28" s="1"/>
  <c r="G30" i="28"/>
  <c r="M30" i="28" s="1"/>
  <c r="G31" i="28"/>
  <c r="M31" i="28" s="1"/>
  <c r="G32" i="28"/>
  <c r="M32" i="28" s="1"/>
  <c r="G33" i="28"/>
  <c r="M33" i="28" s="1"/>
  <c r="G34" i="28"/>
  <c r="M34" i="28" s="1"/>
  <c r="G35" i="28"/>
  <c r="M35" i="28" s="1"/>
  <c r="G36" i="28"/>
  <c r="M36" i="28" s="1"/>
  <c r="G37" i="28"/>
  <c r="M37" i="28" s="1"/>
  <c r="G38" i="28"/>
  <c r="M38" i="28" s="1"/>
  <c r="G39" i="28"/>
  <c r="M39" i="28" s="1"/>
  <c r="G40" i="28"/>
  <c r="M40" i="28" s="1"/>
  <c r="G41" i="28"/>
  <c r="M41" i="28" s="1"/>
  <c r="G42" i="28"/>
  <c r="M42" i="28" s="1"/>
  <c r="G43" i="28"/>
  <c r="M43" i="28" s="1"/>
  <c r="G44" i="28"/>
  <c r="M44" i="28" s="1"/>
  <c r="G45" i="28"/>
  <c r="M45" i="28" s="1"/>
  <c r="G46" i="28"/>
  <c r="M46" i="28" s="1"/>
  <c r="G47" i="28"/>
  <c r="M47" i="28" s="1"/>
  <c r="G48" i="28"/>
  <c r="M48" i="28" s="1"/>
  <c r="G49" i="28"/>
  <c r="M49" i="28" s="1"/>
  <c r="G50" i="28"/>
  <c r="M50" i="28" s="1"/>
  <c r="G51" i="28"/>
  <c r="M51" i="28" s="1"/>
  <c r="G52" i="28"/>
  <c r="M52" i="28" s="1"/>
  <c r="G53" i="28"/>
  <c r="M53" i="28" s="1"/>
  <c r="G54" i="28"/>
  <c r="M54" i="28" s="1"/>
  <c r="G55" i="28"/>
  <c r="M55" i="28" s="1"/>
  <c r="G56" i="28"/>
  <c r="M56" i="28" s="1"/>
  <c r="G57" i="28"/>
  <c r="M57" i="28" s="1"/>
  <c r="G58" i="28"/>
  <c r="M58" i="28" s="1"/>
  <c r="G59" i="28"/>
  <c r="M59" i="28" s="1"/>
  <c r="G60" i="28"/>
  <c r="M60" i="28" s="1"/>
  <c r="G61" i="28"/>
  <c r="M61" i="28" s="1"/>
  <c r="G62" i="28"/>
  <c r="M62" i="28" s="1"/>
  <c r="G63" i="28"/>
  <c r="M63" i="28" s="1"/>
  <c r="G64" i="28"/>
  <c r="M64" i="28" s="1"/>
  <c r="G65" i="28"/>
  <c r="M65" i="28" s="1"/>
  <c r="G66" i="28"/>
  <c r="M66" i="28" s="1"/>
  <c r="G67" i="28"/>
  <c r="M67" i="28" s="1"/>
  <c r="G68" i="28"/>
  <c r="M68" i="28" s="1"/>
  <c r="G69" i="28"/>
  <c r="M69" i="28" s="1"/>
  <c r="G70" i="28"/>
  <c r="M70" i="28" s="1"/>
  <c r="G71" i="28"/>
  <c r="M71" i="28" s="1"/>
  <c r="G72" i="28"/>
  <c r="M72" i="28" s="1"/>
  <c r="G73" i="28"/>
  <c r="M73" i="28" s="1"/>
  <c r="G74" i="28"/>
  <c r="M74" i="28" s="1"/>
  <c r="G75" i="28"/>
  <c r="M75" i="28" s="1"/>
  <c r="G76" i="28"/>
  <c r="M76" i="28" s="1"/>
  <c r="G77" i="28"/>
  <c r="M77" i="28" s="1"/>
  <c r="G78" i="28"/>
  <c r="M78" i="28" s="1"/>
  <c r="G79" i="28"/>
  <c r="M79" i="28" s="1"/>
  <c r="G80" i="28"/>
  <c r="M80" i="28" s="1"/>
  <c r="G81" i="28"/>
  <c r="M81" i="28" s="1"/>
  <c r="G82" i="28"/>
  <c r="M82" i="28" s="1"/>
  <c r="G83" i="28"/>
  <c r="M83" i="28" s="1"/>
  <c r="G84" i="28"/>
  <c r="M84" i="28" s="1"/>
  <c r="G85" i="28"/>
  <c r="M85" i="28" s="1"/>
  <c r="G86" i="28"/>
  <c r="M86" i="28" s="1"/>
  <c r="G87" i="28"/>
  <c r="M87" i="28" s="1"/>
  <c r="G88" i="28"/>
  <c r="M88" i="28" s="1"/>
  <c r="G89" i="28"/>
  <c r="M89" i="28" s="1"/>
  <c r="G90" i="28"/>
  <c r="M90" i="28" s="1"/>
  <c r="G91" i="28"/>
  <c r="M91" i="28" s="1"/>
  <c r="G92" i="28"/>
  <c r="M92" i="28" s="1"/>
  <c r="G93" i="28"/>
  <c r="M93" i="28" s="1"/>
  <c r="G94" i="28"/>
  <c r="M94" i="28" s="1"/>
  <c r="G95" i="28"/>
  <c r="M95" i="28" s="1"/>
  <c r="G96" i="28"/>
  <c r="M96" i="28" s="1"/>
  <c r="G97" i="28"/>
  <c r="M97" i="28" s="1"/>
  <c r="G98" i="28"/>
  <c r="M98" i="28" s="1"/>
  <c r="G99" i="28"/>
  <c r="M99" i="28" s="1"/>
  <c r="G100" i="28"/>
  <c r="M100" i="28" s="1"/>
  <c r="G101" i="28"/>
  <c r="M101" i="28" s="1"/>
  <c r="G102" i="28"/>
  <c r="M102" i="28" s="1"/>
  <c r="G103" i="28"/>
  <c r="M103" i="28" s="1"/>
  <c r="G104" i="28"/>
  <c r="M104" i="28" s="1"/>
  <c r="G105" i="28"/>
  <c r="M105" i="28" s="1"/>
  <c r="G106" i="28"/>
  <c r="M106" i="28" s="1"/>
  <c r="G107" i="28"/>
  <c r="M107" i="28" s="1"/>
  <c r="G108" i="28"/>
  <c r="M108" i="28" s="1"/>
  <c r="G109" i="28"/>
  <c r="M109" i="28" s="1"/>
  <c r="G110" i="28"/>
  <c r="M110" i="28" s="1"/>
  <c r="G111" i="28"/>
  <c r="M111" i="28" s="1"/>
  <c r="G112" i="28"/>
  <c r="M112" i="28" s="1"/>
  <c r="G113" i="28"/>
  <c r="M113" i="28" s="1"/>
  <c r="G114" i="28"/>
  <c r="M114" i="28" s="1"/>
  <c r="G115" i="28"/>
  <c r="M115" i="28" s="1"/>
  <c r="G116" i="28"/>
  <c r="M116" i="28" s="1"/>
  <c r="G117" i="28"/>
  <c r="M117" i="28" s="1"/>
  <c r="G118" i="28"/>
  <c r="M118" i="28" s="1"/>
  <c r="G119" i="28"/>
  <c r="M119" i="28" s="1"/>
  <c r="G120" i="28"/>
  <c r="M120" i="28" s="1"/>
  <c r="G121" i="28"/>
  <c r="M121" i="28" s="1"/>
  <c r="G1" i="28"/>
  <c r="M1" i="28" s="1"/>
  <c r="N1" i="28"/>
  <c r="H1" i="47"/>
  <c r="N1" i="47" s="1"/>
  <c r="G2" i="47"/>
  <c r="M2" i="47" s="1"/>
  <c r="G3" i="47"/>
  <c r="M3" i="47" s="1"/>
  <c r="G4" i="47"/>
  <c r="M4" i="47" s="1"/>
  <c r="G5" i="47"/>
  <c r="M5" i="47" s="1"/>
  <c r="G6" i="47"/>
  <c r="M6" i="47" s="1"/>
  <c r="G7" i="47"/>
  <c r="M7" i="47" s="1"/>
  <c r="G8" i="47"/>
  <c r="M8" i="47" s="1"/>
  <c r="G9" i="47"/>
  <c r="M9" i="47" s="1"/>
  <c r="G10" i="47"/>
  <c r="M10" i="47" s="1"/>
  <c r="G11" i="47"/>
  <c r="M11" i="47" s="1"/>
  <c r="G12" i="47"/>
  <c r="M12" i="47" s="1"/>
  <c r="G13" i="47"/>
  <c r="M13" i="47" s="1"/>
  <c r="G14" i="47"/>
  <c r="M14" i="47" s="1"/>
  <c r="G15" i="47"/>
  <c r="M15" i="47" s="1"/>
  <c r="G16" i="47"/>
  <c r="M16" i="47" s="1"/>
  <c r="G17" i="47"/>
  <c r="M17" i="47" s="1"/>
  <c r="G18" i="47"/>
  <c r="M18" i="47" s="1"/>
  <c r="G19" i="47"/>
  <c r="M19" i="47" s="1"/>
  <c r="G20" i="47"/>
  <c r="M20" i="47" s="1"/>
  <c r="G21" i="47"/>
  <c r="M21" i="47" s="1"/>
  <c r="G22" i="47"/>
  <c r="M22" i="47" s="1"/>
  <c r="G23" i="47"/>
  <c r="M23" i="47" s="1"/>
  <c r="G24" i="47"/>
  <c r="M24" i="47" s="1"/>
  <c r="G25" i="47"/>
  <c r="M25" i="47" s="1"/>
  <c r="G26" i="47"/>
  <c r="M26" i="47" s="1"/>
  <c r="G27" i="47"/>
  <c r="M27" i="47" s="1"/>
  <c r="G28" i="47"/>
  <c r="M28" i="47" s="1"/>
  <c r="G29" i="47"/>
  <c r="M29" i="47" s="1"/>
  <c r="G30" i="47"/>
  <c r="M30" i="47" s="1"/>
  <c r="G31" i="47"/>
  <c r="M31" i="47" s="1"/>
  <c r="G32" i="47"/>
  <c r="M32" i="47" s="1"/>
  <c r="G33" i="47"/>
  <c r="M33" i="47" s="1"/>
  <c r="G34" i="47"/>
  <c r="M34" i="47" s="1"/>
  <c r="G35" i="47"/>
  <c r="M35" i="47" s="1"/>
  <c r="G36" i="47"/>
  <c r="M36" i="47" s="1"/>
  <c r="G37" i="47"/>
  <c r="M37" i="47" s="1"/>
  <c r="G38" i="47"/>
  <c r="M38" i="47" s="1"/>
  <c r="G39" i="47"/>
  <c r="M39" i="47" s="1"/>
  <c r="G40" i="47"/>
  <c r="M40" i="47" s="1"/>
  <c r="G41" i="47"/>
  <c r="M41" i="47" s="1"/>
  <c r="G42" i="47"/>
  <c r="M42" i="47" s="1"/>
  <c r="G43" i="47"/>
  <c r="M43" i="47" s="1"/>
  <c r="G44" i="47"/>
  <c r="M44" i="47" s="1"/>
  <c r="G45" i="47"/>
  <c r="M45" i="47" s="1"/>
  <c r="G46" i="47"/>
  <c r="M46" i="47" s="1"/>
  <c r="G47" i="47"/>
  <c r="M47" i="47" s="1"/>
  <c r="G48" i="47"/>
  <c r="M48" i="47" s="1"/>
  <c r="G49" i="47"/>
  <c r="M49" i="47" s="1"/>
  <c r="G50" i="47"/>
  <c r="M50" i="47" s="1"/>
  <c r="G51" i="47"/>
  <c r="M51" i="47" s="1"/>
  <c r="G52" i="47"/>
  <c r="M52" i="47" s="1"/>
  <c r="G53" i="47"/>
  <c r="M53" i="47" s="1"/>
  <c r="G54" i="47"/>
  <c r="M54" i="47" s="1"/>
  <c r="G55" i="47"/>
  <c r="M55" i="47" s="1"/>
  <c r="G56" i="47"/>
  <c r="M56" i="47" s="1"/>
  <c r="G57" i="47"/>
  <c r="M57" i="47" s="1"/>
  <c r="G58" i="47"/>
  <c r="M58" i="47" s="1"/>
  <c r="G59" i="47"/>
  <c r="M59" i="47" s="1"/>
  <c r="G60" i="47"/>
  <c r="M60" i="47" s="1"/>
  <c r="G61" i="47"/>
  <c r="M61" i="47" s="1"/>
  <c r="G62" i="47"/>
  <c r="M62" i="47" s="1"/>
  <c r="G63" i="47"/>
  <c r="M63" i="47" s="1"/>
  <c r="G64" i="47"/>
  <c r="M64" i="47" s="1"/>
  <c r="G65" i="47"/>
  <c r="M65" i="47" s="1"/>
  <c r="G66" i="47"/>
  <c r="M66" i="47" s="1"/>
  <c r="G67" i="47"/>
  <c r="M67" i="47" s="1"/>
  <c r="G68" i="47"/>
  <c r="M68" i="47" s="1"/>
  <c r="G69" i="47"/>
  <c r="M69" i="47" s="1"/>
  <c r="G70" i="47"/>
  <c r="M70" i="47" s="1"/>
  <c r="G71" i="47"/>
  <c r="M71" i="47" s="1"/>
  <c r="G72" i="47"/>
  <c r="M72" i="47" s="1"/>
  <c r="G73" i="47"/>
  <c r="M73" i="47" s="1"/>
  <c r="G74" i="47"/>
  <c r="M74" i="47" s="1"/>
  <c r="G75" i="47"/>
  <c r="M75" i="47" s="1"/>
  <c r="G76" i="47"/>
  <c r="M76" i="47" s="1"/>
  <c r="G77" i="47"/>
  <c r="M77" i="47" s="1"/>
  <c r="G78" i="47"/>
  <c r="M78" i="47" s="1"/>
  <c r="G79" i="47"/>
  <c r="M79" i="47" s="1"/>
  <c r="G80" i="47"/>
  <c r="M80" i="47" s="1"/>
  <c r="G81" i="47"/>
  <c r="M81" i="47" s="1"/>
  <c r="G82" i="47"/>
  <c r="M82" i="47" s="1"/>
  <c r="G83" i="47"/>
  <c r="M83" i="47" s="1"/>
  <c r="G84" i="47"/>
  <c r="M84" i="47" s="1"/>
  <c r="G85" i="47"/>
  <c r="M85" i="47" s="1"/>
  <c r="G86" i="47"/>
  <c r="M86" i="47" s="1"/>
  <c r="G87" i="47"/>
  <c r="M87" i="47" s="1"/>
  <c r="G88" i="47"/>
  <c r="M88" i="47" s="1"/>
  <c r="G89" i="47"/>
  <c r="M89" i="47" s="1"/>
  <c r="G90" i="47"/>
  <c r="M90" i="47" s="1"/>
  <c r="G91" i="47"/>
  <c r="M91" i="47" s="1"/>
  <c r="G92" i="47"/>
  <c r="M92" i="47" s="1"/>
  <c r="G93" i="47"/>
  <c r="M93" i="47" s="1"/>
  <c r="G94" i="47"/>
  <c r="M94" i="47" s="1"/>
  <c r="G95" i="47"/>
  <c r="M95" i="47" s="1"/>
  <c r="G96" i="47"/>
  <c r="M96" i="47" s="1"/>
  <c r="G97" i="47"/>
  <c r="M97" i="47" s="1"/>
  <c r="G98" i="47"/>
  <c r="M98" i="47" s="1"/>
  <c r="G99" i="47"/>
  <c r="M99" i="47" s="1"/>
  <c r="G100" i="47"/>
  <c r="M100" i="47" s="1"/>
  <c r="G101" i="47"/>
  <c r="M101" i="47" s="1"/>
  <c r="G102" i="47"/>
  <c r="M102" i="47" s="1"/>
  <c r="G103" i="47"/>
  <c r="M103" i="47" s="1"/>
  <c r="G104" i="47"/>
  <c r="M104" i="47" s="1"/>
  <c r="G105" i="47"/>
  <c r="M105" i="47" s="1"/>
  <c r="G106" i="47"/>
  <c r="M106" i="47" s="1"/>
  <c r="G107" i="47"/>
  <c r="M107" i="47" s="1"/>
  <c r="G108" i="47"/>
  <c r="M108" i="47" s="1"/>
  <c r="G109" i="47"/>
  <c r="M109" i="47" s="1"/>
  <c r="G110" i="47"/>
  <c r="M110" i="47" s="1"/>
  <c r="G111" i="47"/>
  <c r="M111" i="47" s="1"/>
  <c r="G112" i="47"/>
  <c r="M112" i="47" s="1"/>
  <c r="G113" i="47"/>
  <c r="M113" i="47" s="1"/>
  <c r="G114" i="47"/>
  <c r="M114" i="47" s="1"/>
  <c r="G115" i="47"/>
  <c r="M115" i="47" s="1"/>
  <c r="G116" i="47"/>
  <c r="M116" i="47" s="1"/>
  <c r="G117" i="47"/>
  <c r="M117" i="47" s="1"/>
  <c r="G118" i="47"/>
  <c r="M118" i="47" s="1"/>
  <c r="G119" i="47"/>
  <c r="M119" i="47" s="1"/>
  <c r="G120" i="47"/>
  <c r="M120" i="47" s="1"/>
  <c r="G121" i="47"/>
  <c r="M121" i="47" s="1"/>
  <c r="G1" i="47"/>
  <c r="M1" i="47" s="1"/>
  <c r="AA151" i="41"/>
  <c r="AA152" i="41" s="1"/>
  <c r="AA153" i="41" s="1"/>
  <c r="AA154" i="41" s="1"/>
  <c r="AA155" i="41" s="1"/>
  <c r="AA156" i="41" s="1"/>
  <c r="AA157" i="41" s="1"/>
  <c r="AA158" i="41" s="1"/>
  <c r="AA159" i="41" s="1"/>
  <c r="AA138" i="41"/>
  <c r="AA139" i="41" s="1"/>
  <c r="AA140" i="41" s="1"/>
  <c r="AA141" i="41" s="1"/>
  <c r="AA142" i="41" s="1"/>
  <c r="AA143" i="41" s="1"/>
  <c r="AA144" i="41" s="1"/>
  <c r="AA145" i="41" s="1"/>
  <c r="AA146" i="41" s="1"/>
  <c r="AA147" i="41" s="1"/>
  <c r="AA148" i="41" s="1"/>
  <c r="M123" i="27"/>
  <c r="I123" i="28" s="1"/>
  <c r="J1" i="27"/>
  <c r="K2" i="41"/>
  <c r="U2" i="41" s="1"/>
  <c r="L2" i="41"/>
  <c r="V2" i="41" s="1"/>
  <c r="K3" i="41"/>
  <c r="U3" i="41" s="1"/>
  <c r="L3" i="41"/>
  <c r="V3" i="41" s="1"/>
  <c r="K4" i="41"/>
  <c r="U4" i="41" s="1"/>
  <c r="L4" i="41"/>
  <c r="V4" i="41" s="1"/>
  <c r="K5" i="41"/>
  <c r="U5" i="41" s="1"/>
  <c r="L5" i="41"/>
  <c r="V5" i="41" s="1"/>
  <c r="K6" i="41"/>
  <c r="U6" i="41" s="1"/>
  <c r="L6" i="41"/>
  <c r="V6" i="41" s="1"/>
  <c r="K7" i="41"/>
  <c r="U7" i="41" s="1"/>
  <c r="L7" i="41"/>
  <c r="V7" i="41" s="1"/>
  <c r="K8" i="41"/>
  <c r="U8" i="41" s="1"/>
  <c r="L8" i="41"/>
  <c r="V8" i="41" s="1"/>
  <c r="K9" i="41"/>
  <c r="U9" i="41" s="1"/>
  <c r="L9" i="41"/>
  <c r="V9" i="41" s="1"/>
  <c r="K10" i="41"/>
  <c r="U10" i="41" s="1"/>
  <c r="L10" i="41"/>
  <c r="V10" i="41" s="1"/>
  <c r="K11" i="41"/>
  <c r="U11" i="41" s="1"/>
  <c r="L11" i="41"/>
  <c r="V11" i="41" s="1"/>
  <c r="K12" i="41"/>
  <c r="U12" i="41" s="1"/>
  <c r="L12" i="41"/>
  <c r="V12" i="41" s="1"/>
  <c r="K13" i="41"/>
  <c r="U13" i="41" s="1"/>
  <c r="L13" i="41"/>
  <c r="V13" i="41" s="1"/>
  <c r="K14" i="41"/>
  <c r="U14" i="41" s="1"/>
  <c r="L14" i="41"/>
  <c r="V14" i="41" s="1"/>
  <c r="K15" i="41"/>
  <c r="U15" i="41" s="1"/>
  <c r="L15" i="41"/>
  <c r="V15" i="41" s="1"/>
  <c r="K16" i="41"/>
  <c r="U16" i="41" s="1"/>
  <c r="L16" i="41"/>
  <c r="V16" i="41" s="1"/>
  <c r="K17" i="41"/>
  <c r="U17" i="41" s="1"/>
  <c r="L17" i="41"/>
  <c r="V17" i="41" s="1"/>
  <c r="K18" i="41"/>
  <c r="U18" i="41" s="1"/>
  <c r="L18" i="41"/>
  <c r="V18" i="41" s="1"/>
  <c r="K19" i="41"/>
  <c r="U19" i="41" s="1"/>
  <c r="L19" i="41"/>
  <c r="V19" i="41" s="1"/>
  <c r="K20" i="41"/>
  <c r="U20" i="41" s="1"/>
  <c r="L20" i="41"/>
  <c r="V20" i="41" s="1"/>
  <c r="K21" i="41"/>
  <c r="U21" i="41" s="1"/>
  <c r="L21" i="41"/>
  <c r="V21" i="41" s="1"/>
  <c r="K22" i="41"/>
  <c r="U22" i="41" s="1"/>
  <c r="L22" i="41"/>
  <c r="V22" i="41" s="1"/>
  <c r="K23" i="41"/>
  <c r="U23" i="41" s="1"/>
  <c r="L23" i="41"/>
  <c r="V23" i="41" s="1"/>
  <c r="K24" i="41"/>
  <c r="U24" i="41" s="1"/>
  <c r="L24" i="41"/>
  <c r="V24" i="41" s="1"/>
  <c r="K25" i="41"/>
  <c r="U25" i="41" s="1"/>
  <c r="L25" i="41"/>
  <c r="V25" i="41" s="1"/>
  <c r="K26" i="41"/>
  <c r="U26" i="41" s="1"/>
  <c r="L26" i="41"/>
  <c r="V26" i="41" s="1"/>
  <c r="K27" i="41"/>
  <c r="U27" i="41" s="1"/>
  <c r="L27" i="41"/>
  <c r="V27" i="41" s="1"/>
  <c r="K28" i="41"/>
  <c r="U28" i="41" s="1"/>
  <c r="L28" i="41"/>
  <c r="V28" i="41" s="1"/>
  <c r="K29" i="41"/>
  <c r="U29" i="41" s="1"/>
  <c r="L29" i="41"/>
  <c r="V29" i="41" s="1"/>
  <c r="K30" i="41"/>
  <c r="U30" i="41" s="1"/>
  <c r="L30" i="41"/>
  <c r="V30" i="41" s="1"/>
  <c r="K31" i="41"/>
  <c r="U31" i="41" s="1"/>
  <c r="L31" i="41"/>
  <c r="V31" i="41" s="1"/>
  <c r="K32" i="41"/>
  <c r="U32" i="41" s="1"/>
  <c r="L32" i="41"/>
  <c r="V32" i="41" s="1"/>
  <c r="K33" i="41"/>
  <c r="U33" i="41" s="1"/>
  <c r="L33" i="41"/>
  <c r="V33" i="41" s="1"/>
  <c r="K34" i="41"/>
  <c r="U34" i="41" s="1"/>
  <c r="L34" i="41"/>
  <c r="V34" i="41" s="1"/>
  <c r="K35" i="41"/>
  <c r="U35" i="41" s="1"/>
  <c r="L35" i="41"/>
  <c r="V35" i="41" s="1"/>
  <c r="K36" i="41"/>
  <c r="U36" i="41" s="1"/>
  <c r="L36" i="41"/>
  <c r="V36" i="41" s="1"/>
  <c r="K37" i="41"/>
  <c r="U37" i="41" s="1"/>
  <c r="L37" i="41"/>
  <c r="V37" i="41" s="1"/>
  <c r="K38" i="41"/>
  <c r="U38" i="41" s="1"/>
  <c r="L38" i="41"/>
  <c r="V38" i="41" s="1"/>
  <c r="K39" i="41"/>
  <c r="U39" i="41" s="1"/>
  <c r="L39" i="41"/>
  <c r="V39" i="41" s="1"/>
  <c r="K40" i="41"/>
  <c r="U40" i="41" s="1"/>
  <c r="L40" i="41"/>
  <c r="V40" i="41" s="1"/>
  <c r="K41" i="41"/>
  <c r="U41" i="41" s="1"/>
  <c r="L41" i="41"/>
  <c r="V41" i="41" s="1"/>
  <c r="K42" i="41"/>
  <c r="U42" i="41" s="1"/>
  <c r="L42" i="41"/>
  <c r="V42" i="41" s="1"/>
  <c r="K43" i="41"/>
  <c r="U43" i="41" s="1"/>
  <c r="L43" i="41"/>
  <c r="V43" i="41" s="1"/>
  <c r="K44" i="41"/>
  <c r="U44" i="41" s="1"/>
  <c r="L44" i="41"/>
  <c r="V44" i="41" s="1"/>
  <c r="K45" i="41"/>
  <c r="U45" i="41" s="1"/>
  <c r="L45" i="41"/>
  <c r="V45" i="41" s="1"/>
  <c r="K46" i="41"/>
  <c r="U46" i="41" s="1"/>
  <c r="L46" i="41"/>
  <c r="V46" i="41" s="1"/>
  <c r="K47" i="41"/>
  <c r="U47" i="41" s="1"/>
  <c r="L47" i="41"/>
  <c r="V47" i="41" s="1"/>
  <c r="K48" i="41"/>
  <c r="U48" i="41" s="1"/>
  <c r="L48" i="41"/>
  <c r="V48" i="41" s="1"/>
  <c r="K49" i="41"/>
  <c r="U49" i="41" s="1"/>
  <c r="L49" i="41"/>
  <c r="V49" i="41" s="1"/>
  <c r="K50" i="41"/>
  <c r="U50" i="41" s="1"/>
  <c r="L50" i="41"/>
  <c r="V50" i="41" s="1"/>
  <c r="K51" i="41"/>
  <c r="U51" i="41" s="1"/>
  <c r="L51" i="41"/>
  <c r="V51" i="41" s="1"/>
  <c r="K52" i="41"/>
  <c r="U52" i="41" s="1"/>
  <c r="L52" i="41"/>
  <c r="V52" i="41" s="1"/>
  <c r="K53" i="41"/>
  <c r="U53" i="41" s="1"/>
  <c r="L53" i="41"/>
  <c r="V53" i="41" s="1"/>
  <c r="K54" i="41"/>
  <c r="U54" i="41" s="1"/>
  <c r="L54" i="41"/>
  <c r="V54" i="41" s="1"/>
  <c r="K55" i="41"/>
  <c r="U55" i="41" s="1"/>
  <c r="L55" i="41"/>
  <c r="V55" i="41" s="1"/>
  <c r="K56" i="41"/>
  <c r="U56" i="41" s="1"/>
  <c r="L56" i="41"/>
  <c r="V56" i="41" s="1"/>
  <c r="K57" i="41"/>
  <c r="U57" i="41" s="1"/>
  <c r="L57" i="41"/>
  <c r="V57" i="41" s="1"/>
  <c r="K58" i="41"/>
  <c r="U58" i="41" s="1"/>
  <c r="L58" i="41"/>
  <c r="V58" i="41" s="1"/>
  <c r="K59" i="41"/>
  <c r="U59" i="41" s="1"/>
  <c r="L59" i="41"/>
  <c r="V59" i="41" s="1"/>
  <c r="K60" i="41"/>
  <c r="U60" i="41" s="1"/>
  <c r="L60" i="41"/>
  <c r="V60" i="41" s="1"/>
  <c r="K61" i="41"/>
  <c r="U61" i="41" s="1"/>
  <c r="L61" i="41"/>
  <c r="V61" i="41" s="1"/>
  <c r="K62" i="41"/>
  <c r="U62" i="41" s="1"/>
  <c r="L62" i="41"/>
  <c r="V62" i="41" s="1"/>
  <c r="K63" i="41"/>
  <c r="U63" i="41" s="1"/>
  <c r="L63" i="41"/>
  <c r="V63" i="41" s="1"/>
  <c r="K64" i="41"/>
  <c r="U64" i="41" s="1"/>
  <c r="L64" i="41"/>
  <c r="V64" i="41" s="1"/>
  <c r="K65" i="41"/>
  <c r="U65" i="41" s="1"/>
  <c r="L65" i="41"/>
  <c r="V65" i="41" s="1"/>
  <c r="K66" i="41"/>
  <c r="U66" i="41" s="1"/>
  <c r="L66" i="41"/>
  <c r="V66" i="41" s="1"/>
  <c r="K67" i="41"/>
  <c r="U67" i="41" s="1"/>
  <c r="L67" i="41"/>
  <c r="V67" i="41" s="1"/>
  <c r="K68" i="41"/>
  <c r="U68" i="41" s="1"/>
  <c r="L68" i="41"/>
  <c r="V68" i="41" s="1"/>
  <c r="K69" i="41"/>
  <c r="U69" i="41" s="1"/>
  <c r="L69" i="41"/>
  <c r="V69" i="41" s="1"/>
  <c r="K70" i="41"/>
  <c r="U70" i="41" s="1"/>
  <c r="L70" i="41"/>
  <c r="V70" i="41" s="1"/>
  <c r="K71" i="41"/>
  <c r="U71" i="41" s="1"/>
  <c r="L71" i="41"/>
  <c r="V71" i="41" s="1"/>
  <c r="K72" i="41"/>
  <c r="U72" i="41" s="1"/>
  <c r="L72" i="41"/>
  <c r="V72" i="41" s="1"/>
  <c r="K73" i="41"/>
  <c r="U73" i="41" s="1"/>
  <c r="L73" i="41"/>
  <c r="V73" i="41" s="1"/>
  <c r="K74" i="41"/>
  <c r="U74" i="41" s="1"/>
  <c r="L74" i="41"/>
  <c r="V74" i="41" s="1"/>
  <c r="K75" i="41"/>
  <c r="U75" i="41" s="1"/>
  <c r="L75" i="41"/>
  <c r="V75" i="41" s="1"/>
  <c r="K76" i="41"/>
  <c r="U76" i="41" s="1"/>
  <c r="L76" i="41"/>
  <c r="V76" i="41" s="1"/>
  <c r="K77" i="41"/>
  <c r="U77" i="41" s="1"/>
  <c r="L77" i="41"/>
  <c r="V77" i="41" s="1"/>
  <c r="K78" i="41"/>
  <c r="U78" i="41" s="1"/>
  <c r="L78" i="41"/>
  <c r="V78" i="41" s="1"/>
  <c r="K79" i="41"/>
  <c r="U79" i="41" s="1"/>
  <c r="L79" i="41"/>
  <c r="V79" i="41" s="1"/>
  <c r="K80" i="41"/>
  <c r="U80" i="41" s="1"/>
  <c r="L80" i="41"/>
  <c r="V80" i="41" s="1"/>
  <c r="K81" i="41"/>
  <c r="U81" i="41" s="1"/>
  <c r="L81" i="41"/>
  <c r="V81" i="41" s="1"/>
  <c r="K82" i="41"/>
  <c r="U82" i="41" s="1"/>
  <c r="L82" i="41"/>
  <c r="V82" i="41" s="1"/>
  <c r="K83" i="41"/>
  <c r="U83" i="41" s="1"/>
  <c r="L83" i="41"/>
  <c r="V83" i="41" s="1"/>
  <c r="K84" i="41"/>
  <c r="U84" i="41" s="1"/>
  <c r="L84" i="41"/>
  <c r="V84" i="41" s="1"/>
  <c r="K85" i="41"/>
  <c r="U85" i="41" s="1"/>
  <c r="L85" i="41"/>
  <c r="V85" i="41" s="1"/>
  <c r="K86" i="41"/>
  <c r="U86" i="41" s="1"/>
  <c r="L86" i="41"/>
  <c r="V86" i="41" s="1"/>
  <c r="K87" i="41"/>
  <c r="U87" i="41" s="1"/>
  <c r="L87" i="41"/>
  <c r="V87" i="41" s="1"/>
  <c r="K88" i="41"/>
  <c r="U88" i="41" s="1"/>
  <c r="L88" i="41"/>
  <c r="V88" i="41" s="1"/>
  <c r="K89" i="41"/>
  <c r="U89" i="41" s="1"/>
  <c r="L89" i="41"/>
  <c r="V89" i="41" s="1"/>
  <c r="K90" i="41"/>
  <c r="U90" i="41" s="1"/>
  <c r="L90" i="41"/>
  <c r="V90" i="41" s="1"/>
  <c r="K91" i="41"/>
  <c r="U91" i="41" s="1"/>
  <c r="L91" i="41"/>
  <c r="V91" i="41" s="1"/>
  <c r="K92" i="41"/>
  <c r="U92" i="41" s="1"/>
  <c r="L92" i="41"/>
  <c r="V92" i="41" s="1"/>
  <c r="K93" i="41"/>
  <c r="U93" i="41" s="1"/>
  <c r="L93" i="41"/>
  <c r="V93" i="41" s="1"/>
  <c r="K94" i="41"/>
  <c r="U94" i="41" s="1"/>
  <c r="L94" i="41"/>
  <c r="V94" i="41" s="1"/>
  <c r="K95" i="41"/>
  <c r="U95" i="41" s="1"/>
  <c r="L95" i="41"/>
  <c r="V95" i="41" s="1"/>
  <c r="K96" i="41"/>
  <c r="U96" i="41" s="1"/>
  <c r="L96" i="41"/>
  <c r="V96" i="41" s="1"/>
  <c r="K97" i="41"/>
  <c r="U97" i="41" s="1"/>
  <c r="L97" i="41"/>
  <c r="V97" i="41" s="1"/>
  <c r="K98" i="41"/>
  <c r="U98" i="41" s="1"/>
  <c r="L98" i="41"/>
  <c r="V98" i="41" s="1"/>
  <c r="K99" i="41"/>
  <c r="U99" i="41" s="1"/>
  <c r="L99" i="41"/>
  <c r="V99" i="41" s="1"/>
  <c r="K100" i="41"/>
  <c r="U100" i="41" s="1"/>
  <c r="L100" i="41"/>
  <c r="V100" i="41" s="1"/>
  <c r="K101" i="41"/>
  <c r="U101" i="41" s="1"/>
  <c r="L101" i="41"/>
  <c r="V101" i="41" s="1"/>
  <c r="K102" i="41"/>
  <c r="U102" i="41" s="1"/>
  <c r="L102" i="41"/>
  <c r="V102" i="41" s="1"/>
  <c r="K103" i="41"/>
  <c r="U103" i="41" s="1"/>
  <c r="L103" i="41"/>
  <c r="V103" i="41" s="1"/>
  <c r="K104" i="41"/>
  <c r="U104" i="41" s="1"/>
  <c r="L104" i="41"/>
  <c r="V104" i="41" s="1"/>
  <c r="K105" i="41"/>
  <c r="U105" i="41" s="1"/>
  <c r="L105" i="41"/>
  <c r="V105" i="41" s="1"/>
  <c r="K106" i="41"/>
  <c r="U106" i="41" s="1"/>
  <c r="L106" i="41"/>
  <c r="V106" i="41" s="1"/>
  <c r="K107" i="41"/>
  <c r="U107" i="41" s="1"/>
  <c r="L107" i="41"/>
  <c r="V107" i="41" s="1"/>
  <c r="K108" i="41"/>
  <c r="U108" i="41" s="1"/>
  <c r="L108" i="41"/>
  <c r="V108" i="41" s="1"/>
  <c r="K109" i="41"/>
  <c r="U109" i="41" s="1"/>
  <c r="L109" i="41"/>
  <c r="V109" i="41" s="1"/>
  <c r="K110" i="41"/>
  <c r="U110" i="41" s="1"/>
  <c r="L110" i="41"/>
  <c r="V110" i="41" s="1"/>
  <c r="K111" i="41"/>
  <c r="U111" i="41" s="1"/>
  <c r="L111" i="41"/>
  <c r="V111" i="41" s="1"/>
  <c r="K112" i="41"/>
  <c r="U112" i="41" s="1"/>
  <c r="L112" i="41"/>
  <c r="V112" i="41" s="1"/>
  <c r="K113" i="41"/>
  <c r="U113" i="41" s="1"/>
  <c r="L113" i="41"/>
  <c r="V113" i="41" s="1"/>
  <c r="K114" i="41"/>
  <c r="U114" i="41" s="1"/>
  <c r="L114" i="41"/>
  <c r="V114" i="41" s="1"/>
  <c r="K115" i="41"/>
  <c r="U115" i="41" s="1"/>
  <c r="L115" i="41"/>
  <c r="V115" i="41" s="1"/>
  <c r="K116" i="41"/>
  <c r="U116" i="41" s="1"/>
  <c r="L116" i="41"/>
  <c r="V116" i="41" s="1"/>
  <c r="K117" i="41"/>
  <c r="U117" i="41" s="1"/>
  <c r="L117" i="41"/>
  <c r="V117" i="41" s="1"/>
  <c r="K118" i="41"/>
  <c r="U118" i="41" s="1"/>
  <c r="L118" i="41"/>
  <c r="V118" i="41" s="1"/>
  <c r="K119" i="41"/>
  <c r="U119" i="41" s="1"/>
  <c r="L119" i="41"/>
  <c r="V119" i="41" s="1"/>
  <c r="K120" i="41"/>
  <c r="U120" i="41" s="1"/>
  <c r="L120" i="41"/>
  <c r="V120" i="41" s="1"/>
  <c r="K121" i="41"/>
  <c r="U121" i="41" s="1"/>
  <c r="L121" i="41"/>
  <c r="V121" i="41" s="1"/>
  <c r="L1" i="41"/>
  <c r="V1" i="41" s="1"/>
  <c r="K1" i="41"/>
  <c r="J1" i="41"/>
  <c r="K33" i="70"/>
  <c r="K34" i="70"/>
  <c r="K35" i="70"/>
  <c r="K36" i="70"/>
  <c r="M48" i="70"/>
  <c r="N48" i="70"/>
  <c r="O48" i="70"/>
  <c r="O47" i="70"/>
  <c r="N47" i="70"/>
  <c r="O55" i="70"/>
  <c r="N55" i="70"/>
  <c r="E20" i="70"/>
  <c r="Q50" i="70"/>
  <c r="Q45" i="70"/>
  <c r="Q46" i="70"/>
  <c r="Q44" i="70"/>
  <c r="M55" i="70"/>
  <c r="L55" i="70"/>
  <c r="K55" i="70"/>
  <c r="L48" i="70"/>
  <c r="M47" i="70"/>
  <c r="L47" i="70"/>
  <c r="F33" i="70"/>
  <c r="E33" i="70"/>
  <c r="D33" i="70"/>
  <c r="C33" i="70"/>
  <c r="H32" i="70"/>
  <c r="H31" i="70"/>
  <c r="F30" i="70"/>
  <c r="E30" i="70"/>
  <c r="D30" i="70"/>
  <c r="C30" i="70"/>
  <c r="G25" i="70"/>
  <c r="F25" i="70"/>
  <c r="E25" i="70"/>
  <c r="D25" i="70"/>
  <c r="C25" i="70"/>
  <c r="K22" i="70"/>
  <c r="K21" i="70"/>
  <c r="K20" i="70"/>
  <c r="K19" i="70"/>
  <c r="E19" i="70"/>
  <c r="K18" i="70"/>
  <c r="E18" i="70"/>
  <c r="K17" i="70"/>
  <c r="E17" i="70"/>
  <c r="K16" i="70"/>
  <c r="K15" i="70"/>
  <c r="N11" i="70"/>
  <c r="F51" i="70" s="1"/>
  <c r="M11" i="70"/>
  <c r="L11" i="70"/>
  <c r="C51" i="70" s="1"/>
  <c r="O9" i="70"/>
  <c r="N9" i="70"/>
  <c r="E49" i="70" s="1"/>
  <c r="M9" i="70"/>
  <c r="D49" i="70" s="1"/>
  <c r="L9" i="70"/>
  <c r="C49" i="70" s="1"/>
  <c r="H5" i="70"/>
  <c r="H6" i="70" s="1"/>
  <c r="H7" i="70" s="1"/>
  <c r="H8" i="70" s="1"/>
  <c r="B50" i="35"/>
  <c r="B51" i="35"/>
  <c r="E119" i="9"/>
  <c r="Q122" i="29"/>
  <c r="B133" i="31"/>
  <c r="C133" i="31"/>
  <c r="B134" i="31"/>
  <c r="C134" i="31"/>
  <c r="B135" i="31"/>
  <c r="C135" i="31"/>
  <c r="B136" i="31"/>
  <c r="C136" i="31"/>
  <c r="B137" i="31"/>
  <c r="C137" i="31"/>
  <c r="B138" i="31"/>
  <c r="C138" i="31"/>
  <c r="B139" i="31"/>
  <c r="C139" i="31"/>
  <c r="B140" i="31"/>
  <c r="C140" i="31"/>
  <c r="B141" i="31"/>
  <c r="C141" i="31"/>
  <c r="B142" i="31"/>
  <c r="C142" i="31"/>
  <c r="B143" i="31"/>
  <c r="C143" i="31"/>
  <c r="B144" i="31"/>
  <c r="C144" i="31"/>
  <c r="B145" i="31"/>
  <c r="C145" i="31"/>
  <c r="A98" i="31"/>
  <c r="B98" i="31" s="1"/>
  <c r="A99" i="31"/>
  <c r="B99" i="31" s="1"/>
  <c r="A100" i="31"/>
  <c r="C100" i="31" s="1"/>
  <c r="A101" i="31"/>
  <c r="B101" i="31" s="1"/>
  <c r="A102" i="31"/>
  <c r="C102" i="31" s="1"/>
  <c r="A103" i="31"/>
  <c r="B103" i="31" s="1"/>
  <c r="A104" i="31"/>
  <c r="B104" i="31" s="1"/>
  <c r="A105" i="31"/>
  <c r="B105" i="31" s="1"/>
  <c r="A106" i="31"/>
  <c r="B106" i="31" s="1"/>
  <c r="A107" i="31"/>
  <c r="B107" i="31" s="1"/>
  <c r="A108" i="31"/>
  <c r="B108" i="31" s="1"/>
  <c r="A109" i="31"/>
  <c r="B109" i="31" s="1"/>
  <c r="A110" i="31"/>
  <c r="B110" i="31" s="1"/>
  <c r="A111" i="31"/>
  <c r="B111" i="31" s="1"/>
  <c r="A112" i="31"/>
  <c r="B112" i="31" s="1"/>
  <c r="A113" i="31"/>
  <c r="B113" i="31" s="1"/>
  <c r="A114" i="31"/>
  <c r="B114" i="31" s="1"/>
  <c r="A115" i="31"/>
  <c r="B115" i="31" s="1"/>
  <c r="A116" i="31"/>
  <c r="A117" i="31"/>
  <c r="B117" i="31" s="1"/>
  <c r="A118" i="31"/>
  <c r="A119" i="31"/>
  <c r="C119" i="31" s="1"/>
  <c r="A120" i="31"/>
  <c r="A121" i="31"/>
  <c r="B121" i="31" s="1"/>
  <c r="A98" i="30"/>
  <c r="B98" i="30" s="1"/>
  <c r="A99" i="30"/>
  <c r="A100" i="30"/>
  <c r="B100" i="30" s="1"/>
  <c r="A101" i="30"/>
  <c r="C101" i="30" s="1"/>
  <c r="A102" i="30"/>
  <c r="A103" i="30"/>
  <c r="C103" i="30" s="1"/>
  <c r="A104" i="30"/>
  <c r="B104" i="30" s="1"/>
  <c r="A105" i="30"/>
  <c r="C105" i="30" s="1"/>
  <c r="A106" i="30"/>
  <c r="B106" i="30" s="1"/>
  <c r="A107" i="30"/>
  <c r="C107" i="30" s="1"/>
  <c r="A108" i="30"/>
  <c r="B108" i="30" s="1"/>
  <c r="A109" i="30"/>
  <c r="C109" i="30" s="1"/>
  <c r="A110" i="30"/>
  <c r="B110" i="30" s="1"/>
  <c r="A111" i="30"/>
  <c r="C111" i="30" s="1"/>
  <c r="A112" i="30"/>
  <c r="B112" i="30" s="1"/>
  <c r="A113" i="30"/>
  <c r="C113" i="30" s="1"/>
  <c r="A114" i="30"/>
  <c r="B114" i="30" s="1"/>
  <c r="A115" i="30"/>
  <c r="C115" i="30" s="1"/>
  <c r="A116" i="30"/>
  <c r="B116" i="30" s="1"/>
  <c r="A117" i="30"/>
  <c r="C117" i="30" s="1"/>
  <c r="A118" i="30"/>
  <c r="B118" i="30" s="1"/>
  <c r="A119" i="30"/>
  <c r="C119" i="30" s="1"/>
  <c r="A120" i="30"/>
  <c r="C120" i="30" s="1"/>
  <c r="A121" i="30"/>
  <c r="C121" i="30" s="1"/>
  <c r="A110" i="29"/>
  <c r="B110" i="29" s="1"/>
  <c r="A111" i="29"/>
  <c r="C111" i="29" s="1"/>
  <c r="A112" i="29"/>
  <c r="C112" i="29" s="1"/>
  <c r="A113" i="29"/>
  <c r="B113" i="29" s="1"/>
  <c r="A114" i="29"/>
  <c r="C114" i="29" s="1"/>
  <c r="A115" i="29"/>
  <c r="C115" i="29" s="1"/>
  <c r="A116" i="29"/>
  <c r="C116" i="29" s="1"/>
  <c r="A117" i="29"/>
  <c r="B117" i="29" s="1"/>
  <c r="A118" i="29"/>
  <c r="C118" i="29" s="1"/>
  <c r="A119" i="29"/>
  <c r="A120" i="29"/>
  <c r="C120" i="29" s="1"/>
  <c r="A121" i="29"/>
  <c r="C121" i="29" s="1"/>
  <c r="A96" i="29"/>
  <c r="C96" i="29" s="1"/>
  <c r="A97" i="29"/>
  <c r="B97" i="29" s="1"/>
  <c r="A98" i="29"/>
  <c r="B98" i="29" s="1"/>
  <c r="A99" i="29"/>
  <c r="C99" i="29" s="1"/>
  <c r="A100" i="29"/>
  <c r="B100" i="29" s="1"/>
  <c r="A101" i="29"/>
  <c r="C101" i="29" s="1"/>
  <c r="A102" i="29"/>
  <c r="C102" i="29" s="1"/>
  <c r="A103" i="29"/>
  <c r="C103" i="29" s="1"/>
  <c r="A104" i="29"/>
  <c r="B104" i="29" s="1"/>
  <c r="A105" i="29"/>
  <c r="C105" i="29" s="1"/>
  <c r="A106" i="29"/>
  <c r="B106" i="29" s="1"/>
  <c r="A107" i="29"/>
  <c r="C107" i="29" s="1"/>
  <c r="A108" i="29"/>
  <c r="B108" i="29" s="1"/>
  <c r="A109" i="29"/>
  <c r="C109" i="29" s="1"/>
  <c r="B144" i="28"/>
  <c r="C144" i="28"/>
  <c r="B145" i="28"/>
  <c r="C145" i="28"/>
  <c r="B134" i="28"/>
  <c r="C134" i="28"/>
  <c r="B135" i="28"/>
  <c r="C135" i="28"/>
  <c r="B136" i="28"/>
  <c r="C136" i="28"/>
  <c r="B137" i="28"/>
  <c r="C137" i="28"/>
  <c r="B138" i="28"/>
  <c r="C138" i="28"/>
  <c r="B139" i="28"/>
  <c r="C139" i="28"/>
  <c r="B140" i="28"/>
  <c r="C140" i="28"/>
  <c r="B141" i="28"/>
  <c r="C141" i="28"/>
  <c r="B142" i="28"/>
  <c r="C142" i="28"/>
  <c r="B143" i="28"/>
  <c r="C143" i="28"/>
  <c r="A110" i="28"/>
  <c r="B110" i="28" s="1"/>
  <c r="A111" i="28"/>
  <c r="C111" i="28" s="1"/>
  <c r="A112" i="28"/>
  <c r="B112" i="28" s="1"/>
  <c r="A113" i="28"/>
  <c r="C113" i="28" s="1"/>
  <c r="A114" i="28"/>
  <c r="B114" i="28" s="1"/>
  <c r="A115" i="28"/>
  <c r="C115" i="28" s="1"/>
  <c r="A116" i="28"/>
  <c r="B116" i="28" s="1"/>
  <c r="A117" i="28"/>
  <c r="C117" i="28" s="1"/>
  <c r="A118" i="28"/>
  <c r="B118" i="28" s="1"/>
  <c r="A119" i="28"/>
  <c r="C119" i="28" s="1"/>
  <c r="A120" i="28"/>
  <c r="B120" i="28" s="1"/>
  <c r="A121" i="28"/>
  <c r="C121" i="28" s="1"/>
  <c r="A97" i="28"/>
  <c r="B97" i="28" s="1"/>
  <c r="A98" i="28"/>
  <c r="B98" i="28" s="1"/>
  <c r="A99" i="28"/>
  <c r="B99" i="28" s="1"/>
  <c r="A100" i="28"/>
  <c r="B100" i="28" s="1"/>
  <c r="A101" i="28"/>
  <c r="B101" i="28" s="1"/>
  <c r="A102" i="28"/>
  <c r="B102" i="28" s="1"/>
  <c r="A103" i="28"/>
  <c r="B103" i="28" s="1"/>
  <c r="A104" i="28"/>
  <c r="B104" i="28" s="1"/>
  <c r="A105" i="28"/>
  <c r="B105" i="28" s="1"/>
  <c r="A106" i="28"/>
  <c r="B106" i="28" s="1"/>
  <c r="A107" i="28"/>
  <c r="B107" i="28" s="1"/>
  <c r="A108" i="28"/>
  <c r="B108" i="28" s="1"/>
  <c r="A109" i="28"/>
  <c r="B109" i="28" s="1"/>
  <c r="B144" i="27"/>
  <c r="C144" i="27"/>
  <c r="B145" i="27"/>
  <c r="C145" i="27"/>
  <c r="B134" i="27"/>
  <c r="C134" i="27"/>
  <c r="B135" i="27"/>
  <c r="C135" i="27"/>
  <c r="B136" i="27"/>
  <c r="C136" i="27"/>
  <c r="B137" i="27"/>
  <c r="C137" i="27"/>
  <c r="B138" i="27"/>
  <c r="C138" i="27"/>
  <c r="B139" i="27"/>
  <c r="C139" i="27"/>
  <c r="B140" i="27"/>
  <c r="C140" i="27"/>
  <c r="B141" i="27"/>
  <c r="C141" i="27"/>
  <c r="B142" i="27"/>
  <c r="C142" i="27"/>
  <c r="B143" i="27"/>
  <c r="C143" i="27"/>
  <c r="B116" i="66"/>
  <c r="C117" i="66"/>
  <c r="C118" i="66"/>
  <c r="C119" i="66"/>
  <c r="B120" i="66"/>
  <c r="C121" i="66"/>
  <c r="B98" i="66"/>
  <c r="C99" i="66"/>
  <c r="B100" i="66"/>
  <c r="C101" i="66"/>
  <c r="B102" i="66"/>
  <c r="C103" i="66"/>
  <c r="B104" i="66"/>
  <c r="C105" i="66"/>
  <c r="B106" i="66"/>
  <c r="C107" i="66"/>
  <c r="B108" i="66"/>
  <c r="C109" i="66"/>
  <c r="B110" i="66"/>
  <c r="C111" i="66"/>
  <c r="C112" i="66"/>
  <c r="C113" i="66"/>
  <c r="B114" i="66"/>
  <c r="C115" i="66"/>
  <c r="B98" i="64"/>
  <c r="C99" i="64"/>
  <c r="B100" i="64"/>
  <c r="C101" i="64"/>
  <c r="B102" i="64"/>
  <c r="C103" i="64"/>
  <c r="B104" i="64"/>
  <c r="C105" i="64"/>
  <c r="C106" i="64"/>
  <c r="C107" i="64"/>
  <c r="B108" i="64"/>
  <c r="C109" i="64"/>
  <c r="B110" i="64"/>
  <c r="C111" i="64"/>
  <c r="B112" i="64"/>
  <c r="C113" i="64"/>
  <c r="C114" i="64"/>
  <c r="C115" i="64"/>
  <c r="B116" i="64"/>
  <c r="C117" i="64"/>
  <c r="B118" i="64"/>
  <c r="C119" i="64"/>
  <c r="B120" i="64"/>
  <c r="C121" i="64"/>
  <c r="B98" i="58"/>
  <c r="B99" i="58"/>
  <c r="B100" i="58"/>
  <c r="C101" i="58"/>
  <c r="B102" i="58"/>
  <c r="B103" i="58"/>
  <c r="B104" i="58"/>
  <c r="C105" i="58"/>
  <c r="B106" i="58"/>
  <c r="B107" i="58"/>
  <c r="B108" i="58"/>
  <c r="C109" i="58"/>
  <c r="B110" i="58"/>
  <c r="B111" i="58"/>
  <c r="B112" i="58"/>
  <c r="C113" i="58"/>
  <c r="B114" i="58"/>
  <c r="C115" i="58"/>
  <c r="B116" i="58"/>
  <c r="C117" i="58"/>
  <c r="B118" i="58"/>
  <c r="B119" i="58"/>
  <c r="B120" i="58"/>
  <c r="C121" i="58"/>
  <c r="B121" i="47"/>
  <c r="B98" i="47"/>
  <c r="B99" i="47"/>
  <c r="B100" i="47"/>
  <c r="B101" i="47"/>
  <c r="B102" i="47"/>
  <c r="B103" i="47"/>
  <c r="B104" i="47"/>
  <c r="B105" i="47"/>
  <c r="B106" i="47"/>
  <c r="B107" i="47"/>
  <c r="B108" i="47"/>
  <c r="B109" i="47"/>
  <c r="B110" i="47"/>
  <c r="B111" i="47"/>
  <c r="B112" i="47"/>
  <c r="B113" i="47"/>
  <c r="B114" i="47"/>
  <c r="B115" i="47"/>
  <c r="B116" i="47"/>
  <c r="B117" i="47"/>
  <c r="B118" i="47"/>
  <c r="B119" i="47"/>
  <c r="B120" i="47"/>
  <c r="B98" i="41"/>
  <c r="C99" i="41"/>
  <c r="B100" i="41"/>
  <c r="B101" i="41"/>
  <c r="B102" i="41"/>
  <c r="B103" i="41"/>
  <c r="B104" i="41"/>
  <c r="C105" i="41"/>
  <c r="B106" i="41"/>
  <c r="C108" i="41"/>
  <c r="C109" i="41"/>
  <c r="C110" i="41"/>
  <c r="B111" i="41"/>
  <c r="C112" i="41"/>
  <c r="C113" i="41"/>
  <c r="C114" i="41"/>
  <c r="C115" i="41"/>
  <c r="C116" i="41"/>
  <c r="B117" i="41"/>
  <c r="B119" i="41"/>
  <c r="H233" i="7"/>
  <c r="I233" i="7"/>
  <c r="J233" i="7"/>
  <c r="K233" i="7"/>
  <c r="L233" i="7"/>
  <c r="M233" i="7"/>
  <c r="N233" i="7"/>
  <c r="P245" i="7"/>
  <c r="Q245" i="7"/>
  <c r="S245" i="7"/>
  <c r="H234" i="7"/>
  <c r="I234" i="7"/>
  <c r="J234" i="7"/>
  <c r="K234" i="7"/>
  <c r="L234" i="7"/>
  <c r="M234" i="7"/>
  <c r="N234" i="7"/>
  <c r="P246" i="7"/>
  <c r="Q246" i="7"/>
  <c r="S246" i="7"/>
  <c r="H235" i="7"/>
  <c r="I235" i="7"/>
  <c r="J235" i="7"/>
  <c r="K235" i="7"/>
  <c r="L235" i="7"/>
  <c r="BF125" i="39" s="1"/>
  <c r="M235" i="7"/>
  <c r="N235" i="7"/>
  <c r="P247" i="7"/>
  <c r="Q247" i="7"/>
  <c r="S247" i="7"/>
  <c r="H236" i="7"/>
  <c r="I236" i="7"/>
  <c r="J236" i="7"/>
  <c r="K236" i="7"/>
  <c r="L236" i="7"/>
  <c r="BF126" i="39" s="1"/>
  <c r="M236" i="7"/>
  <c r="N236" i="7"/>
  <c r="P248" i="7"/>
  <c r="Q248" i="7"/>
  <c r="S248" i="7"/>
  <c r="H237" i="7"/>
  <c r="I237" i="7"/>
  <c r="J237" i="7"/>
  <c r="K237" i="7"/>
  <c r="L237" i="7"/>
  <c r="M237" i="7"/>
  <c r="N237" i="7"/>
  <c r="P249" i="7"/>
  <c r="Q249" i="7"/>
  <c r="S249" i="7"/>
  <c r="H238" i="7"/>
  <c r="I238" i="7"/>
  <c r="J238" i="7"/>
  <c r="K238" i="7"/>
  <c r="L238" i="7"/>
  <c r="M238" i="7"/>
  <c r="N238" i="7"/>
  <c r="P250" i="7"/>
  <c r="Q250" i="7"/>
  <c r="S250" i="7"/>
  <c r="H239" i="7"/>
  <c r="I239" i="7"/>
  <c r="J239" i="7"/>
  <c r="K239" i="7"/>
  <c r="L239" i="7"/>
  <c r="M239" i="7"/>
  <c r="N239" i="7"/>
  <c r="P251" i="7"/>
  <c r="Q251" i="7"/>
  <c r="S251" i="7"/>
  <c r="H240" i="7"/>
  <c r="I240" i="7"/>
  <c r="J240" i="7"/>
  <c r="K240" i="7"/>
  <c r="L240" i="7"/>
  <c r="M240" i="7"/>
  <c r="N240" i="7"/>
  <c r="P252" i="7"/>
  <c r="Q252" i="7"/>
  <c r="S252" i="7"/>
  <c r="H241" i="7"/>
  <c r="I241" i="7"/>
  <c r="J241" i="7"/>
  <c r="K241" i="7"/>
  <c r="L241" i="7"/>
  <c r="BF131" i="39" s="1"/>
  <c r="M241" i="7"/>
  <c r="N241" i="7"/>
  <c r="P241" i="7"/>
  <c r="Q241" i="7"/>
  <c r="H242" i="7"/>
  <c r="I242" i="7"/>
  <c r="J242" i="7"/>
  <c r="K242" i="7"/>
  <c r="L242" i="7"/>
  <c r="M242" i="7"/>
  <c r="N242" i="7"/>
  <c r="P242" i="7"/>
  <c r="Q242" i="7"/>
  <c r="S242" i="7"/>
  <c r="H243" i="7"/>
  <c r="I243" i="7"/>
  <c r="J243" i="7"/>
  <c r="K243" i="7"/>
  <c r="L243" i="7"/>
  <c r="BF133" i="39" s="1"/>
  <c r="M243" i="7"/>
  <c r="N243" i="7"/>
  <c r="P243" i="7"/>
  <c r="Q243" i="7"/>
  <c r="S243" i="7"/>
  <c r="D245" i="7"/>
  <c r="G135" i="27" s="1"/>
  <c r="Q135" i="27" s="1"/>
  <c r="E245" i="7"/>
  <c r="N123" i="28"/>
  <c r="G245" i="7"/>
  <c r="D246" i="7"/>
  <c r="G136" i="27" s="1"/>
  <c r="Q136" i="27" s="1"/>
  <c r="E246" i="7"/>
  <c r="N124" i="28"/>
  <c r="G246" i="7"/>
  <c r="D247" i="7"/>
  <c r="G137" i="27" s="1"/>
  <c r="Q137" i="27" s="1"/>
  <c r="E247" i="7"/>
  <c r="F247" i="7"/>
  <c r="H137" i="28" s="1"/>
  <c r="N137" i="28" s="1"/>
  <c r="G247" i="7"/>
  <c r="D248" i="7"/>
  <c r="G138" i="27" s="1"/>
  <c r="Q138" i="27" s="1"/>
  <c r="E248" i="7"/>
  <c r="N126" i="28"/>
  <c r="G248" i="7"/>
  <c r="D249" i="7"/>
  <c r="G139" i="27" s="1"/>
  <c r="Q139" i="27" s="1"/>
  <c r="E249" i="7"/>
  <c r="N127" i="28"/>
  <c r="G249" i="7"/>
  <c r="D250" i="7"/>
  <c r="G140" i="27" s="1"/>
  <c r="Q140" i="27" s="1"/>
  <c r="E250" i="7"/>
  <c r="N128" i="28"/>
  <c r="G250" i="7"/>
  <c r="D251" i="7"/>
  <c r="G141" i="27" s="1"/>
  <c r="Q141" i="27" s="1"/>
  <c r="E251" i="7"/>
  <c r="F251" i="7"/>
  <c r="H141" i="28" s="1"/>
  <c r="N141" i="28" s="1"/>
  <c r="G251" i="7"/>
  <c r="D252" i="7"/>
  <c r="G142" i="27" s="1"/>
  <c r="Q142" i="27" s="1"/>
  <c r="E252" i="7"/>
  <c r="N130" i="28"/>
  <c r="G252" i="7"/>
  <c r="D253" i="7"/>
  <c r="G143" i="27" s="1"/>
  <c r="Q143" i="27" s="1"/>
  <c r="E253" i="7"/>
  <c r="N131" i="28"/>
  <c r="G253" i="7"/>
  <c r="D254" i="7"/>
  <c r="G144" i="27" s="1"/>
  <c r="Q144" i="27" s="1"/>
  <c r="E254" i="7"/>
  <c r="N132" i="28"/>
  <c r="G254" i="7"/>
  <c r="D255" i="7"/>
  <c r="G145" i="27" s="1"/>
  <c r="Q145" i="27" s="1"/>
  <c r="E255" i="7"/>
  <c r="F255" i="7"/>
  <c r="H145" i="28" s="1"/>
  <c r="N145" i="28" s="1"/>
  <c r="G255" i="7"/>
  <c r="E244" i="7"/>
  <c r="N122" i="28"/>
  <c r="G244" i="7"/>
  <c r="D244" i="7"/>
  <c r="G134" i="27" s="1"/>
  <c r="Q134" i="27" s="1"/>
  <c r="H232" i="7"/>
  <c r="I232" i="7"/>
  <c r="J232" i="7"/>
  <c r="K232" i="7"/>
  <c r="L232" i="7"/>
  <c r="BF122" i="39" s="1"/>
  <c r="M232" i="7"/>
  <c r="N232" i="7"/>
  <c r="P244" i="7"/>
  <c r="Q244" i="7"/>
  <c r="S244" i="7"/>
  <c r="J244" i="7" l="1"/>
  <c r="BD122" i="39"/>
  <c r="H255" i="7"/>
  <c r="BB133" i="39"/>
  <c r="J254" i="7"/>
  <c r="BD132" i="39"/>
  <c r="I252" i="7"/>
  <c r="BC130" i="39"/>
  <c r="BI130" i="39" s="1"/>
  <c r="K251" i="7"/>
  <c r="BE129" i="39"/>
  <c r="M250" i="7"/>
  <c r="F140" i="31" s="1"/>
  <c r="K140" i="31" s="1"/>
  <c r="BG128" i="39"/>
  <c r="I248" i="7"/>
  <c r="BC126" i="39"/>
  <c r="BI126" i="39" s="1"/>
  <c r="K247" i="7"/>
  <c r="BE125" i="39"/>
  <c r="M246" i="7"/>
  <c r="F136" i="31" s="1"/>
  <c r="K136" i="31" s="1"/>
  <c r="BG124" i="39"/>
  <c r="M244" i="7"/>
  <c r="F134" i="31" s="1"/>
  <c r="K134" i="31" s="1"/>
  <c r="BG122" i="39"/>
  <c r="I244" i="7"/>
  <c r="BC122" i="39"/>
  <c r="BI122" i="39" s="1"/>
  <c r="K255" i="7"/>
  <c r="BE133" i="39"/>
  <c r="M254" i="7"/>
  <c r="F144" i="31" s="1"/>
  <c r="K144" i="31" s="1"/>
  <c r="BG132" i="39"/>
  <c r="I254" i="7"/>
  <c r="BC132" i="39"/>
  <c r="BI132" i="39" s="1"/>
  <c r="N253" i="7"/>
  <c r="BH131" i="39"/>
  <c r="J253" i="7"/>
  <c r="BD131" i="39"/>
  <c r="L252" i="7"/>
  <c r="BF130" i="39"/>
  <c r="H252" i="7"/>
  <c r="BB130" i="39"/>
  <c r="N251" i="7"/>
  <c r="BH129" i="39"/>
  <c r="J251" i="7"/>
  <c r="BD129" i="39"/>
  <c r="L250" i="7"/>
  <c r="BF128" i="39"/>
  <c r="H250" i="7"/>
  <c r="BB128" i="39"/>
  <c r="N249" i="7"/>
  <c r="BH127" i="39"/>
  <c r="J249" i="7"/>
  <c r="BD127" i="39"/>
  <c r="H248" i="7"/>
  <c r="BB126" i="39"/>
  <c r="N247" i="7"/>
  <c r="BH125" i="39"/>
  <c r="J247" i="7"/>
  <c r="BD125" i="39"/>
  <c r="L246" i="7"/>
  <c r="BF124" i="39"/>
  <c r="H246" i="7"/>
  <c r="BB124" i="39"/>
  <c r="N245" i="7"/>
  <c r="BH123" i="39"/>
  <c r="J245" i="7"/>
  <c r="BD123" i="39"/>
  <c r="N244" i="7"/>
  <c r="BH122" i="39"/>
  <c r="N254" i="7"/>
  <c r="BH132" i="39"/>
  <c r="M252" i="7"/>
  <c r="F142" i="31" s="1"/>
  <c r="K142" i="31" s="1"/>
  <c r="BG130" i="39"/>
  <c r="I250" i="7"/>
  <c r="BC128" i="39"/>
  <c r="BI128" i="39" s="1"/>
  <c r="K249" i="7"/>
  <c r="BE127" i="39"/>
  <c r="M248" i="7"/>
  <c r="F138" i="31" s="1"/>
  <c r="K138" i="31" s="1"/>
  <c r="BG126" i="39"/>
  <c r="I246" i="7"/>
  <c r="BC124" i="39"/>
  <c r="BI124" i="39" s="1"/>
  <c r="K245" i="7"/>
  <c r="BE123" i="39"/>
  <c r="H244" i="7"/>
  <c r="BB122" i="39"/>
  <c r="N255" i="7"/>
  <c r="BH133" i="39"/>
  <c r="J255" i="7"/>
  <c r="BD133" i="39"/>
  <c r="L254" i="7"/>
  <c r="BF132" i="39"/>
  <c r="H254" i="7"/>
  <c r="BB132" i="39"/>
  <c r="M253" i="7"/>
  <c r="F143" i="31" s="1"/>
  <c r="K143" i="31" s="1"/>
  <c r="BG131" i="39"/>
  <c r="I253" i="7"/>
  <c r="BC131" i="39"/>
  <c r="BI131" i="39" s="1"/>
  <c r="K252" i="7"/>
  <c r="BE130" i="39"/>
  <c r="M251" i="7"/>
  <c r="F141" i="31" s="1"/>
  <c r="K141" i="31" s="1"/>
  <c r="BG129" i="39"/>
  <c r="I251" i="7"/>
  <c r="BC129" i="39"/>
  <c r="K250" i="7"/>
  <c r="BE128" i="39"/>
  <c r="M249" i="7"/>
  <c r="F139" i="31" s="1"/>
  <c r="K139" i="31" s="1"/>
  <c r="BG127" i="39"/>
  <c r="I249" i="7"/>
  <c r="BC127" i="39"/>
  <c r="K248" i="7"/>
  <c r="BE126" i="39"/>
  <c r="M247" i="7"/>
  <c r="F137" i="31" s="1"/>
  <c r="K137" i="31" s="1"/>
  <c r="BG125" i="39"/>
  <c r="I247" i="7"/>
  <c r="BC125" i="39"/>
  <c r="BI125" i="39" s="1"/>
  <c r="K246" i="7"/>
  <c r="BE124" i="39"/>
  <c r="M245" i="7"/>
  <c r="F135" i="31" s="1"/>
  <c r="K135" i="31" s="1"/>
  <c r="BG123" i="39"/>
  <c r="I245" i="7"/>
  <c r="BC123" i="39"/>
  <c r="K253" i="7"/>
  <c r="BE131" i="39"/>
  <c r="K244" i="7"/>
  <c r="BE122" i="39"/>
  <c r="BG133" i="39"/>
  <c r="I255" i="7"/>
  <c r="BC133" i="39"/>
  <c r="BI133" i="39" s="1"/>
  <c r="K254" i="7"/>
  <c r="BE132" i="39"/>
  <c r="H253" i="7"/>
  <c r="BB131" i="39"/>
  <c r="N252" i="7"/>
  <c r="BH130" i="39"/>
  <c r="J252" i="7"/>
  <c r="BD130" i="39"/>
  <c r="L251" i="7"/>
  <c r="BF129" i="39"/>
  <c r="BI129" i="39" s="1"/>
  <c r="H251" i="7"/>
  <c r="BB129" i="39"/>
  <c r="N250" i="7"/>
  <c r="BH128" i="39"/>
  <c r="J250" i="7"/>
  <c r="BD128" i="39"/>
  <c r="L249" i="7"/>
  <c r="BF127" i="39"/>
  <c r="H249" i="7"/>
  <c r="BB127" i="39"/>
  <c r="N248" i="7"/>
  <c r="BH126" i="39"/>
  <c r="J248" i="7"/>
  <c r="BD126" i="39"/>
  <c r="H247" i="7"/>
  <c r="BB125" i="39"/>
  <c r="N246" i="7"/>
  <c r="BH124" i="39"/>
  <c r="J246" i="7"/>
  <c r="BD124" i="39"/>
  <c r="L245" i="7"/>
  <c r="O245" i="7" s="1"/>
  <c r="BF123" i="39"/>
  <c r="H245" i="7"/>
  <c r="BB123" i="39"/>
  <c r="P255" i="7"/>
  <c r="BJ133" i="39"/>
  <c r="Q254" i="7"/>
  <c r="BK132" i="39"/>
  <c r="S254" i="7"/>
  <c r="BM132" i="39"/>
  <c r="S255" i="7"/>
  <c r="BM133" i="39"/>
  <c r="P254" i="7"/>
  <c r="BJ132" i="39"/>
  <c r="S253" i="7"/>
  <c r="BM131" i="39"/>
  <c r="P253" i="7"/>
  <c r="BJ131" i="39"/>
  <c r="Q255" i="7"/>
  <c r="BK133" i="39"/>
  <c r="Q253" i="7"/>
  <c r="BK131" i="39"/>
  <c r="G132" i="47"/>
  <c r="M132" i="47" s="1"/>
  <c r="O132" i="47" s="1"/>
  <c r="CI133" i="39"/>
  <c r="Q131" i="47"/>
  <c r="P131" i="47"/>
  <c r="BP132" i="39"/>
  <c r="BO132" i="39"/>
  <c r="BN133" i="39"/>
  <c r="B106" i="64"/>
  <c r="B99" i="64"/>
  <c r="O232" i="7"/>
  <c r="O236" i="7"/>
  <c r="B115" i="64"/>
  <c r="C120" i="66"/>
  <c r="C112" i="47"/>
  <c r="K123" i="29"/>
  <c r="M123" i="28"/>
  <c r="C116" i="58"/>
  <c r="C102" i="64"/>
  <c r="M122" i="28"/>
  <c r="C118" i="64"/>
  <c r="B119" i="66"/>
  <c r="M124" i="27"/>
  <c r="H123" i="31"/>
  <c r="B109" i="29"/>
  <c r="O252" i="7"/>
  <c r="O240" i="7"/>
  <c r="O241" i="7"/>
  <c r="O243" i="7"/>
  <c r="O239" i="7"/>
  <c r="O235" i="7"/>
  <c r="L255" i="7"/>
  <c r="L247" i="7"/>
  <c r="O247" i="7" s="1"/>
  <c r="B117" i="58"/>
  <c r="C107" i="58"/>
  <c r="B115" i="58"/>
  <c r="N133" i="28"/>
  <c r="O249" i="7"/>
  <c r="O250" i="7"/>
  <c r="O246" i="7"/>
  <c r="O251" i="7"/>
  <c r="O254" i="7"/>
  <c r="O255" i="7"/>
  <c r="L244" i="7"/>
  <c r="O244" i="7" s="1"/>
  <c r="L248" i="7"/>
  <c r="O248" i="7" s="1"/>
  <c r="O238" i="7"/>
  <c r="O237" i="7"/>
  <c r="O234" i="7"/>
  <c r="O233" i="7"/>
  <c r="O242" i="7"/>
  <c r="L253" i="7"/>
  <c r="O253" i="7" s="1"/>
  <c r="M255" i="7"/>
  <c r="F145" i="31" s="1"/>
  <c r="K145" i="31" s="1"/>
  <c r="N129" i="28"/>
  <c r="N125" i="28"/>
  <c r="F254" i="7"/>
  <c r="H144" i="28" s="1"/>
  <c r="N144" i="28" s="1"/>
  <c r="F253" i="7"/>
  <c r="H143" i="28" s="1"/>
  <c r="N143" i="28" s="1"/>
  <c r="F252" i="7"/>
  <c r="H142" i="28" s="1"/>
  <c r="N142" i="28" s="1"/>
  <c r="F250" i="7"/>
  <c r="H140" i="28" s="1"/>
  <c r="N140" i="28" s="1"/>
  <c r="F249" i="7"/>
  <c r="H139" i="28" s="1"/>
  <c r="N139" i="28" s="1"/>
  <c r="F248" i="7"/>
  <c r="H138" i="28" s="1"/>
  <c r="N138" i="28" s="1"/>
  <c r="F246" i="7"/>
  <c r="H136" i="28" s="1"/>
  <c r="N136" i="28" s="1"/>
  <c r="F245" i="7"/>
  <c r="H135" i="28" s="1"/>
  <c r="N135" i="28" s="1"/>
  <c r="F244" i="7"/>
  <c r="H134" i="28" s="1"/>
  <c r="N134" i="28" s="1"/>
  <c r="G145" i="28"/>
  <c r="M145" i="28" s="1"/>
  <c r="K138" i="29"/>
  <c r="G141" i="28"/>
  <c r="M141" i="28" s="1"/>
  <c r="K143" i="29"/>
  <c r="K135" i="29"/>
  <c r="G137" i="28"/>
  <c r="M137" i="28" s="1"/>
  <c r="K142" i="29"/>
  <c r="K134" i="29"/>
  <c r="K139" i="29"/>
  <c r="G144" i="28"/>
  <c r="M144" i="28" s="1"/>
  <c r="G140" i="28"/>
  <c r="M140" i="28" s="1"/>
  <c r="G136" i="28"/>
  <c r="M136" i="28" s="1"/>
  <c r="M22" i="70"/>
  <c r="O20" i="70"/>
  <c r="Q47" i="70"/>
  <c r="H25" i="70"/>
  <c r="O22" i="70"/>
  <c r="B113" i="66"/>
  <c r="B109" i="58"/>
  <c r="C108" i="58"/>
  <c r="C104" i="58"/>
  <c r="C103" i="58"/>
  <c r="C106" i="31"/>
  <c r="B119" i="31"/>
  <c r="C103" i="31"/>
  <c r="C115" i="31"/>
  <c r="C111" i="31"/>
  <c r="B112" i="66"/>
  <c r="B109" i="66"/>
  <c r="B118" i="66"/>
  <c r="B117" i="66"/>
  <c r="C114" i="66"/>
  <c r="C110" i="66"/>
  <c r="C102" i="66"/>
  <c r="C100" i="66"/>
  <c r="B115" i="66"/>
  <c r="B111" i="66"/>
  <c r="B120" i="30"/>
  <c r="B103" i="64"/>
  <c r="B114" i="64"/>
  <c r="B107" i="64"/>
  <c r="B119" i="64"/>
  <c r="C110" i="64"/>
  <c r="B111" i="64"/>
  <c r="B115" i="29"/>
  <c r="B103" i="29"/>
  <c r="C120" i="58"/>
  <c r="C119" i="58"/>
  <c r="C112" i="58"/>
  <c r="C111" i="58"/>
  <c r="B121" i="58"/>
  <c r="B113" i="58"/>
  <c r="C100" i="58"/>
  <c r="C99" i="58"/>
  <c r="B101" i="58"/>
  <c r="B105" i="58"/>
  <c r="C114" i="28"/>
  <c r="C102" i="28"/>
  <c r="B117" i="28"/>
  <c r="C108" i="28"/>
  <c r="C120" i="28"/>
  <c r="C116" i="28"/>
  <c r="B113" i="28"/>
  <c r="C113" i="47"/>
  <c r="C120" i="47"/>
  <c r="C115" i="47"/>
  <c r="C104" i="47"/>
  <c r="C99" i="47"/>
  <c r="C107" i="47"/>
  <c r="C118" i="47"/>
  <c r="C108" i="47"/>
  <c r="C119" i="47"/>
  <c r="C111" i="47"/>
  <c r="C103" i="47"/>
  <c r="C98" i="47"/>
  <c r="C117" i="47"/>
  <c r="C114" i="47"/>
  <c r="C110" i="47"/>
  <c r="C106" i="47"/>
  <c r="C102" i="47"/>
  <c r="C100" i="47"/>
  <c r="C116" i="47"/>
  <c r="C109" i="47"/>
  <c r="C105" i="47"/>
  <c r="C101" i="47"/>
  <c r="C121" i="31"/>
  <c r="C107" i="31"/>
  <c r="C112" i="30"/>
  <c r="B111" i="30"/>
  <c r="C106" i="30"/>
  <c r="B117" i="30"/>
  <c r="B109" i="30"/>
  <c r="C104" i="30"/>
  <c r="C108" i="29"/>
  <c r="B102" i="29"/>
  <c r="B111" i="29"/>
  <c r="C98" i="28"/>
  <c r="C118" i="28"/>
  <c r="C108" i="66"/>
  <c r="C106" i="66"/>
  <c r="C104" i="66"/>
  <c r="B101" i="66"/>
  <c r="B99" i="66"/>
  <c r="B121" i="66"/>
  <c r="C116" i="66"/>
  <c r="B107" i="66"/>
  <c r="B105" i="66"/>
  <c r="B103" i="66"/>
  <c r="C120" i="64"/>
  <c r="C116" i="64"/>
  <c r="C112" i="64"/>
  <c r="C108" i="64"/>
  <c r="C100" i="64"/>
  <c r="C104" i="64"/>
  <c r="B121" i="64"/>
  <c r="B117" i="64"/>
  <c r="B113" i="64"/>
  <c r="B109" i="64"/>
  <c r="B105" i="64"/>
  <c r="B101" i="64"/>
  <c r="C114" i="58"/>
  <c r="C110" i="58"/>
  <c r="C106" i="58"/>
  <c r="C102" i="58"/>
  <c r="C98" i="58"/>
  <c r="C118" i="58"/>
  <c r="C113" i="31"/>
  <c r="C104" i="31"/>
  <c r="C106" i="28"/>
  <c r="B121" i="28"/>
  <c r="C100" i="29"/>
  <c r="C117" i="29"/>
  <c r="C104" i="28"/>
  <c r="C112" i="28"/>
  <c r="B101" i="29"/>
  <c r="B120" i="29"/>
  <c r="B112" i="29"/>
  <c r="B119" i="30"/>
  <c r="C114" i="30"/>
  <c r="C100" i="30"/>
  <c r="C117" i="31"/>
  <c r="C109" i="31"/>
  <c r="B107" i="29"/>
  <c r="C106" i="29"/>
  <c r="B99" i="29"/>
  <c r="C98" i="29"/>
  <c r="B119" i="29"/>
  <c r="C119" i="29"/>
  <c r="C100" i="28"/>
  <c r="B119" i="28"/>
  <c r="B115" i="28"/>
  <c r="B111" i="28"/>
  <c r="B105" i="29"/>
  <c r="C104" i="29"/>
  <c r="B121" i="29"/>
  <c r="B118" i="29"/>
  <c r="C97" i="29"/>
  <c r="A145" i="29"/>
  <c r="B145" i="29" s="1"/>
  <c r="B96" i="29"/>
  <c r="A144" i="29"/>
  <c r="B114" i="29"/>
  <c r="C116" i="30"/>
  <c r="C108" i="30"/>
  <c r="B103" i="30"/>
  <c r="B101" i="30"/>
  <c r="C99" i="30"/>
  <c r="B99" i="30"/>
  <c r="B116" i="29"/>
  <c r="C113" i="29"/>
  <c r="B121" i="30"/>
  <c r="C118" i="30"/>
  <c r="B113" i="30"/>
  <c r="C110" i="30"/>
  <c r="B105" i="30"/>
  <c r="B115" i="30"/>
  <c r="B107" i="30"/>
  <c r="B102" i="30"/>
  <c r="C102" i="30"/>
  <c r="B120" i="31"/>
  <c r="C120" i="31"/>
  <c r="B118" i="31"/>
  <c r="C118" i="31"/>
  <c r="B116" i="31"/>
  <c r="C116" i="31"/>
  <c r="B102" i="31"/>
  <c r="B100" i="31"/>
  <c r="C114" i="31"/>
  <c r="C112" i="31"/>
  <c r="C110" i="31"/>
  <c r="C108" i="31"/>
  <c r="C105" i="31"/>
  <c r="C101" i="31"/>
  <c r="C99" i="31"/>
  <c r="C98" i="31"/>
  <c r="Q48" i="70"/>
  <c r="F49" i="70"/>
  <c r="G49" i="70" s="1"/>
  <c r="H33" i="70"/>
  <c r="G10" i="70" s="1"/>
  <c r="L22" i="70"/>
  <c r="L20" i="70"/>
  <c r="D51" i="70"/>
  <c r="M20" i="70"/>
  <c r="E51" i="70"/>
  <c r="N20" i="70"/>
  <c r="N22" i="70"/>
  <c r="C98" i="30"/>
  <c r="C110" i="29"/>
  <c r="C110" i="28"/>
  <c r="C109" i="28"/>
  <c r="C107" i="28"/>
  <c r="C105" i="28"/>
  <c r="C103" i="28"/>
  <c r="C101" i="28"/>
  <c r="C99" i="28"/>
  <c r="C97" i="28"/>
  <c r="C98" i="66"/>
  <c r="C98" i="64"/>
  <c r="C121" i="47"/>
  <c r="C117" i="41"/>
  <c r="C119" i="41"/>
  <c r="B113" i="41"/>
  <c r="B110" i="41"/>
  <c r="B109" i="41"/>
  <c r="B112" i="41"/>
  <c r="B108" i="41"/>
  <c r="B105" i="41"/>
  <c r="C103" i="41"/>
  <c r="C101" i="41"/>
  <c r="C111" i="41"/>
  <c r="B116" i="41"/>
  <c r="B114" i="41"/>
  <c r="B99" i="41"/>
  <c r="C118" i="41"/>
  <c r="B118" i="41"/>
  <c r="B107" i="41"/>
  <c r="C107" i="41"/>
  <c r="C120" i="41"/>
  <c r="B120" i="41"/>
  <c r="B115" i="41"/>
  <c r="B121" i="41"/>
  <c r="C121" i="41"/>
  <c r="C106" i="41"/>
  <c r="C104" i="41"/>
  <c r="C102" i="41"/>
  <c r="C100" i="41"/>
  <c r="C98" i="41"/>
  <c r="F129" i="31" l="1"/>
  <c r="F129" i="66"/>
  <c r="K129" i="66" s="1"/>
  <c r="M129" i="66" s="1"/>
  <c r="F122" i="31"/>
  <c r="F122" i="66"/>
  <c r="K122" i="66" s="1"/>
  <c r="M122" i="66" s="1"/>
  <c r="BI127" i="39"/>
  <c r="F133" i="31"/>
  <c r="K133" i="31" s="1"/>
  <c r="F133" i="66"/>
  <c r="K133" i="66" s="1"/>
  <c r="M133" i="66" s="1"/>
  <c r="F123" i="31"/>
  <c r="F123" i="66"/>
  <c r="K123" i="66" s="1"/>
  <c r="M123" i="66" s="1"/>
  <c r="F127" i="31"/>
  <c r="F127" i="66"/>
  <c r="K127" i="66" s="1"/>
  <c r="M127" i="66" s="1"/>
  <c r="F131" i="31"/>
  <c r="F131" i="66"/>
  <c r="K131" i="66" s="1"/>
  <c r="M131" i="66" s="1"/>
  <c r="F126" i="31"/>
  <c r="F126" i="66"/>
  <c r="K126" i="66" s="1"/>
  <c r="M126" i="66" s="1"/>
  <c r="F132" i="31"/>
  <c r="F132" i="66"/>
  <c r="K132" i="66" s="1"/>
  <c r="M132" i="66" s="1"/>
  <c r="F124" i="31"/>
  <c r="F124" i="66"/>
  <c r="K124" i="66" s="1"/>
  <c r="M124" i="66" s="1"/>
  <c r="F125" i="31"/>
  <c r="F125" i="66"/>
  <c r="K125" i="66" s="1"/>
  <c r="M125" i="66" s="1"/>
  <c r="F130" i="31"/>
  <c r="F130" i="66"/>
  <c r="K130" i="66" s="1"/>
  <c r="M130" i="66" s="1"/>
  <c r="F128" i="31"/>
  <c r="F128" i="66"/>
  <c r="K128" i="66" s="1"/>
  <c r="M128" i="66" s="1"/>
  <c r="BI123" i="39"/>
  <c r="N132" i="66"/>
  <c r="O132" i="66"/>
  <c r="G133" i="47"/>
  <c r="M133" i="47" s="1"/>
  <c r="O133" i="47" s="1"/>
  <c r="P132" i="47"/>
  <c r="Q132" i="47"/>
  <c r="BP133" i="39"/>
  <c r="BO133" i="39"/>
  <c r="G51" i="70"/>
  <c r="C145" i="29"/>
  <c r="M125" i="27"/>
  <c r="I124" i="28"/>
  <c r="H124" i="31"/>
  <c r="O61" i="70"/>
  <c r="N61" i="70"/>
  <c r="B144" i="29"/>
  <c r="C144" i="29"/>
  <c r="M61" i="70"/>
  <c r="L61" i="70"/>
  <c r="K61" i="70"/>
  <c r="G7" i="70"/>
  <c r="G6" i="70"/>
  <c r="L6" i="70" s="1"/>
  <c r="G5" i="70"/>
  <c r="L5" i="70" s="1"/>
  <c r="G4" i="70"/>
  <c r="L4" i="70" s="1"/>
  <c r="G8" i="70"/>
  <c r="N10" i="70"/>
  <c r="M10" i="70"/>
  <c r="L10" i="70"/>
  <c r="O10" i="70"/>
  <c r="N126" i="66" l="1"/>
  <c r="O126" i="66"/>
  <c r="O127" i="66"/>
  <c r="N127" i="66"/>
  <c r="N130" i="66"/>
  <c r="O130" i="66"/>
  <c r="O129" i="66"/>
  <c r="N129" i="66"/>
  <c r="N122" i="66"/>
  <c r="O122" i="66"/>
  <c r="N124" i="66"/>
  <c r="O124" i="66"/>
  <c r="O128" i="66"/>
  <c r="N128" i="66"/>
  <c r="N125" i="66"/>
  <c r="O125" i="66"/>
  <c r="N131" i="66"/>
  <c r="O131" i="66"/>
  <c r="N123" i="66"/>
  <c r="O123" i="66"/>
  <c r="N133" i="66"/>
  <c r="O133" i="66"/>
  <c r="Q133" i="47"/>
  <c r="P133" i="47"/>
  <c r="K124" i="29"/>
  <c r="M124" i="28"/>
  <c r="M126" i="27"/>
  <c r="I125" i="28"/>
  <c r="H125" i="31"/>
  <c r="Q61" i="70"/>
  <c r="O21" i="70"/>
  <c r="M4" i="70"/>
  <c r="F50" i="70"/>
  <c r="N7" i="70"/>
  <c r="M7" i="70"/>
  <c r="L7" i="70"/>
  <c r="O7" i="70"/>
  <c r="C50" i="70"/>
  <c r="L21" i="70"/>
  <c r="O4" i="70"/>
  <c r="N4" i="70"/>
  <c r="D50" i="70"/>
  <c r="M21" i="70"/>
  <c r="O5" i="70"/>
  <c r="N5" i="70"/>
  <c r="M5" i="70"/>
  <c r="M8" i="70"/>
  <c r="L8" i="70"/>
  <c r="O8" i="70"/>
  <c r="N8" i="70"/>
  <c r="N21" i="70"/>
  <c r="E50" i="70"/>
  <c r="O6" i="70"/>
  <c r="N6" i="70"/>
  <c r="M6" i="70"/>
  <c r="M17" i="70" s="1"/>
  <c r="M127" i="27" l="1"/>
  <c r="H126" i="31"/>
  <c r="I126" i="28"/>
  <c r="K125" i="29"/>
  <c r="M125" i="28"/>
  <c r="M36" i="70"/>
  <c r="M34" i="70"/>
  <c r="M33" i="70"/>
  <c r="M35" i="70"/>
  <c r="N35" i="70"/>
  <c r="I10" i="67" s="1"/>
  <c r="N34" i="70"/>
  <c r="I9" i="67" s="1"/>
  <c r="N33" i="70"/>
  <c r="I8" i="67" s="1"/>
  <c r="N36" i="70"/>
  <c r="I11" i="67" s="1"/>
  <c r="O35" i="70"/>
  <c r="O34" i="70"/>
  <c r="O32" i="70"/>
  <c r="O36" i="70"/>
  <c r="O33" i="70"/>
  <c r="L36" i="70"/>
  <c r="L35" i="70"/>
  <c r="F102" i="9" s="1"/>
  <c r="L32" i="70"/>
  <c r="L15" i="70"/>
  <c r="L34" i="70"/>
  <c r="E102" i="9" s="1"/>
  <c r="L33" i="70"/>
  <c r="D102" i="9" s="1"/>
  <c r="O18" i="70"/>
  <c r="O19" i="70"/>
  <c r="O16" i="70"/>
  <c r="O17" i="70"/>
  <c r="C44" i="70"/>
  <c r="C48" i="70"/>
  <c r="L19" i="70"/>
  <c r="C46" i="70"/>
  <c r="E45" i="70"/>
  <c r="N16" i="70"/>
  <c r="M12" i="70"/>
  <c r="D44" i="70"/>
  <c r="E47" i="70"/>
  <c r="N18" i="70"/>
  <c r="D46" i="70"/>
  <c r="D48" i="70"/>
  <c r="M19" i="70"/>
  <c r="E44" i="70"/>
  <c r="N12" i="70"/>
  <c r="F47" i="70"/>
  <c r="E46" i="70"/>
  <c r="N17" i="70"/>
  <c r="L16" i="70"/>
  <c r="C45" i="70"/>
  <c r="G50" i="70"/>
  <c r="C47" i="70"/>
  <c r="L18" i="70"/>
  <c r="F45" i="70"/>
  <c r="E48" i="70"/>
  <c r="N19" i="70"/>
  <c r="F44" i="70"/>
  <c r="O12" i="70"/>
  <c r="F46" i="70"/>
  <c r="F48" i="70"/>
  <c r="M16" i="70"/>
  <c r="D45" i="70"/>
  <c r="L12" i="70"/>
  <c r="D47" i="70"/>
  <c r="C103" i="9" l="1"/>
  <c r="D103" i="9"/>
  <c r="K126" i="29"/>
  <c r="M126" i="28"/>
  <c r="E103" i="9"/>
  <c r="J102" i="9"/>
  <c r="M27" i="70"/>
  <c r="M28" i="70"/>
  <c r="M128" i="27"/>
  <c r="I127" i="28"/>
  <c r="H127" i="31"/>
  <c r="L27" i="70"/>
  <c r="L25" i="70"/>
  <c r="O62" i="70"/>
  <c r="N62" i="70"/>
  <c r="L37" i="70"/>
  <c r="I7" i="67"/>
  <c r="I15" i="67" s="1"/>
  <c r="K15" i="67" s="1"/>
  <c r="N37" i="70"/>
  <c r="M37" i="70"/>
  <c r="O25" i="70"/>
  <c r="O27" i="70"/>
  <c r="O26" i="70"/>
  <c r="O29" i="70"/>
  <c r="O28" i="70"/>
  <c r="O37" i="70"/>
  <c r="N25" i="70"/>
  <c r="N29" i="70"/>
  <c r="N28" i="70"/>
  <c r="M29" i="70"/>
  <c r="L29" i="70"/>
  <c r="L28" i="70"/>
  <c r="N27" i="70"/>
  <c r="E53" i="70"/>
  <c r="G47" i="70"/>
  <c r="M23" i="70"/>
  <c r="G46" i="70"/>
  <c r="L23" i="70"/>
  <c r="G44" i="70"/>
  <c r="C53" i="70"/>
  <c r="M62" i="70"/>
  <c r="L62" i="70"/>
  <c r="K62" i="70"/>
  <c r="O23" i="70"/>
  <c r="G45" i="70"/>
  <c r="N23" i="70"/>
  <c r="N26" i="70"/>
  <c r="D53" i="70"/>
  <c r="G48" i="70"/>
  <c r="E118" i="39" l="1"/>
  <c r="M129" i="27"/>
  <c r="I128" i="28"/>
  <c r="H128" i="31"/>
  <c r="F104" i="9"/>
  <c r="D104" i="9"/>
  <c r="K127" i="29"/>
  <c r="M127" i="28"/>
  <c r="J103" i="9"/>
  <c r="E104" i="9"/>
  <c r="N56" i="70"/>
  <c r="O56" i="70"/>
  <c r="N59" i="70"/>
  <c r="O59" i="70"/>
  <c r="N60" i="70"/>
  <c r="O60" i="70"/>
  <c r="O57" i="70"/>
  <c r="N57" i="70"/>
  <c r="N58" i="70"/>
  <c r="O58" i="70"/>
  <c r="Q62" i="70"/>
  <c r="M30" i="70"/>
  <c r="M58" i="70"/>
  <c r="L58" i="70"/>
  <c r="K58" i="70"/>
  <c r="N30" i="70"/>
  <c r="M57" i="70"/>
  <c r="L57" i="70"/>
  <c r="K57" i="70"/>
  <c r="O30" i="70"/>
  <c r="M56" i="70"/>
  <c r="L56" i="70"/>
  <c r="K56" i="70"/>
  <c r="G53" i="70"/>
  <c r="L30" i="70"/>
  <c r="L60" i="70"/>
  <c r="K60" i="70"/>
  <c r="M60" i="70"/>
  <c r="L59" i="70"/>
  <c r="K59" i="70"/>
  <c r="M59" i="70"/>
  <c r="J104" i="9" l="1"/>
  <c r="K128" i="29"/>
  <c r="M128" i="28"/>
  <c r="M130" i="27"/>
  <c r="I129" i="28"/>
  <c r="H129" i="31"/>
  <c r="Q57" i="70"/>
  <c r="O64" i="70"/>
  <c r="N64" i="70"/>
  <c r="Q58" i="70"/>
  <c r="Q60" i="70"/>
  <c r="Q56" i="70"/>
  <c r="Q59" i="70"/>
  <c r="M64" i="70"/>
  <c r="K64" i="70"/>
  <c r="L64" i="70"/>
  <c r="K129" i="29" l="1"/>
  <c r="M129" i="28"/>
  <c r="M131" i="27"/>
  <c r="H130" i="31"/>
  <c r="I130" i="28"/>
  <c r="Q64" i="70"/>
  <c r="M132" i="27" l="1"/>
  <c r="I131" i="28"/>
  <c r="H131" i="31"/>
  <c r="K130" i="29"/>
  <c r="M130" i="28"/>
  <c r="B245" i="7"/>
  <c r="B246" i="7"/>
  <c r="B247" i="7"/>
  <c r="B248" i="7"/>
  <c r="B249" i="7"/>
  <c r="B250" i="7"/>
  <c r="B251" i="7"/>
  <c r="B252" i="7"/>
  <c r="B253" i="7"/>
  <c r="B254" i="7"/>
  <c r="B255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4" i="7"/>
  <c r="C17" i="7"/>
  <c r="C29" i="7" s="1"/>
  <c r="C41" i="7" s="1"/>
  <c r="C18" i="7"/>
  <c r="C30" i="7" s="1"/>
  <c r="C42" i="7" s="1"/>
  <c r="C54" i="7" s="1"/>
  <c r="C66" i="7" s="1"/>
  <c r="C78" i="7" s="1"/>
  <c r="C90" i="7" s="1"/>
  <c r="C102" i="7" s="1"/>
  <c r="C114" i="7" s="1"/>
  <c r="C126" i="7" s="1"/>
  <c r="C138" i="7" s="1"/>
  <c r="C150" i="7" s="1"/>
  <c r="C162" i="7" s="1"/>
  <c r="C174" i="7" s="1"/>
  <c r="C186" i="7" s="1"/>
  <c r="C19" i="7"/>
  <c r="C31" i="7" s="1"/>
  <c r="C43" i="7" s="1"/>
  <c r="C55" i="7" s="1"/>
  <c r="C67" i="7" s="1"/>
  <c r="C79" i="7" s="1"/>
  <c r="C91" i="7" s="1"/>
  <c r="C103" i="7" s="1"/>
  <c r="C115" i="7" s="1"/>
  <c r="C127" i="7" s="1"/>
  <c r="C139" i="7" s="1"/>
  <c r="C151" i="7" s="1"/>
  <c r="C163" i="7" s="1"/>
  <c r="C175" i="7" s="1"/>
  <c r="C187" i="7" s="1"/>
  <c r="C199" i="7" s="1"/>
  <c r="C211" i="7" s="1"/>
  <c r="C223" i="7" s="1"/>
  <c r="C235" i="7" s="1"/>
  <c r="C247" i="7" s="1"/>
  <c r="C20" i="7"/>
  <c r="C32" i="7" s="1"/>
  <c r="C44" i="7" s="1"/>
  <c r="C56" i="7" s="1"/>
  <c r="C68" i="7" s="1"/>
  <c r="C80" i="7" s="1"/>
  <c r="C92" i="7" s="1"/>
  <c r="C21" i="7"/>
  <c r="C22" i="7"/>
  <c r="C34" i="7" s="1"/>
  <c r="C46" i="7" s="1"/>
  <c r="C58" i="7" s="1"/>
  <c r="C70" i="7" s="1"/>
  <c r="C82" i="7" s="1"/>
  <c r="C94" i="7" s="1"/>
  <c r="C106" i="7" s="1"/>
  <c r="C118" i="7" s="1"/>
  <c r="C130" i="7" s="1"/>
  <c r="C142" i="7" s="1"/>
  <c r="C154" i="7" s="1"/>
  <c r="C166" i="7" s="1"/>
  <c r="C178" i="7" s="1"/>
  <c r="C190" i="7" s="1"/>
  <c r="C202" i="7" s="1"/>
  <c r="C214" i="7" s="1"/>
  <c r="C226" i="7" s="1"/>
  <c r="C23" i="7"/>
  <c r="C35" i="7" s="1"/>
  <c r="C47" i="7" s="1"/>
  <c r="C59" i="7" s="1"/>
  <c r="C71" i="7" s="1"/>
  <c r="C83" i="7" s="1"/>
  <c r="C95" i="7" s="1"/>
  <c r="C107" i="7" s="1"/>
  <c r="C119" i="7" s="1"/>
  <c r="C131" i="7" s="1"/>
  <c r="C143" i="7" s="1"/>
  <c r="C155" i="7" s="1"/>
  <c r="C167" i="7" s="1"/>
  <c r="C179" i="7" s="1"/>
  <c r="C191" i="7" s="1"/>
  <c r="C203" i="7" s="1"/>
  <c r="C215" i="7" s="1"/>
  <c r="C227" i="7" s="1"/>
  <c r="C239" i="7" s="1"/>
  <c r="C251" i="7" s="1"/>
  <c r="C24" i="7"/>
  <c r="C36" i="7" s="1"/>
  <c r="C48" i="7" s="1"/>
  <c r="C25" i="7"/>
  <c r="C37" i="7" s="1"/>
  <c r="C49" i="7" s="1"/>
  <c r="C26" i="7"/>
  <c r="C38" i="7" s="1"/>
  <c r="C50" i="7" s="1"/>
  <c r="C62" i="7" s="1"/>
  <c r="C74" i="7" s="1"/>
  <c r="C86" i="7" s="1"/>
  <c r="C98" i="7" s="1"/>
  <c r="C110" i="7" s="1"/>
  <c r="C27" i="7"/>
  <c r="C39" i="7" s="1"/>
  <c r="C51" i="7" s="1"/>
  <c r="C63" i="7" s="1"/>
  <c r="C75" i="7" s="1"/>
  <c r="C16" i="7"/>
  <c r="C28" i="7" s="1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231" i="7"/>
  <c r="O4" i="7"/>
  <c r="A98" i="27"/>
  <c r="B98" i="27" s="1"/>
  <c r="A99" i="27"/>
  <c r="B99" i="27" s="1"/>
  <c r="A100" i="27"/>
  <c r="C100" i="27" s="1"/>
  <c r="A101" i="27"/>
  <c r="C101" i="27" s="1"/>
  <c r="A102" i="27"/>
  <c r="B102" i="27" s="1"/>
  <c r="A103" i="27"/>
  <c r="B103" i="27" s="1"/>
  <c r="A104" i="27"/>
  <c r="C104" i="27" s="1"/>
  <c r="A105" i="27"/>
  <c r="C105" i="27" s="1"/>
  <c r="A106" i="27"/>
  <c r="C106" i="27" s="1"/>
  <c r="A107" i="27"/>
  <c r="B107" i="27" s="1"/>
  <c r="A108" i="27"/>
  <c r="C108" i="27" s="1"/>
  <c r="A109" i="27"/>
  <c r="B109" i="27" s="1"/>
  <c r="A110" i="27"/>
  <c r="C110" i="27" s="1"/>
  <c r="A111" i="27"/>
  <c r="B111" i="27" s="1"/>
  <c r="A112" i="27"/>
  <c r="C112" i="27" s="1"/>
  <c r="A113" i="27"/>
  <c r="B113" i="27" s="1"/>
  <c r="A114" i="27"/>
  <c r="C114" i="27" s="1"/>
  <c r="A115" i="27"/>
  <c r="B115" i="27" s="1"/>
  <c r="A116" i="27"/>
  <c r="C116" i="27" s="1"/>
  <c r="A117" i="27"/>
  <c r="B117" i="27" s="1"/>
  <c r="A118" i="27"/>
  <c r="C118" i="27" s="1"/>
  <c r="A119" i="27"/>
  <c r="B119" i="27" s="1"/>
  <c r="A120" i="27"/>
  <c r="C120" i="27" s="1"/>
  <c r="A121" i="27"/>
  <c r="B121" i="27" s="1"/>
  <c r="V33" i="6"/>
  <c r="W33" i="6"/>
  <c r="X33" i="6"/>
  <c r="Y33" i="6"/>
  <c r="Z33" i="6"/>
  <c r="AA33" i="6"/>
  <c r="AB33" i="6"/>
  <c r="AC33" i="6"/>
  <c r="AD33" i="6"/>
  <c r="AE33" i="6"/>
  <c r="AF33" i="6"/>
  <c r="AG33" i="6"/>
  <c r="V34" i="6"/>
  <c r="W34" i="6"/>
  <c r="X34" i="6"/>
  <c r="Y34" i="6"/>
  <c r="Z34" i="6"/>
  <c r="AA34" i="6"/>
  <c r="AB34" i="6"/>
  <c r="AC34" i="6"/>
  <c r="AD34" i="6"/>
  <c r="AE34" i="6"/>
  <c r="AF34" i="6"/>
  <c r="AG34" i="6"/>
  <c r="V35" i="6"/>
  <c r="W35" i="6"/>
  <c r="X35" i="6"/>
  <c r="Y35" i="6"/>
  <c r="Z35" i="6"/>
  <c r="AA35" i="6"/>
  <c r="AB35" i="6"/>
  <c r="AC35" i="6"/>
  <c r="AD35" i="6"/>
  <c r="AE35" i="6"/>
  <c r="AF35" i="6"/>
  <c r="AG35" i="6"/>
  <c r="V36" i="6"/>
  <c r="W36" i="6"/>
  <c r="X36" i="6"/>
  <c r="Y36" i="6"/>
  <c r="Z36" i="6"/>
  <c r="AA36" i="6"/>
  <c r="AB36" i="6"/>
  <c r="AC36" i="6"/>
  <c r="AD36" i="6"/>
  <c r="AE36" i="6"/>
  <c r="AF36" i="6"/>
  <c r="AG36" i="6"/>
  <c r="V37" i="6"/>
  <c r="W37" i="6"/>
  <c r="X37" i="6"/>
  <c r="Y37" i="6"/>
  <c r="Z37" i="6"/>
  <c r="AA37" i="6"/>
  <c r="AB37" i="6"/>
  <c r="AC37" i="6"/>
  <c r="AD37" i="6"/>
  <c r="AE37" i="6"/>
  <c r="AF37" i="6"/>
  <c r="AG37" i="6"/>
  <c r="V38" i="6"/>
  <c r="W38" i="6"/>
  <c r="X38" i="6"/>
  <c r="Y38" i="6"/>
  <c r="Z38" i="6"/>
  <c r="AA38" i="6"/>
  <c r="AB38" i="6"/>
  <c r="AC38" i="6"/>
  <c r="AD38" i="6"/>
  <c r="AE38" i="6"/>
  <c r="AF38" i="6"/>
  <c r="AG38" i="6"/>
  <c r="V39" i="6"/>
  <c r="W39" i="6"/>
  <c r="X39" i="6"/>
  <c r="Y39" i="6"/>
  <c r="Z39" i="6"/>
  <c r="AA39" i="6"/>
  <c r="AB39" i="6"/>
  <c r="AC39" i="6"/>
  <c r="AD39" i="6"/>
  <c r="AE39" i="6"/>
  <c r="AF39" i="6"/>
  <c r="AG39" i="6"/>
  <c r="V40" i="6"/>
  <c r="W40" i="6"/>
  <c r="X40" i="6"/>
  <c r="Y40" i="6"/>
  <c r="Z40" i="6"/>
  <c r="AA40" i="6"/>
  <c r="AB40" i="6"/>
  <c r="AC40" i="6"/>
  <c r="AD40" i="6"/>
  <c r="AE40" i="6"/>
  <c r="AF40" i="6"/>
  <c r="AG40" i="6"/>
  <c r="V41" i="6"/>
  <c r="W41" i="6"/>
  <c r="X41" i="6"/>
  <c r="Y41" i="6"/>
  <c r="Z41" i="6"/>
  <c r="AA41" i="6"/>
  <c r="AB41" i="6"/>
  <c r="AC41" i="6"/>
  <c r="AD41" i="6"/>
  <c r="AE41" i="6"/>
  <c r="AF41" i="6"/>
  <c r="AG41" i="6"/>
  <c r="V42" i="6"/>
  <c r="W42" i="6"/>
  <c r="X42" i="6"/>
  <c r="Y42" i="6"/>
  <c r="Z42" i="6"/>
  <c r="AA42" i="6"/>
  <c r="AB42" i="6"/>
  <c r="AC42" i="6"/>
  <c r="AD42" i="6"/>
  <c r="AE42" i="6"/>
  <c r="AF42" i="6"/>
  <c r="AG42" i="6"/>
  <c r="V43" i="6"/>
  <c r="W43" i="6"/>
  <c r="X43" i="6"/>
  <c r="Y43" i="6"/>
  <c r="Z43" i="6"/>
  <c r="AA43" i="6"/>
  <c r="AB43" i="6"/>
  <c r="AC43" i="6"/>
  <c r="AD43" i="6"/>
  <c r="AE43" i="6"/>
  <c r="AF43" i="6"/>
  <c r="AG43" i="6"/>
  <c r="V44" i="6"/>
  <c r="W44" i="6"/>
  <c r="X44" i="6"/>
  <c r="Y44" i="6"/>
  <c r="Z44" i="6"/>
  <c r="AA44" i="6"/>
  <c r="AB44" i="6"/>
  <c r="AC44" i="6"/>
  <c r="AD44" i="6"/>
  <c r="AE44" i="6"/>
  <c r="AF44" i="6"/>
  <c r="AG44" i="6"/>
  <c r="V45" i="6"/>
  <c r="W45" i="6"/>
  <c r="X45" i="6"/>
  <c r="Y45" i="6"/>
  <c r="Z45" i="6"/>
  <c r="AA45" i="6"/>
  <c r="AB45" i="6"/>
  <c r="AC45" i="6"/>
  <c r="AD45" i="6"/>
  <c r="AE45" i="6"/>
  <c r="AF45" i="6"/>
  <c r="AG45" i="6"/>
  <c r="V46" i="6"/>
  <c r="W46" i="6"/>
  <c r="X46" i="6"/>
  <c r="Y46" i="6"/>
  <c r="Z46" i="6"/>
  <c r="AA46" i="6"/>
  <c r="AB46" i="6"/>
  <c r="AC46" i="6"/>
  <c r="AD46" i="6"/>
  <c r="AE46" i="6"/>
  <c r="AF46" i="6"/>
  <c r="AG46" i="6"/>
  <c r="V47" i="6"/>
  <c r="W47" i="6"/>
  <c r="X47" i="6"/>
  <c r="Y47" i="6"/>
  <c r="Z47" i="6"/>
  <c r="AA47" i="6"/>
  <c r="AB47" i="6"/>
  <c r="AC47" i="6"/>
  <c r="AD47" i="6"/>
  <c r="AE47" i="6"/>
  <c r="AF47" i="6"/>
  <c r="AG47" i="6"/>
  <c r="V48" i="6"/>
  <c r="W48" i="6"/>
  <c r="X48" i="6"/>
  <c r="Y48" i="6"/>
  <c r="Z48" i="6"/>
  <c r="AA48" i="6"/>
  <c r="AB48" i="6"/>
  <c r="AC48" i="6"/>
  <c r="AD48" i="6"/>
  <c r="AE48" i="6"/>
  <c r="AF48" i="6"/>
  <c r="AG48" i="6"/>
  <c r="V49" i="6"/>
  <c r="W49" i="6"/>
  <c r="X49" i="6"/>
  <c r="Y49" i="6"/>
  <c r="Z49" i="6"/>
  <c r="AA49" i="6"/>
  <c r="AB49" i="6"/>
  <c r="AC49" i="6"/>
  <c r="AD49" i="6"/>
  <c r="AE49" i="6"/>
  <c r="AF49" i="6"/>
  <c r="AG49" i="6"/>
  <c r="V50" i="6"/>
  <c r="W50" i="6"/>
  <c r="X50" i="6"/>
  <c r="Y50" i="6"/>
  <c r="Z50" i="6"/>
  <c r="AA50" i="6"/>
  <c r="AB50" i="6"/>
  <c r="AC50" i="6"/>
  <c r="AD50" i="6"/>
  <c r="AE50" i="6"/>
  <c r="AF50" i="6"/>
  <c r="AG50" i="6"/>
  <c r="W32" i="6"/>
  <c r="X32" i="6"/>
  <c r="Y32" i="6"/>
  <c r="Z32" i="6"/>
  <c r="AA32" i="6"/>
  <c r="AB32" i="6"/>
  <c r="AC32" i="6"/>
  <c r="AD32" i="6"/>
  <c r="AE32" i="6"/>
  <c r="AF32" i="6"/>
  <c r="AG32" i="6"/>
  <c r="V32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K32" i="6"/>
  <c r="AL32" i="6"/>
  <c r="AM32" i="6"/>
  <c r="AN32" i="6"/>
  <c r="AO32" i="6"/>
  <c r="AP32" i="6"/>
  <c r="AQ32" i="6"/>
  <c r="AR32" i="6"/>
  <c r="AS32" i="6"/>
  <c r="AT32" i="6"/>
  <c r="AU32" i="6"/>
  <c r="AJ32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AX46" i="6"/>
  <c r="AY46" i="6"/>
  <c r="AZ46" i="6"/>
  <c r="BA46" i="6"/>
  <c r="BB46" i="6"/>
  <c r="BC46" i="6"/>
  <c r="BD46" i="6"/>
  <c r="BE46" i="6"/>
  <c r="BF46" i="6"/>
  <c r="BG46" i="6"/>
  <c r="BH46" i="6"/>
  <c r="BI46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AY32" i="6"/>
  <c r="AZ32" i="6"/>
  <c r="BA32" i="6"/>
  <c r="BB32" i="6"/>
  <c r="BC32" i="6"/>
  <c r="BD32" i="6"/>
  <c r="BE32" i="6"/>
  <c r="BF32" i="6"/>
  <c r="BG32" i="6"/>
  <c r="BH32" i="6"/>
  <c r="BI32" i="6"/>
  <c r="AX32" i="6"/>
  <c r="BL33" i="6"/>
  <c r="BM33" i="6"/>
  <c r="BN33" i="6"/>
  <c r="BO33" i="6"/>
  <c r="BP33" i="6"/>
  <c r="BQ33" i="6"/>
  <c r="BR33" i="6"/>
  <c r="BS33" i="6"/>
  <c r="BT33" i="6"/>
  <c r="BU33" i="6"/>
  <c r="BV33" i="6"/>
  <c r="BW33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L35" i="6"/>
  <c r="BM35" i="6"/>
  <c r="BN35" i="6"/>
  <c r="BO35" i="6"/>
  <c r="BP35" i="6"/>
  <c r="BQ35" i="6"/>
  <c r="BR35" i="6"/>
  <c r="BS35" i="6"/>
  <c r="BT35" i="6"/>
  <c r="BU35" i="6"/>
  <c r="BV35" i="6"/>
  <c r="BW35" i="6"/>
  <c r="BL36" i="6"/>
  <c r="BM36" i="6"/>
  <c r="BN36" i="6"/>
  <c r="BO36" i="6"/>
  <c r="BP36" i="6"/>
  <c r="BQ36" i="6"/>
  <c r="BR36" i="6"/>
  <c r="BS36" i="6"/>
  <c r="BT36" i="6"/>
  <c r="BU36" i="6"/>
  <c r="BV36" i="6"/>
  <c r="BW36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L46" i="6"/>
  <c r="BM46" i="6"/>
  <c r="BN46" i="6"/>
  <c r="BO46" i="6"/>
  <c r="BP46" i="6"/>
  <c r="BQ46" i="6"/>
  <c r="BR46" i="6"/>
  <c r="BS46" i="6"/>
  <c r="BT46" i="6"/>
  <c r="BU46" i="6"/>
  <c r="BV46" i="6"/>
  <c r="BW46" i="6"/>
  <c r="BL47" i="6"/>
  <c r="BM47" i="6"/>
  <c r="BN47" i="6"/>
  <c r="BO47" i="6"/>
  <c r="BP47" i="6"/>
  <c r="BQ47" i="6"/>
  <c r="BR47" i="6"/>
  <c r="BS47" i="6"/>
  <c r="BT47" i="6"/>
  <c r="BU47" i="6"/>
  <c r="BV47" i="6"/>
  <c r="BW47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L50" i="6"/>
  <c r="BM50" i="6"/>
  <c r="BN50" i="6"/>
  <c r="BO50" i="6"/>
  <c r="BP50" i="6"/>
  <c r="BQ50" i="6"/>
  <c r="BR50" i="6"/>
  <c r="BS50" i="6"/>
  <c r="BT50" i="6"/>
  <c r="BU50" i="6"/>
  <c r="BV50" i="6"/>
  <c r="BW50" i="6"/>
  <c r="BM32" i="6"/>
  <c r="BN32" i="6"/>
  <c r="BO32" i="6"/>
  <c r="BP32" i="6"/>
  <c r="BQ32" i="6"/>
  <c r="BR32" i="6"/>
  <c r="BS32" i="6"/>
  <c r="BT32" i="6"/>
  <c r="BU32" i="6"/>
  <c r="BV32" i="6"/>
  <c r="BW32" i="6"/>
  <c r="BL32" i="6"/>
  <c r="BZ33" i="6"/>
  <c r="CA33" i="6"/>
  <c r="CB33" i="6"/>
  <c r="CC33" i="6"/>
  <c r="CD33" i="6"/>
  <c r="CE33" i="6"/>
  <c r="CF33" i="6"/>
  <c r="CG33" i="6"/>
  <c r="CH33" i="6"/>
  <c r="CI33" i="6"/>
  <c r="CJ33" i="6"/>
  <c r="CK33" i="6"/>
  <c r="BZ34" i="6"/>
  <c r="CA34" i="6"/>
  <c r="CB34" i="6"/>
  <c r="CC34" i="6"/>
  <c r="CD34" i="6"/>
  <c r="CE34" i="6"/>
  <c r="CF34" i="6"/>
  <c r="CG34" i="6"/>
  <c r="CH34" i="6"/>
  <c r="CI34" i="6"/>
  <c r="CJ34" i="6"/>
  <c r="CK34" i="6"/>
  <c r="BZ35" i="6"/>
  <c r="CA35" i="6"/>
  <c r="CB35" i="6"/>
  <c r="CC35" i="6"/>
  <c r="CD35" i="6"/>
  <c r="CE35" i="6"/>
  <c r="CF35" i="6"/>
  <c r="CG35" i="6"/>
  <c r="CH35" i="6"/>
  <c r="CI35" i="6"/>
  <c r="CJ35" i="6"/>
  <c r="CK35" i="6"/>
  <c r="BZ36" i="6"/>
  <c r="CA36" i="6"/>
  <c r="CB36" i="6"/>
  <c r="CC36" i="6"/>
  <c r="CD36" i="6"/>
  <c r="CE36" i="6"/>
  <c r="CF36" i="6"/>
  <c r="CG36" i="6"/>
  <c r="CH36" i="6"/>
  <c r="CI36" i="6"/>
  <c r="CJ36" i="6"/>
  <c r="CK36" i="6"/>
  <c r="BZ37" i="6"/>
  <c r="CA37" i="6"/>
  <c r="CB37" i="6"/>
  <c r="CC37" i="6"/>
  <c r="CD37" i="6"/>
  <c r="CE37" i="6"/>
  <c r="CF37" i="6"/>
  <c r="CG37" i="6"/>
  <c r="CH37" i="6"/>
  <c r="CI37" i="6"/>
  <c r="CJ37" i="6"/>
  <c r="CK37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BZ39" i="6"/>
  <c r="CA39" i="6"/>
  <c r="CB39" i="6"/>
  <c r="CC39" i="6"/>
  <c r="CD39" i="6"/>
  <c r="CE39" i="6"/>
  <c r="CF39" i="6"/>
  <c r="CG39" i="6"/>
  <c r="CH39" i="6"/>
  <c r="CI39" i="6"/>
  <c r="CJ39" i="6"/>
  <c r="CK39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BZ41" i="6"/>
  <c r="CA41" i="6"/>
  <c r="CB41" i="6"/>
  <c r="CC41" i="6"/>
  <c r="CD41" i="6"/>
  <c r="CE41" i="6"/>
  <c r="CF41" i="6"/>
  <c r="CG41" i="6"/>
  <c r="CH41" i="6"/>
  <c r="CI41" i="6"/>
  <c r="CJ41" i="6"/>
  <c r="CK41" i="6"/>
  <c r="BZ42" i="6"/>
  <c r="CA42" i="6"/>
  <c r="CB42" i="6"/>
  <c r="CC42" i="6"/>
  <c r="CD42" i="6"/>
  <c r="CE42" i="6"/>
  <c r="CF42" i="6"/>
  <c r="CG42" i="6"/>
  <c r="CH42" i="6"/>
  <c r="CI42" i="6"/>
  <c r="CJ42" i="6"/>
  <c r="CK42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BZ46" i="6"/>
  <c r="CA46" i="6"/>
  <c r="CB46" i="6"/>
  <c r="CC46" i="6"/>
  <c r="CD46" i="6"/>
  <c r="CE46" i="6"/>
  <c r="CF46" i="6"/>
  <c r="CG46" i="6"/>
  <c r="CH46" i="6"/>
  <c r="CI46" i="6"/>
  <c r="CJ46" i="6"/>
  <c r="CK46" i="6"/>
  <c r="BZ47" i="6"/>
  <c r="CA47" i="6"/>
  <c r="CB47" i="6"/>
  <c r="CC47" i="6"/>
  <c r="CD47" i="6"/>
  <c r="CE47" i="6"/>
  <c r="CF47" i="6"/>
  <c r="CG47" i="6"/>
  <c r="CH47" i="6"/>
  <c r="CI47" i="6"/>
  <c r="CJ47" i="6"/>
  <c r="CK47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BZ49" i="6"/>
  <c r="CA49" i="6"/>
  <c r="CB49" i="6"/>
  <c r="CC49" i="6"/>
  <c r="CD49" i="6"/>
  <c r="CE49" i="6"/>
  <c r="CF49" i="6"/>
  <c r="CG49" i="6"/>
  <c r="CH49" i="6"/>
  <c r="CI49" i="6"/>
  <c r="CJ49" i="6"/>
  <c r="CK49" i="6"/>
  <c r="BZ50" i="6"/>
  <c r="CA50" i="6"/>
  <c r="CB50" i="6"/>
  <c r="CC50" i="6"/>
  <c r="CD50" i="6"/>
  <c r="CE50" i="6"/>
  <c r="CF50" i="6"/>
  <c r="CG50" i="6"/>
  <c r="CH50" i="6"/>
  <c r="CI50" i="6"/>
  <c r="CJ50" i="6"/>
  <c r="CK50" i="6"/>
  <c r="CA32" i="6"/>
  <c r="CB32" i="6"/>
  <c r="CC32" i="6"/>
  <c r="CD32" i="6"/>
  <c r="CE32" i="6"/>
  <c r="CF32" i="6"/>
  <c r="CG32" i="6"/>
  <c r="CH32" i="6"/>
  <c r="CI32" i="6"/>
  <c r="CJ32" i="6"/>
  <c r="CK32" i="6"/>
  <c r="BZ32" i="6"/>
  <c r="CN33" i="6"/>
  <c r="CO33" i="6"/>
  <c r="CP33" i="6"/>
  <c r="CQ33" i="6"/>
  <c r="CR33" i="6"/>
  <c r="CS33" i="6"/>
  <c r="CT33" i="6"/>
  <c r="CU33" i="6"/>
  <c r="CV33" i="6"/>
  <c r="CW33" i="6"/>
  <c r="CX33" i="6"/>
  <c r="CY33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N35" i="6"/>
  <c r="CO35" i="6"/>
  <c r="CP35" i="6"/>
  <c r="CQ35" i="6"/>
  <c r="CR35" i="6"/>
  <c r="CS35" i="6"/>
  <c r="CT35" i="6"/>
  <c r="CU35" i="6"/>
  <c r="CV35" i="6"/>
  <c r="CW35" i="6"/>
  <c r="CX35" i="6"/>
  <c r="CY35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N47" i="6"/>
  <c r="CO47" i="6"/>
  <c r="CP47" i="6"/>
  <c r="CQ47" i="6"/>
  <c r="CR47" i="6"/>
  <c r="CS47" i="6"/>
  <c r="CT47" i="6"/>
  <c r="CU47" i="6"/>
  <c r="CV47" i="6"/>
  <c r="CW47" i="6"/>
  <c r="CX47" i="6"/>
  <c r="CY47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N49" i="6"/>
  <c r="CO49" i="6"/>
  <c r="CP49" i="6"/>
  <c r="CQ49" i="6"/>
  <c r="CR49" i="6"/>
  <c r="CS49" i="6"/>
  <c r="CT49" i="6"/>
  <c r="CU49" i="6"/>
  <c r="CV49" i="6"/>
  <c r="CW49" i="6"/>
  <c r="CX49" i="6"/>
  <c r="CY49" i="6"/>
  <c r="CN50" i="6"/>
  <c r="CO50" i="6"/>
  <c r="CP50" i="6"/>
  <c r="CQ50" i="6"/>
  <c r="CR50" i="6"/>
  <c r="CS50" i="6"/>
  <c r="CT50" i="6"/>
  <c r="CU50" i="6"/>
  <c r="CV50" i="6"/>
  <c r="CW50" i="6"/>
  <c r="CX50" i="6"/>
  <c r="CY50" i="6"/>
  <c r="CO32" i="6"/>
  <c r="CP32" i="6"/>
  <c r="CQ32" i="6"/>
  <c r="CR32" i="6"/>
  <c r="CS32" i="6"/>
  <c r="CT32" i="6"/>
  <c r="CU32" i="6"/>
  <c r="CV32" i="6"/>
  <c r="CW32" i="6"/>
  <c r="CX32" i="6"/>
  <c r="CY32" i="6"/>
  <c r="CN32" i="6"/>
  <c r="DB33" i="6"/>
  <c r="DC33" i="6"/>
  <c r="DD33" i="6"/>
  <c r="DE33" i="6"/>
  <c r="DF33" i="6"/>
  <c r="DG33" i="6"/>
  <c r="DH33" i="6"/>
  <c r="DI33" i="6"/>
  <c r="DJ33" i="6"/>
  <c r="DK33" i="6"/>
  <c r="DL33" i="6"/>
  <c r="DM33" i="6"/>
  <c r="DB34" i="6"/>
  <c r="DC34" i="6"/>
  <c r="DD34" i="6"/>
  <c r="DE34" i="6"/>
  <c r="DF34" i="6"/>
  <c r="DG34" i="6"/>
  <c r="DH34" i="6"/>
  <c r="DI34" i="6"/>
  <c r="DJ34" i="6"/>
  <c r="DK34" i="6"/>
  <c r="DL34" i="6"/>
  <c r="DM34" i="6"/>
  <c r="DB35" i="6"/>
  <c r="DC35" i="6"/>
  <c r="DD35" i="6"/>
  <c r="DE35" i="6"/>
  <c r="DF35" i="6"/>
  <c r="DG35" i="6"/>
  <c r="DH35" i="6"/>
  <c r="DI35" i="6"/>
  <c r="DJ35" i="6"/>
  <c r="DK35" i="6"/>
  <c r="DL35" i="6"/>
  <c r="DM35" i="6"/>
  <c r="DB36" i="6"/>
  <c r="DC36" i="6"/>
  <c r="DD36" i="6"/>
  <c r="DE36" i="6"/>
  <c r="DF36" i="6"/>
  <c r="DG36" i="6"/>
  <c r="DH36" i="6"/>
  <c r="DI36" i="6"/>
  <c r="DJ36" i="6"/>
  <c r="DK36" i="6"/>
  <c r="DL36" i="6"/>
  <c r="DM36" i="6"/>
  <c r="DB37" i="6"/>
  <c r="DC37" i="6"/>
  <c r="DD37" i="6"/>
  <c r="DE37" i="6"/>
  <c r="DF37" i="6"/>
  <c r="DG37" i="6"/>
  <c r="DH37" i="6"/>
  <c r="DI37" i="6"/>
  <c r="DJ37" i="6"/>
  <c r="DK37" i="6"/>
  <c r="DL37" i="6"/>
  <c r="DM37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B39" i="6"/>
  <c r="DC39" i="6"/>
  <c r="DD39" i="6"/>
  <c r="DE39" i="6"/>
  <c r="DF39" i="6"/>
  <c r="DG39" i="6"/>
  <c r="DH39" i="6"/>
  <c r="DI39" i="6"/>
  <c r="DJ39" i="6"/>
  <c r="DK39" i="6"/>
  <c r="DL39" i="6"/>
  <c r="DM39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B41" i="6"/>
  <c r="DC41" i="6"/>
  <c r="DD41" i="6"/>
  <c r="DE41" i="6"/>
  <c r="DF41" i="6"/>
  <c r="DG41" i="6"/>
  <c r="DH41" i="6"/>
  <c r="DI41" i="6"/>
  <c r="DJ41" i="6"/>
  <c r="DK41" i="6"/>
  <c r="DL41" i="6"/>
  <c r="DM41" i="6"/>
  <c r="DB42" i="6"/>
  <c r="DC42" i="6"/>
  <c r="DD42" i="6"/>
  <c r="DE42" i="6"/>
  <c r="DF42" i="6"/>
  <c r="DG42" i="6"/>
  <c r="DH42" i="6"/>
  <c r="DI42" i="6"/>
  <c r="DJ42" i="6"/>
  <c r="DK42" i="6"/>
  <c r="DL42" i="6"/>
  <c r="DM42" i="6"/>
  <c r="DB43" i="6"/>
  <c r="DC43" i="6"/>
  <c r="DD43" i="6"/>
  <c r="DE43" i="6"/>
  <c r="DF43" i="6"/>
  <c r="DG43" i="6"/>
  <c r="DH43" i="6"/>
  <c r="DI43" i="6"/>
  <c r="DJ43" i="6"/>
  <c r="DK43" i="6"/>
  <c r="DL43" i="6"/>
  <c r="DM43" i="6"/>
  <c r="DB44" i="6"/>
  <c r="DC44" i="6"/>
  <c r="DD44" i="6"/>
  <c r="DE44" i="6"/>
  <c r="DF44" i="6"/>
  <c r="DG44" i="6"/>
  <c r="DH44" i="6"/>
  <c r="DI44" i="6"/>
  <c r="DJ44" i="6"/>
  <c r="DK44" i="6"/>
  <c r="DL44" i="6"/>
  <c r="DM44" i="6"/>
  <c r="DB45" i="6"/>
  <c r="DC45" i="6"/>
  <c r="DD45" i="6"/>
  <c r="DE45" i="6"/>
  <c r="DF45" i="6"/>
  <c r="DG45" i="6"/>
  <c r="DH45" i="6"/>
  <c r="DI45" i="6"/>
  <c r="DJ45" i="6"/>
  <c r="DK45" i="6"/>
  <c r="DL45" i="6"/>
  <c r="DM45" i="6"/>
  <c r="DB46" i="6"/>
  <c r="DC46" i="6"/>
  <c r="DD46" i="6"/>
  <c r="DE46" i="6"/>
  <c r="DF46" i="6"/>
  <c r="DG46" i="6"/>
  <c r="DH46" i="6"/>
  <c r="DI46" i="6"/>
  <c r="DJ46" i="6"/>
  <c r="DK46" i="6"/>
  <c r="DL46" i="6"/>
  <c r="DM46" i="6"/>
  <c r="DB47" i="6"/>
  <c r="DC47" i="6"/>
  <c r="DD47" i="6"/>
  <c r="DE47" i="6"/>
  <c r="DF47" i="6"/>
  <c r="DG47" i="6"/>
  <c r="DH47" i="6"/>
  <c r="DI47" i="6"/>
  <c r="DJ47" i="6"/>
  <c r="DK47" i="6"/>
  <c r="DL47" i="6"/>
  <c r="DM47" i="6"/>
  <c r="DB48" i="6"/>
  <c r="DC48" i="6"/>
  <c r="DD48" i="6"/>
  <c r="DE48" i="6"/>
  <c r="DF48" i="6"/>
  <c r="DG48" i="6"/>
  <c r="DH48" i="6"/>
  <c r="DI48" i="6"/>
  <c r="DJ48" i="6"/>
  <c r="DK48" i="6"/>
  <c r="DL48" i="6"/>
  <c r="DM48" i="6"/>
  <c r="DB49" i="6"/>
  <c r="DC49" i="6"/>
  <c r="DD49" i="6"/>
  <c r="DE49" i="6"/>
  <c r="DF49" i="6"/>
  <c r="DG49" i="6"/>
  <c r="DH49" i="6"/>
  <c r="DI49" i="6"/>
  <c r="DJ49" i="6"/>
  <c r="DK49" i="6"/>
  <c r="DL49" i="6"/>
  <c r="DM49" i="6"/>
  <c r="DB50" i="6"/>
  <c r="DC50" i="6"/>
  <c r="DD50" i="6"/>
  <c r="DE50" i="6"/>
  <c r="DF50" i="6"/>
  <c r="DG50" i="6"/>
  <c r="DH50" i="6"/>
  <c r="DI50" i="6"/>
  <c r="DJ50" i="6"/>
  <c r="DK50" i="6"/>
  <c r="DL50" i="6"/>
  <c r="DM50" i="6"/>
  <c r="DC32" i="6"/>
  <c r="DD32" i="6"/>
  <c r="DE32" i="6"/>
  <c r="DF32" i="6"/>
  <c r="DG32" i="6"/>
  <c r="DH32" i="6"/>
  <c r="DI32" i="6"/>
  <c r="DJ32" i="6"/>
  <c r="DK32" i="6"/>
  <c r="DL32" i="6"/>
  <c r="DM32" i="6"/>
  <c r="DB32" i="6"/>
  <c r="DC5" i="6"/>
  <c r="DD5" i="6"/>
  <c r="DE5" i="6"/>
  <c r="DF5" i="6"/>
  <c r="DG5" i="6"/>
  <c r="DH5" i="6"/>
  <c r="DI5" i="6"/>
  <c r="DJ5" i="6"/>
  <c r="DK5" i="6"/>
  <c r="DL5" i="6"/>
  <c r="DM5" i="6"/>
  <c r="DC6" i="6"/>
  <c r="DD6" i="6"/>
  <c r="DE6" i="6"/>
  <c r="DF6" i="6"/>
  <c r="DG6" i="6"/>
  <c r="DH6" i="6"/>
  <c r="DI6" i="6"/>
  <c r="DJ6" i="6"/>
  <c r="DK6" i="6"/>
  <c r="DL6" i="6"/>
  <c r="DM6" i="6"/>
  <c r="DC7" i="6"/>
  <c r="DD7" i="6"/>
  <c r="DE7" i="6"/>
  <c r="DF7" i="6"/>
  <c r="DG7" i="6"/>
  <c r="DH7" i="6"/>
  <c r="DI7" i="6"/>
  <c r="DJ7" i="6"/>
  <c r="DK7" i="6"/>
  <c r="DL7" i="6"/>
  <c r="DM7" i="6"/>
  <c r="DC8" i="6"/>
  <c r="DD8" i="6"/>
  <c r="DE8" i="6"/>
  <c r="DF8" i="6"/>
  <c r="DG8" i="6"/>
  <c r="DH8" i="6"/>
  <c r="DI8" i="6"/>
  <c r="DJ8" i="6"/>
  <c r="DK8" i="6"/>
  <c r="DL8" i="6"/>
  <c r="DM8" i="6"/>
  <c r="DC9" i="6"/>
  <c r="DD9" i="6"/>
  <c r="DE9" i="6"/>
  <c r="DF9" i="6"/>
  <c r="DG9" i="6"/>
  <c r="DH9" i="6"/>
  <c r="DI9" i="6"/>
  <c r="DJ9" i="6"/>
  <c r="DK9" i="6"/>
  <c r="DL9" i="6"/>
  <c r="DM9" i="6"/>
  <c r="DC10" i="6"/>
  <c r="DD10" i="6"/>
  <c r="DE10" i="6"/>
  <c r="DF10" i="6"/>
  <c r="DG10" i="6"/>
  <c r="DH10" i="6"/>
  <c r="DI10" i="6"/>
  <c r="DJ10" i="6"/>
  <c r="DK10" i="6"/>
  <c r="DL10" i="6"/>
  <c r="DM10" i="6"/>
  <c r="DC11" i="6"/>
  <c r="DD11" i="6"/>
  <c r="DE11" i="6"/>
  <c r="DF11" i="6"/>
  <c r="DG11" i="6"/>
  <c r="DH11" i="6"/>
  <c r="DI11" i="6"/>
  <c r="DJ11" i="6"/>
  <c r="DK11" i="6"/>
  <c r="DL11" i="6"/>
  <c r="DM11" i="6"/>
  <c r="DC12" i="6"/>
  <c r="DD12" i="6"/>
  <c r="DE12" i="6"/>
  <c r="DF12" i="6"/>
  <c r="DG12" i="6"/>
  <c r="DH12" i="6"/>
  <c r="DI12" i="6"/>
  <c r="DJ12" i="6"/>
  <c r="DK12" i="6"/>
  <c r="DL12" i="6"/>
  <c r="DM12" i="6"/>
  <c r="DC13" i="6"/>
  <c r="DD13" i="6"/>
  <c r="DE13" i="6"/>
  <c r="DF13" i="6"/>
  <c r="DG13" i="6"/>
  <c r="DH13" i="6"/>
  <c r="DI13" i="6"/>
  <c r="DJ13" i="6"/>
  <c r="DK13" i="6"/>
  <c r="DL13" i="6"/>
  <c r="DM13" i="6"/>
  <c r="DC14" i="6"/>
  <c r="DD14" i="6"/>
  <c r="DE14" i="6"/>
  <c r="DF14" i="6"/>
  <c r="DG14" i="6"/>
  <c r="DH14" i="6"/>
  <c r="DI14" i="6"/>
  <c r="DJ14" i="6"/>
  <c r="DK14" i="6"/>
  <c r="DL14" i="6"/>
  <c r="DM14" i="6"/>
  <c r="DC15" i="6"/>
  <c r="DD15" i="6"/>
  <c r="DE15" i="6"/>
  <c r="DF15" i="6"/>
  <c r="DG15" i="6"/>
  <c r="DH15" i="6"/>
  <c r="DI15" i="6"/>
  <c r="DJ15" i="6"/>
  <c r="DK15" i="6"/>
  <c r="DL15" i="6"/>
  <c r="DM15" i="6"/>
  <c r="DC16" i="6"/>
  <c r="DD16" i="6"/>
  <c r="DE16" i="6"/>
  <c r="DF16" i="6"/>
  <c r="DG16" i="6"/>
  <c r="DH16" i="6"/>
  <c r="DI16" i="6"/>
  <c r="DJ16" i="6"/>
  <c r="DK16" i="6"/>
  <c r="DL16" i="6"/>
  <c r="DM16" i="6"/>
  <c r="DC17" i="6"/>
  <c r="DD17" i="6"/>
  <c r="DE17" i="6"/>
  <c r="DF17" i="6"/>
  <c r="DG17" i="6"/>
  <c r="DH17" i="6"/>
  <c r="DI17" i="6"/>
  <c r="DJ17" i="6"/>
  <c r="DK17" i="6"/>
  <c r="DL17" i="6"/>
  <c r="DM17" i="6"/>
  <c r="DC18" i="6"/>
  <c r="DD18" i="6"/>
  <c r="DE18" i="6"/>
  <c r="DF18" i="6"/>
  <c r="DG18" i="6"/>
  <c r="DH18" i="6"/>
  <c r="DI18" i="6"/>
  <c r="DJ18" i="6"/>
  <c r="DK18" i="6"/>
  <c r="DL18" i="6"/>
  <c r="DM18" i="6"/>
  <c r="DC19" i="6"/>
  <c r="DD19" i="6"/>
  <c r="DE19" i="6"/>
  <c r="DF19" i="6"/>
  <c r="DG19" i="6"/>
  <c r="DH19" i="6"/>
  <c r="DI19" i="6"/>
  <c r="DJ19" i="6"/>
  <c r="DK19" i="6"/>
  <c r="DL19" i="6"/>
  <c r="DM19" i="6"/>
  <c r="DC20" i="6"/>
  <c r="DD20" i="6"/>
  <c r="DE20" i="6"/>
  <c r="DF20" i="6"/>
  <c r="DG20" i="6"/>
  <c r="DH20" i="6"/>
  <c r="DI20" i="6"/>
  <c r="DJ20" i="6"/>
  <c r="DK20" i="6"/>
  <c r="DL20" i="6"/>
  <c r="DM20" i="6"/>
  <c r="DC21" i="6"/>
  <c r="DD21" i="6"/>
  <c r="DE21" i="6"/>
  <c r="DF21" i="6"/>
  <c r="DG21" i="6"/>
  <c r="DH21" i="6"/>
  <c r="DI21" i="6"/>
  <c r="DJ21" i="6"/>
  <c r="DK21" i="6"/>
  <c r="DL21" i="6"/>
  <c r="DM21" i="6"/>
  <c r="DC22" i="6"/>
  <c r="DD22" i="6"/>
  <c r="DE22" i="6"/>
  <c r="DF22" i="6"/>
  <c r="DG22" i="6"/>
  <c r="DH22" i="6"/>
  <c r="DI22" i="6"/>
  <c r="DJ22" i="6"/>
  <c r="DK22" i="6"/>
  <c r="DL22" i="6"/>
  <c r="DM22" i="6"/>
  <c r="DC23" i="6"/>
  <c r="DD23" i="6"/>
  <c r="DE23" i="6"/>
  <c r="DF23" i="6"/>
  <c r="DG23" i="6"/>
  <c r="DH23" i="6"/>
  <c r="DI23" i="6"/>
  <c r="DJ23" i="6"/>
  <c r="DK23" i="6"/>
  <c r="DL23" i="6"/>
  <c r="DM23" i="6"/>
  <c r="DB6" i="6"/>
  <c r="DB7" i="6"/>
  <c r="DB8" i="6"/>
  <c r="DB9" i="6"/>
  <c r="DB10" i="6"/>
  <c r="DB11" i="6"/>
  <c r="DB12" i="6"/>
  <c r="DB13" i="6"/>
  <c r="DB14" i="6"/>
  <c r="DB15" i="6"/>
  <c r="DB16" i="6"/>
  <c r="DB17" i="6"/>
  <c r="DB18" i="6"/>
  <c r="DB19" i="6"/>
  <c r="DB20" i="6"/>
  <c r="DB21" i="6"/>
  <c r="DB22" i="6"/>
  <c r="DB23" i="6"/>
  <c r="DB5" i="6"/>
  <c r="CO5" i="6"/>
  <c r="CP5" i="6"/>
  <c r="CQ5" i="6"/>
  <c r="CR5" i="6"/>
  <c r="CS5" i="6"/>
  <c r="CT5" i="6"/>
  <c r="CU5" i="6"/>
  <c r="CV5" i="6"/>
  <c r="CW5" i="6"/>
  <c r="CX5" i="6"/>
  <c r="CY5" i="6"/>
  <c r="CO6" i="6"/>
  <c r="CP6" i="6"/>
  <c r="CQ6" i="6"/>
  <c r="CR6" i="6"/>
  <c r="CS6" i="6"/>
  <c r="CT6" i="6"/>
  <c r="CU6" i="6"/>
  <c r="CV6" i="6"/>
  <c r="CW6" i="6"/>
  <c r="CX6" i="6"/>
  <c r="CY6" i="6"/>
  <c r="CO7" i="6"/>
  <c r="CP7" i="6"/>
  <c r="CQ7" i="6"/>
  <c r="CR7" i="6"/>
  <c r="CS7" i="6"/>
  <c r="CT7" i="6"/>
  <c r="CU7" i="6"/>
  <c r="CV7" i="6"/>
  <c r="CW7" i="6"/>
  <c r="CX7" i="6"/>
  <c r="CY7" i="6"/>
  <c r="CO8" i="6"/>
  <c r="CP8" i="6"/>
  <c r="CQ8" i="6"/>
  <c r="CR8" i="6"/>
  <c r="CS8" i="6"/>
  <c r="CT8" i="6"/>
  <c r="CU8" i="6"/>
  <c r="CV8" i="6"/>
  <c r="CW8" i="6"/>
  <c r="CX8" i="6"/>
  <c r="CY8" i="6"/>
  <c r="CO9" i="6"/>
  <c r="CP9" i="6"/>
  <c r="CQ9" i="6"/>
  <c r="CR9" i="6"/>
  <c r="CS9" i="6"/>
  <c r="CT9" i="6"/>
  <c r="CU9" i="6"/>
  <c r="CV9" i="6"/>
  <c r="CW9" i="6"/>
  <c r="CX9" i="6"/>
  <c r="CY9" i="6"/>
  <c r="CO10" i="6"/>
  <c r="CP10" i="6"/>
  <c r="CQ10" i="6"/>
  <c r="CR10" i="6"/>
  <c r="CS10" i="6"/>
  <c r="CT10" i="6"/>
  <c r="CU10" i="6"/>
  <c r="CV10" i="6"/>
  <c r="CW10" i="6"/>
  <c r="CX10" i="6"/>
  <c r="CY10" i="6"/>
  <c r="CO11" i="6"/>
  <c r="CP11" i="6"/>
  <c r="CQ11" i="6"/>
  <c r="CR11" i="6"/>
  <c r="CS11" i="6"/>
  <c r="CT11" i="6"/>
  <c r="CU11" i="6"/>
  <c r="CV11" i="6"/>
  <c r="CW11" i="6"/>
  <c r="CX11" i="6"/>
  <c r="CY11" i="6"/>
  <c r="CO12" i="6"/>
  <c r="CP12" i="6"/>
  <c r="CQ12" i="6"/>
  <c r="CR12" i="6"/>
  <c r="CS12" i="6"/>
  <c r="CT12" i="6"/>
  <c r="CU12" i="6"/>
  <c r="CV12" i="6"/>
  <c r="CW12" i="6"/>
  <c r="CX12" i="6"/>
  <c r="CY12" i="6"/>
  <c r="CO13" i="6"/>
  <c r="CP13" i="6"/>
  <c r="CQ13" i="6"/>
  <c r="CR13" i="6"/>
  <c r="CS13" i="6"/>
  <c r="CT13" i="6"/>
  <c r="CU13" i="6"/>
  <c r="CV13" i="6"/>
  <c r="CW13" i="6"/>
  <c r="CX13" i="6"/>
  <c r="CY13" i="6"/>
  <c r="CO14" i="6"/>
  <c r="CP14" i="6"/>
  <c r="CQ14" i="6"/>
  <c r="CR14" i="6"/>
  <c r="CS14" i="6"/>
  <c r="CT14" i="6"/>
  <c r="CU14" i="6"/>
  <c r="CV14" i="6"/>
  <c r="CW14" i="6"/>
  <c r="CX14" i="6"/>
  <c r="CY14" i="6"/>
  <c r="CO15" i="6"/>
  <c r="CP15" i="6"/>
  <c r="CQ15" i="6"/>
  <c r="CR15" i="6"/>
  <c r="CS15" i="6"/>
  <c r="CT15" i="6"/>
  <c r="CU15" i="6"/>
  <c r="CV15" i="6"/>
  <c r="CW15" i="6"/>
  <c r="CX15" i="6"/>
  <c r="CY15" i="6"/>
  <c r="CO16" i="6"/>
  <c r="CP16" i="6"/>
  <c r="CQ16" i="6"/>
  <c r="CR16" i="6"/>
  <c r="CS16" i="6"/>
  <c r="CT16" i="6"/>
  <c r="CU16" i="6"/>
  <c r="CV16" i="6"/>
  <c r="CW16" i="6"/>
  <c r="CX16" i="6"/>
  <c r="CY16" i="6"/>
  <c r="CO17" i="6"/>
  <c r="CP17" i="6"/>
  <c r="CQ17" i="6"/>
  <c r="CR17" i="6"/>
  <c r="CS17" i="6"/>
  <c r="CT17" i="6"/>
  <c r="CU17" i="6"/>
  <c r="CV17" i="6"/>
  <c r="CW17" i="6"/>
  <c r="CX17" i="6"/>
  <c r="CY17" i="6"/>
  <c r="CO18" i="6"/>
  <c r="CP18" i="6"/>
  <c r="CQ18" i="6"/>
  <c r="CR18" i="6"/>
  <c r="CS18" i="6"/>
  <c r="CT18" i="6"/>
  <c r="CU18" i="6"/>
  <c r="CV18" i="6"/>
  <c r="CW18" i="6"/>
  <c r="CX18" i="6"/>
  <c r="CY18" i="6"/>
  <c r="CO19" i="6"/>
  <c r="CP19" i="6"/>
  <c r="CQ19" i="6"/>
  <c r="CR19" i="6"/>
  <c r="CS19" i="6"/>
  <c r="CT19" i="6"/>
  <c r="CU19" i="6"/>
  <c r="CV19" i="6"/>
  <c r="CW19" i="6"/>
  <c r="CX19" i="6"/>
  <c r="CY19" i="6"/>
  <c r="CO20" i="6"/>
  <c r="CP20" i="6"/>
  <c r="CQ20" i="6"/>
  <c r="CR20" i="6"/>
  <c r="CS20" i="6"/>
  <c r="CT20" i="6"/>
  <c r="CU20" i="6"/>
  <c r="CV20" i="6"/>
  <c r="CW20" i="6"/>
  <c r="CX20" i="6"/>
  <c r="CY20" i="6"/>
  <c r="CO21" i="6"/>
  <c r="CP21" i="6"/>
  <c r="CQ21" i="6"/>
  <c r="CR21" i="6"/>
  <c r="CS21" i="6"/>
  <c r="CT21" i="6"/>
  <c r="CU21" i="6"/>
  <c r="CV21" i="6"/>
  <c r="CW21" i="6"/>
  <c r="CX21" i="6"/>
  <c r="CY21" i="6"/>
  <c r="CO22" i="6"/>
  <c r="CP22" i="6"/>
  <c r="CQ22" i="6"/>
  <c r="CR22" i="6"/>
  <c r="CS22" i="6"/>
  <c r="CT22" i="6"/>
  <c r="CU22" i="6"/>
  <c r="CV22" i="6"/>
  <c r="CW22" i="6"/>
  <c r="CX22" i="6"/>
  <c r="CY22" i="6"/>
  <c r="CO23" i="6"/>
  <c r="CP23" i="6"/>
  <c r="CQ23" i="6"/>
  <c r="CR23" i="6"/>
  <c r="CS23" i="6"/>
  <c r="CT23" i="6"/>
  <c r="CU23" i="6"/>
  <c r="CV23" i="6"/>
  <c r="CW23" i="6"/>
  <c r="CX23" i="6"/>
  <c r="CY23" i="6"/>
  <c r="CN6" i="6"/>
  <c r="CN7" i="6"/>
  <c r="CN8" i="6"/>
  <c r="CN9" i="6"/>
  <c r="CN10" i="6"/>
  <c r="CN11" i="6"/>
  <c r="CN12" i="6"/>
  <c r="CN13" i="6"/>
  <c r="CN14" i="6"/>
  <c r="CN15" i="6"/>
  <c r="CN16" i="6"/>
  <c r="CN17" i="6"/>
  <c r="CN18" i="6"/>
  <c r="CN19" i="6"/>
  <c r="CN20" i="6"/>
  <c r="CN21" i="6"/>
  <c r="CN22" i="6"/>
  <c r="CN23" i="6"/>
  <c r="CN5" i="6"/>
  <c r="CA5" i="6"/>
  <c r="CB5" i="6"/>
  <c r="CC5" i="6"/>
  <c r="CD5" i="6"/>
  <c r="CE5" i="6"/>
  <c r="CF5" i="6"/>
  <c r="CG5" i="6"/>
  <c r="CH5" i="6"/>
  <c r="CI5" i="6"/>
  <c r="CJ5" i="6"/>
  <c r="CK5" i="6"/>
  <c r="CA6" i="6"/>
  <c r="CB6" i="6"/>
  <c r="CC6" i="6"/>
  <c r="CD6" i="6"/>
  <c r="CE6" i="6"/>
  <c r="CF6" i="6"/>
  <c r="CG6" i="6"/>
  <c r="CH6" i="6"/>
  <c r="CI6" i="6"/>
  <c r="CJ6" i="6"/>
  <c r="CK6" i="6"/>
  <c r="CA7" i="6"/>
  <c r="CB7" i="6"/>
  <c r="CC7" i="6"/>
  <c r="CD7" i="6"/>
  <c r="CE7" i="6"/>
  <c r="CF7" i="6"/>
  <c r="CG7" i="6"/>
  <c r="CH7" i="6"/>
  <c r="CI7" i="6"/>
  <c r="CJ7" i="6"/>
  <c r="CK7" i="6"/>
  <c r="CA8" i="6"/>
  <c r="CB8" i="6"/>
  <c r="CC8" i="6"/>
  <c r="CD8" i="6"/>
  <c r="CE8" i="6"/>
  <c r="CF8" i="6"/>
  <c r="CG8" i="6"/>
  <c r="CH8" i="6"/>
  <c r="CI8" i="6"/>
  <c r="CJ8" i="6"/>
  <c r="CK8" i="6"/>
  <c r="CA9" i="6"/>
  <c r="CB9" i="6"/>
  <c r="CC9" i="6"/>
  <c r="CD9" i="6"/>
  <c r="CE9" i="6"/>
  <c r="CF9" i="6"/>
  <c r="CG9" i="6"/>
  <c r="CH9" i="6"/>
  <c r="CI9" i="6"/>
  <c r="CJ9" i="6"/>
  <c r="CK9" i="6"/>
  <c r="CA10" i="6"/>
  <c r="CB10" i="6"/>
  <c r="CC10" i="6"/>
  <c r="CD10" i="6"/>
  <c r="CE10" i="6"/>
  <c r="CF10" i="6"/>
  <c r="CG10" i="6"/>
  <c r="CH10" i="6"/>
  <c r="CI10" i="6"/>
  <c r="CJ10" i="6"/>
  <c r="CK10" i="6"/>
  <c r="CA11" i="6"/>
  <c r="CB11" i="6"/>
  <c r="CC11" i="6"/>
  <c r="CD11" i="6"/>
  <c r="CE11" i="6"/>
  <c r="CF11" i="6"/>
  <c r="CG11" i="6"/>
  <c r="CH11" i="6"/>
  <c r="CI11" i="6"/>
  <c r="CJ11" i="6"/>
  <c r="CK11" i="6"/>
  <c r="CA12" i="6"/>
  <c r="CB12" i="6"/>
  <c r="CC12" i="6"/>
  <c r="CD12" i="6"/>
  <c r="CE12" i="6"/>
  <c r="CF12" i="6"/>
  <c r="CG12" i="6"/>
  <c r="CH12" i="6"/>
  <c r="CI12" i="6"/>
  <c r="CJ12" i="6"/>
  <c r="CK12" i="6"/>
  <c r="CA13" i="6"/>
  <c r="CB13" i="6"/>
  <c r="CC13" i="6"/>
  <c r="CD13" i="6"/>
  <c r="CE13" i="6"/>
  <c r="CF13" i="6"/>
  <c r="CG13" i="6"/>
  <c r="CH13" i="6"/>
  <c r="CI13" i="6"/>
  <c r="CJ13" i="6"/>
  <c r="CK13" i="6"/>
  <c r="CA14" i="6"/>
  <c r="CB14" i="6"/>
  <c r="CC14" i="6"/>
  <c r="CD14" i="6"/>
  <c r="CE14" i="6"/>
  <c r="CF14" i="6"/>
  <c r="CG14" i="6"/>
  <c r="CH14" i="6"/>
  <c r="CI14" i="6"/>
  <c r="CJ14" i="6"/>
  <c r="CK14" i="6"/>
  <c r="CA15" i="6"/>
  <c r="CB15" i="6"/>
  <c r="CC15" i="6"/>
  <c r="CD15" i="6"/>
  <c r="CE15" i="6"/>
  <c r="CF15" i="6"/>
  <c r="CG15" i="6"/>
  <c r="CH15" i="6"/>
  <c r="CI15" i="6"/>
  <c r="CJ15" i="6"/>
  <c r="CK15" i="6"/>
  <c r="CA16" i="6"/>
  <c r="CB16" i="6"/>
  <c r="CC16" i="6"/>
  <c r="CD16" i="6"/>
  <c r="CE16" i="6"/>
  <c r="CF16" i="6"/>
  <c r="CG16" i="6"/>
  <c r="CH16" i="6"/>
  <c r="CI16" i="6"/>
  <c r="CJ16" i="6"/>
  <c r="CK16" i="6"/>
  <c r="CA17" i="6"/>
  <c r="CB17" i="6"/>
  <c r="CC17" i="6"/>
  <c r="CD17" i="6"/>
  <c r="CE17" i="6"/>
  <c r="CF17" i="6"/>
  <c r="CG17" i="6"/>
  <c r="CH17" i="6"/>
  <c r="CI17" i="6"/>
  <c r="CJ17" i="6"/>
  <c r="CK17" i="6"/>
  <c r="CA18" i="6"/>
  <c r="CB18" i="6"/>
  <c r="CC18" i="6"/>
  <c r="CD18" i="6"/>
  <c r="CE18" i="6"/>
  <c r="CF18" i="6"/>
  <c r="CG18" i="6"/>
  <c r="CH18" i="6"/>
  <c r="CI18" i="6"/>
  <c r="CJ18" i="6"/>
  <c r="CK18" i="6"/>
  <c r="CA19" i="6"/>
  <c r="CB19" i="6"/>
  <c r="CC19" i="6"/>
  <c r="CD19" i="6"/>
  <c r="CE19" i="6"/>
  <c r="CF19" i="6"/>
  <c r="CG19" i="6"/>
  <c r="CH19" i="6"/>
  <c r="CI19" i="6"/>
  <c r="CJ19" i="6"/>
  <c r="CK19" i="6"/>
  <c r="CA20" i="6"/>
  <c r="CB20" i="6"/>
  <c r="CC20" i="6"/>
  <c r="CD20" i="6"/>
  <c r="CE20" i="6"/>
  <c r="CF20" i="6"/>
  <c r="CG20" i="6"/>
  <c r="CH20" i="6"/>
  <c r="CI20" i="6"/>
  <c r="CJ20" i="6"/>
  <c r="CK20" i="6"/>
  <c r="CA21" i="6"/>
  <c r="CB21" i="6"/>
  <c r="CC21" i="6"/>
  <c r="CD21" i="6"/>
  <c r="CE21" i="6"/>
  <c r="CF21" i="6"/>
  <c r="CG21" i="6"/>
  <c r="CH21" i="6"/>
  <c r="CI21" i="6"/>
  <c r="CJ21" i="6"/>
  <c r="CK21" i="6"/>
  <c r="CA22" i="6"/>
  <c r="CB22" i="6"/>
  <c r="CC22" i="6"/>
  <c r="CD22" i="6"/>
  <c r="CE22" i="6"/>
  <c r="CF22" i="6"/>
  <c r="CG22" i="6"/>
  <c r="CH22" i="6"/>
  <c r="CI22" i="6"/>
  <c r="CJ22" i="6"/>
  <c r="CK22" i="6"/>
  <c r="CA23" i="6"/>
  <c r="CB23" i="6"/>
  <c r="CC23" i="6"/>
  <c r="CD23" i="6"/>
  <c r="CE23" i="6"/>
  <c r="CF23" i="6"/>
  <c r="CG23" i="6"/>
  <c r="CH23" i="6"/>
  <c r="CI23" i="6"/>
  <c r="CJ23" i="6"/>
  <c r="CK23" i="6"/>
  <c r="BZ6" i="6"/>
  <c r="BZ7" i="6"/>
  <c r="BZ8" i="6"/>
  <c r="BZ9" i="6"/>
  <c r="BZ10" i="6"/>
  <c r="BZ11" i="6"/>
  <c r="BZ12" i="6"/>
  <c r="BZ13" i="6"/>
  <c r="BZ14" i="6"/>
  <c r="BZ15" i="6"/>
  <c r="BZ16" i="6"/>
  <c r="BZ17" i="6"/>
  <c r="BZ18" i="6"/>
  <c r="BZ19" i="6"/>
  <c r="BZ20" i="6"/>
  <c r="BZ21" i="6"/>
  <c r="BZ22" i="6"/>
  <c r="BZ23" i="6"/>
  <c r="BZ5" i="6"/>
  <c r="BL6" i="6"/>
  <c r="BM6" i="6"/>
  <c r="BN6" i="6"/>
  <c r="BO6" i="6"/>
  <c r="BP6" i="6"/>
  <c r="BQ6" i="6"/>
  <c r="BR6" i="6"/>
  <c r="BS6" i="6"/>
  <c r="BT6" i="6"/>
  <c r="BU6" i="6"/>
  <c r="BV6" i="6"/>
  <c r="BW6" i="6"/>
  <c r="BL7" i="6"/>
  <c r="BM7" i="6"/>
  <c r="BN7" i="6"/>
  <c r="BO7" i="6"/>
  <c r="BP7" i="6"/>
  <c r="BQ7" i="6"/>
  <c r="BR7" i="6"/>
  <c r="BS7" i="6"/>
  <c r="BT7" i="6"/>
  <c r="BU7" i="6"/>
  <c r="BV7" i="6"/>
  <c r="BW7" i="6"/>
  <c r="BL8" i="6"/>
  <c r="BM8" i="6"/>
  <c r="BN8" i="6"/>
  <c r="BO8" i="6"/>
  <c r="BP8" i="6"/>
  <c r="BQ8" i="6"/>
  <c r="BR8" i="6"/>
  <c r="BS8" i="6"/>
  <c r="BT8" i="6"/>
  <c r="BU8" i="6"/>
  <c r="BV8" i="6"/>
  <c r="BW8" i="6"/>
  <c r="BL9" i="6"/>
  <c r="BM9" i="6"/>
  <c r="BN9" i="6"/>
  <c r="BO9" i="6"/>
  <c r="BP9" i="6"/>
  <c r="BQ9" i="6"/>
  <c r="BR9" i="6"/>
  <c r="BS9" i="6"/>
  <c r="BT9" i="6"/>
  <c r="BU9" i="6"/>
  <c r="BV9" i="6"/>
  <c r="BW9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L15" i="6"/>
  <c r="BM15" i="6"/>
  <c r="BN15" i="6"/>
  <c r="BO15" i="6"/>
  <c r="BP15" i="6"/>
  <c r="BQ15" i="6"/>
  <c r="BR15" i="6"/>
  <c r="BS15" i="6"/>
  <c r="BT15" i="6"/>
  <c r="BU15" i="6"/>
  <c r="BV15" i="6"/>
  <c r="BW15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L23" i="6"/>
  <c r="BM23" i="6"/>
  <c r="BN23" i="6"/>
  <c r="BO23" i="6"/>
  <c r="BP23" i="6"/>
  <c r="BQ23" i="6"/>
  <c r="BR23" i="6"/>
  <c r="BS23" i="6"/>
  <c r="BT23" i="6"/>
  <c r="BU23" i="6"/>
  <c r="BV23" i="6"/>
  <c r="BW23" i="6"/>
  <c r="BM5" i="6"/>
  <c r="BN5" i="6"/>
  <c r="BO5" i="6"/>
  <c r="BP5" i="6"/>
  <c r="BQ5" i="6"/>
  <c r="BR5" i="6"/>
  <c r="BS5" i="6"/>
  <c r="BT5" i="6"/>
  <c r="BU5" i="6"/>
  <c r="BV5" i="6"/>
  <c r="BW5" i="6"/>
  <c r="BL5" i="6"/>
  <c r="AY5" i="6"/>
  <c r="AZ5" i="6"/>
  <c r="BA5" i="6"/>
  <c r="BB5" i="6"/>
  <c r="BC5" i="6"/>
  <c r="BD5" i="6"/>
  <c r="BE5" i="6"/>
  <c r="BF5" i="6"/>
  <c r="BG5" i="6"/>
  <c r="BH5" i="6"/>
  <c r="BI5" i="6"/>
  <c r="AY6" i="6"/>
  <c r="AZ6" i="6"/>
  <c r="BA6" i="6"/>
  <c r="BB6" i="6"/>
  <c r="BC6" i="6"/>
  <c r="BD6" i="6"/>
  <c r="BE6" i="6"/>
  <c r="BF6" i="6"/>
  <c r="BG6" i="6"/>
  <c r="BH6" i="6"/>
  <c r="BI6" i="6"/>
  <c r="AY7" i="6"/>
  <c r="AZ7" i="6"/>
  <c r="BA7" i="6"/>
  <c r="BB7" i="6"/>
  <c r="BC7" i="6"/>
  <c r="BD7" i="6"/>
  <c r="BE7" i="6"/>
  <c r="BF7" i="6"/>
  <c r="BG7" i="6"/>
  <c r="BH7" i="6"/>
  <c r="BI7" i="6"/>
  <c r="AY8" i="6"/>
  <c r="AZ8" i="6"/>
  <c r="BA8" i="6"/>
  <c r="BB8" i="6"/>
  <c r="BC8" i="6"/>
  <c r="BD8" i="6"/>
  <c r="BE8" i="6"/>
  <c r="BF8" i="6"/>
  <c r="BG8" i="6"/>
  <c r="BH8" i="6"/>
  <c r="BI8" i="6"/>
  <c r="AY9" i="6"/>
  <c r="AZ9" i="6"/>
  <c r="BA9" i="6"/>
  <c r="BB9" i="6"/>
  <c r="BC9" i="6"/>
  <c r="BD9" i="6"/>
  <c r="BE9" i="6"/>
  <c r="BF9" i="6"/>
  <c r="BG9" i="6"/>
  <c r="BH9" i="6"/>
  <c r="BI9" i="6"/>
  <c r="AY10" i="6"/>
  <c r="AZ10" i="6"/>
  <c r="BA10" i="6"/>
  <c r="BB10" i="6"/>
  <c r="BC10" i="6"/>
  <c r="BD10" i="6"/>
  <c r="BE10" i="6"/>
  <c r="BF10" i="6"/>
  <c r="BG10" i="6"/>
  <c r="BH10" i="6"/>
  <c r="BI10" i="6"/>
  <c r="AY11" i="6"/>
  <c r="AZ11" i="6"/>
  <c r="BA11" i="6"/>
  <c r="BB11" i="6"/>
  <c r="BC11" i="6"/>
  <c r="BD11" i="6"/>
  <c r="BE11" i="6"/>
  <c r="BF11" i="6"/>
  <c r="BG11" i="6"/>
  <c r="BH11" i="6"/>
  <c r="BI11" i="6"/>
  <c r="AY12" i="6"/>
  <c r="AZ12" i="6"/>
  <c r="BA12" i="6"/>
  <c r="BB12" i="6"/>
  <c r="BC12" i="6"/>
  <c r="BD12" i="6"/>
  <c r="BE12" i="6"/>
  <c r="BF12" i="6"/>
  <c r="BG12" i="6"/>
  <c r="BH12" i="6"/>
  <c r="BI12" i="6"/>
  <c r="AY13" i="6"/>
  <c r="AZ13" i="6"/>
  <c r="BA13" i="6"/>
  <c r="BB13" i="6"/>
  <c r="BC13" i="6"/>
  <c r="BD13" i="6"/>
  <c r="BE13" i="6"/>
  <c r="BF13" i="6"/>
  <c r="BG13" i="6"/>
  <c r="BH13" i="6"/>
  <c r="BI13" i="6"/>
  <c r="AY14" i="6"/>
  <c r="AZ14" i="6"/>
  <c r="BA14" i="6"/>
  <c r="BB14" i="6"/>
  <c r="BC14" i="6"/>
  <c r="BD14" i="6"/>
  <c r="BE14" i="6"/>
  <c r="BF14" i="6"/>
  <c r="BG14" i="6"/>
  <c r="BH14" i="6"/>
  <c r="BI14" i="6"/>
  <c r="AY15" i="6"/>
  <c r="AZ15" i="6"/>
  <c r="BA15" i="6"/>
  <c r="BB15" i="6"/>
  <c r="BC15" i="6"/>
  <c r="BD15" i="6"/>
  <c r="BE15" i="6"/>
  <c r="BF15" i="6"/>
  <c r="BG15" i="6"/>
  <c r="BH15" i="6"/>
  <c r="BI15" i="6"/>
  <c r="AY16" i="6"/>
  <c r="AZ16" i="6"/>
  <c r="BA16" i="6"/>
  <c r="BB16" i="6"/>
  <c r="BC16" i="6"/>
  <c r="BD16" i="6"/>
  <c r="BE16" i="6"/>
  <c r="BF16" i="6"/>
  <c r="BG16" i="6"/>
  <c r="BH16" i="6"/>
  <c r="BI16" i="6"/>
  <c r="AY17" i="6"/>
  <c r="AZ17" i="6"/>
  <c r="BA17" i="6"/>
  <c r="BB17" i="6"/>
  <c r="BC17" i="6"/>
  <c r="BD17" i="6"/>
  <c r="BE17" i="6"/>
  <c r="BF17" i="6"/>
  <c r="BG17" i="6"/>
  <c r="BH17" i="6"/>
  <c r="BI17" i="6"/>
  <c r="AY18" i="6"/>
  <c r="AZ18" i="6"/>
  <c r="BA18" i="6"/>
  <c r="BB18" i="6"/>
  <c r="BC18" i="6"/>
  <c r="BD18" i="6"/>
  <c r="BE18" i="6"/>
  <c r="BF18" i="6"/>
  <c r="BG18" i="6"/>
  <c r="BH18" i="6"/>
  <c r="BI18" i="6"/>
  <c r="AY19" i="6"/>
  <c r="AZ19" i="6"/>
  <c r="BA19" i="6"/>
  <c r="BB19" i="6"/>
  <c r="BC19" i="6"/>
  <c r="BD19" i="6"/>
  <c r="BE19" i="6"/>
  <c r="BF19" i="6"/>
  <c r="BG19" i="6"/>
  <c r="BH19" i="6"/>
  <c r="BI19" i="6"/>
  <c r="AY20" i="6"/>
  <c r="AZ20" i="6"/>
  <c r="BA20" i="6"/>
  <c r="BB20" i="6"/>
  <c r="BC20" i="6"/>
  <c r="BD20" i="6"/>
  <c r="BE20" i="6"/>
  <c r="BF20" i="6"/>
  <c r="BG20" i="6"/>
  <c r="BH20" i="6"/>
  <c r="BI20" i="6"/>
  <c r="AY21" i="6"/>
  <c r="AZ21" i="6"/>
  <c r="BA21" i="6"/>
  <c r="BB21" i="6"/>
  <c r="BC21" i="6"/>
  <c r="BD21" i="6"/>
  <c r="BE21" i="6"/>
  <c r="BF21" i="6"/>
  <c r="BG21" i="6"/>
  <c r="BH21" i="6"/>
  <c r="BI21" i="6"/>
  <c r="AY22" i="6"/>
  <c r="AZ22" i="6"/>
  <c r="BA22" i="6"/>
  <c r="BB22" i="6"/>
  <c r="BC22" i="6"/>
  <c r="BD22" i="6"/>
  <c r="BE22" i="6"/>
  <c r="BF22" i="6"/>
  <c r="BG22" i="6"/>
  <c r="BH22" i="6"/>
  <c r="BI22" i="6"/>
  <c r="AY23" i="6"/>
  <c r="AZ23" i="6"/>
  <c r="BA23" i="6"/>
  <c r="BB23" i="6"/>
  <c r="BC23" i="6"/>
  <c r="BD23" i="6"/>
  <c r="BE23" i="6"/>
  <c r="BF23" i="6"/>
  <c r="BG23" i="6"/>
  <c r="BH23" i="6"/>
  <c r="BI23" i="6"/>
  <c r="AX6" i="6"/>
  <c r="AX7" i="6"/>
  <c r="AX8" i="6"/>
  <c r="AX9" i="6"/>
  <c r="AX10" i="6"/>
  <c r="AX11" i="6"/>
  <c r="AX12" i="6"/>
  <c r="AX13" i="6"/>
  <c r="AX14" i="6"/>
  <c r="AX15" i="6"/>
  <c r="AX16" i="6"/>
  <c r="AX17" i="6"/>
  <c r="AX18" i="6"/>
  <c r="AX19" i="6"/>
  <c r="AX20" i="6"/>
  <c r="AX21" i="6"/>
  <c r="AX22" i="6"/>
  <c r="AX23" i="6"/>
  <c r="AX5" i="6"/>
  <c r="AJ6" i="6"/>
  <c r="AK6" i="6"/>
  <c r="AL6" i="6"/>
  <c r="AM6" i="6"/>
  <c r="AN6" i="6"/>
  <c r="AO6" i="6"/>
  <c r="AP6" i="6"/>
  <c r="AQ6" i="6"/>
  <c r="AR6" i="6"/>
  <c r="AS6" i="6"/>
  <c r="AT6" i="6"/>
  <c r="AU6" i="6"/>
  <c r="AJ7" i="6"/>
  <c r="AK7" i="6"/>
  <c r="AL7" i="6"/>
  <c r="AM7" i="6"/>
  <c r="AN7" i="6"/>
  <c r="AO7" i="6"/>
  <c r="AP7" i="6"/>
  <c r="AQ7" i="6"/>
  <c r="AR7" i="6"/>
  <c r="AS7" i="6"/>
  <c r="AT7" i="6"/>
  <c r="AU7" i="6"/>
  <c r="AJ8" i="6"/>
  <c r="AK8" i="6"/>
  <c r="AL8" i="6"/>
  <c r="AM8" i="6"/>
  <c r="AN8" i="6"/>
  <c r="AO8" i="6"/>
  <c r="AP8" i="6"/>
  <c r="AQ8" i="6"/>
  <c r="AR8" i="6"/>
  <c r="AS8" i="6"/>
  <c r="AT8" i="6"/>
  <c r="AU8" i="6"/>
  <c r="AJ9" i="6"/>
  <c r="AK9" i="6"/>
  <c r="AL9" i="6"/>
  <c r="AM9" i="6"/>
  <c r="AN9" i="6"/>
  <c r="AO9" i="6"/>
  <c r="AP9" i="6"/>
  <c r="AQ9" i="6"/>
  <c r="AR9" i="6"/>
  <c r="AS9" i="6"/>
  <c r="AT9" i="6"/>
  <c r="AU9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K5" i="6"/>
  <c r="AL5" i="6"/>
  <c r="AM5" i="6"/>
  <c r="AN5" i="6"/>
  <c r="AO5" i="6"/>
  <c r="AP5" i="6"/>
  <c r="AQ5" i="6"/>
  <c r="AR5" i="6"/>
  <c r="AS5" i="6"/>
  <c r="AT5" i="6"/>
  <c r="AU5" i="6"/>
  <c r="AJ5" i="6"/>
  <c r="W5" i="6"/>
  <c r="X5" i="6"/>
  <c r="Y5" i="6"/>
  <c r="Z5" i="6"/>
  <c r="AA5" i="6"/>
  <c r="AB5" i="6"/>
  <c r="AC5" i="6"/>
  <c r="AD5" i="6"/>
  <c r="AE5" i="6"/>
  <c r="AF5" i="6"/>
  <c r="AG5" i="6"/>
  <c r="W6" i="6"/>
  <c r="X6" i="6"/>
  <c r="Y6" i="6"/>
  <c r="Z6" i="6"/>
  <c r="AA6" i="6"/>
  <c r="AB6" i="6"/>
  <c r="AC6" i="6"/>
  <c r="AD6" i="6"/>
  <c r="AE6" i="6"/>
  <c r="AF6" i="6"/>
  <c r="AG6" i="6"/>
  <c r="W7" i="6"/>
  <c r="X7" i="6"/>
  <c r="Y7" i="6"/>
  <c r="Z7" i="6"/>
  <c r="AA7" i="6"/>
  <c r="AB7" i="6"/>
  <c r="AC7" i="6"/>
  <c r="AD7" i="6"/>
  <c r="AE7" i="6"/>
  <c r="AF7" i="6"/>
  <c r="AG7" i="6"/>
  <c r="W8" i="6"/>
  <c r="X8" i="6"/>
  <c r="Y8" i="6"/>
  <c r="Z8" i="6"/>
  <c r="AA8" i="6"/>
  <c r="AB8" i="6"/>
  <c r="AC8" i="6"/>
  <c r="AD8" i="6"/>
  <c r="AE8" i="6"/>
  <c r="AF8" i="6"/>
  <c r="AG8" i="6"/>
  <c r="W9" i="6"/>
  <c r="X9" i="6"/>
  <c r="Y9" i="6"/>
  <c r="Z9" i="6"/>
  <c r="AA9" i="6"/>
  <c r="AB9" i="6"/>
  <c r="AC9" i="6"/>
  <c r="AD9" i="6"/>
  <c r="AE9" i="6"/>
  <c r="AF9" i="6"/>
  <c r="AG9" i="6"/>
  <c r="W10" i="6"/>
  <c r="X10" i="6"/>
  <c r="Y10" i="6"/>
  <c r="Z10" i="6"/>
  <c r="AA10" i="6"/>
  <c r="AB10" i="6"/>
  <c r="AC10" i="6"/>
  <c r="AD10" i="6"/>
  <c r="AE10" i="6"/>
  <c r="AF10" i="6"/>
  <c r="AG10" i="6"/>
  <c r="W11" i="6"/>
  <c r="X11" i="6"/>
  <c r="Y11" i="6"/>
  <c r="Z11" i="6"/>
  <c r="AA11" i="6"/>
  <c r="AB11" i="6"/>
  <c r="AC11" i="6"/>
  <c r="AD11" i="6"/>
  <c r="AE11" i="6"/>
  <c r="AF11" i="6"/>
  <c r="AG11" i="6"/>
  <c r="W12" i="6"/>
  <c r="X12" i="6"/>
  <c r="Y12" i="6"/>
  <c r="Z12" i="6"/>
  <c r="AA12" i="6"/>
  <c r="AB12" i="6"/>
  <c r="AC12" i="6"/>
  <c r="AD12" i="6"/>
  <c r="AE12" i="6"/>
  <c r="AF12" i="6"/>
  <c r="AG12" i="6"/>
  <c r="W13" i="6"/>
  <c r="X13" i="6"/>
  <c r="Y13" i="6"/>
  <c r="Z13" i="6"/>
  <c r="AA13" i="6"/>
  <c r="AB13" i="6"/>
  <c r="AC13" i="6"/>
  <c r="AD13" i="6"/>
  <c r="AE13" i="6"/>
  <c r="AF13" i="6"/>
  <c r="AG13" i="6"/>
  <c r="W14" i="6"/>
  <c r="X14" i="6"/>
  <c r="Y14" i="6"/>
  <c r="Z14" i="6"/>
  <c r="AA14" i="6"/>
  <c r="AB14" i="6"/>
  <c r="AC14" i="6"/>
  <c r="AD14" i="6"/>
  <c r="AE14" i="6"/>
  <c r="AF14" i="6"/>
  <c r="AG14" i="6"/>
  <c r="W15" i="6"/>
  <c r="X15" i="6"/>
  <c r="Y15" i="6"/>
  <c r="Z15" i="6"/>
  <c r="AA15" i="6"/>
  <c r="AB15" i="6"/>
  <c r="AC15" i="6"/>
  <c r="AD15" i="6"/>
  <c r="AE15" i="6"/>
  <c r="AF15" i="6"/>
  <c r="AG15" i="6"/>
  <c r="W16" i="6"/>
  <c r="X16" i="6"/>
  <c r="Y16" i="6"/>
  <c r="Z16" i="6"/>
  <c r="AA16" i="6"/>
  <c r="AB16" i="6"/>
  <c r="AC16" i="6"/>
  <c r="AD16" i="6"/>
  <c r="AE16" i="6"/>
  <c r="AF16" i="6"/>
  <c r="AG16" i="6"/>
  <c r="W17" i="6"/>
  <c r="X17" i="6"/>
  <c r="Y17" i="6"/>
  <c r="Z17" i="6"/>
  <c r="AA17" i="6"/>
  <c r="AB17" i="6"/>
  <c r="AC17" i="6"/>
  <c r="AD17" i="6"/>
  <c r="AE17" i="6"/>
  <c r="AF17" i="6"/>
  <c r="AG17" i="6"/>
  <c r="W18" i="6"/>
  <c r="X18" i="6"/>
  <c r="Y18" i="6"/>
  <c r="Z18" i="6"/>
  <c r="AA18" i="6"/>
  <c r="AB18" i="6"/>
  <c r="AC18" i="6"/>
  <c r="AD18" i="6"/>
  <c r="AE18" i="6"/>
  <c r="AF18" i="6"/>
  <c r="AG18" i="6"/>
  <c r="W19" i="6"/>
  <c r="X19" i="6"/>
  <c r="Y19" i="6"/>
  <c r="Z19" i="6"/>
  <c r="AA19" i="6"/>
  <c r="AB19" i="6"/>
  <c r="AC19" i="6"/>
  <c r="AD19" i="6"/>
  <c r="AE19" i="6"/>
  <c r="AF19" i="6"/>
  <c r="AG19" i="6"/>
  <c r="W20" i="6"/>
  <c r="X20" i="6"/>
  <c r="Y20" i="6"/>
  <c r="Z20" i="6"/>
  <c r="AA20" i="6"/>
  <c r="AB20" i="6"/>
  <c r="AC20" i="6"/>
  <c r="AD20" i="6"/>
  <c r="AE20" i="6"/>
  <c r="AF20" i="6"/>
  <c r="AG20" i="6"/>
  <c r="W21" i="6"/>
  <c r="X21" i="6"/>
  <c r="Y21" i="6"/>
  <c r="Z21" i="6"/>
  <c r="AA21" i="6"/>
  <c r="AB21" i="6"/>
  <c r="AC21" i="6"/>
  <c r="AD21" i="6"/>
  <c r="AE21" i="6"/>
  <c r="AF21" i="6"/>
  <c r="AG21" i="6"/>
  <c r="W22" i="6"/>
  <c r="X22" i="6"/>
  <c r="Y22" i="6"/>
  <c r="Z22" i="6"/>
  <c r="AA22" i="6"/>
  <c r="AB22" i="6"/>
  <c r="AC22" i="6"/>
  <c r="AD22" i="6"/>
  <c r="AE22" i="6"/>
  <c r="AF22" i="6"/>
  <c r="AG22" i="6"/>
  <c r="W23" i="6"/>
  <c r="X23" i="6"/>
  <c r="Y23" i="6"/>
  <c r="Z23" i="6"/>
  <c r="AA23" i="6"/>
  <c r="AB23" i="6"/>
  <c r="AC23" i="6"/>
  <c r="AD23" i="6"/>
  <c r="AE23" i="6"/>
  <c r="AF23" i="6"/>
  <c r="AG23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5" i="6"/>
  <c r="AX26" i="6" l="1"/>
  <c r="BZ26" i="6"/>
  <c r="DB26" i="6"/>
  <c r="DG55" i="6"/>
  <c r="DK53" i="6"/>
  <c r="DC53" i="6"/>
  <c r="DK55" i="6"/>
  <c r="DC55" i="6"/>
  <c r="DG53" i="6"/>
  <c r="DJ55" i="6"/>
  <c r="DF55" i="6"/>
  <c r="DB55" i="6"/>
  <c r="DJ53" i="6"/>
  <c r="DF53" i="6"/>
  <c r="DB53" i="6"/>
  <c r="DM55" i="6"/>
  <c r="DI55" i="6"/>
  <c r="DE55" i="6"/>
  <c r="DM53" i="6"/>
  <c r="DI53" i="6"/>
  <c r="DE53" i="6"/>
  <c r="DL55" i="6"/>
  <c r="DH55" i="6"/>
  <c r="DD55" i="6"/>
  <c r="DL53" i="6"/>
  <c r="DH53" i="6"/>
  <c r="DD53" i="6"/>
  <c r="CS55" i="6"/>
  <c r="CW53" i="6"/>
  <c r="CV55" i="6"/>
  <c r="CR55" i="6"/>
  <c r="CN55" i="6"/>
  <c r="CV53" i="6"/>
  <c r="CR53" i="6"/>
  <c r="CN53" i="6"/>
  <c r="CO55" i="6"/>
  <c r="CO53" i="6"/>
  <c r="CY55" i="6"/>
  <c r="CU55" i="6"/>
  <c r="CQ55" i="6"/>
  <c r="CY53" i="6"/>
  <c r="CU53" i="6"/>
  <c r="CQ53" i="6"/>
  <c r="CW55" i="6"/>
  <c r="CS53" i="6"/>
  <c r="CX55" i="6"/>
  <c r="CT55" i="6"/>
  <c r="CP55" i="6"/>
  <c r="CX53" i="6"/>
  <c r="CT53" i="6"/>
  <c r="CP53" i="6"/>
  <c r="CI55" i="6"/>
  <c r="CA53" i="6"/>
  <c r="CH55" i="6"/>
  <c r="CD55" i="6"/>
  <c r="BZ55" i="6"/>
  <c r="CH53" i="6"/>
  <c r="CD53" i="6"/>
  <c r="BZ53" i="6"/>
  <c r="CE55" i="6"/>
  <c r="CE53" i="6"/>
  <c r="CK55" i="6"/>
  <c r="CG55" i="6"/>
  <c r="CC55" i="6"/>
  <c r="CK53" i="6"/>
  <c r="CG53" i="6"/>
  <c r="CC53" i="6"/>
  <c r="CA55" i="6"/>
  <c r="CI53" i="6"/>
  <c r="CJ55" i="6"/>
  <c r="CF55" i="6"/>
  <c r="CB55" i="6"/>
  <c r="CJ53" i="6"/>
  <c r="CF53" i="6"/>
  <c r="CB53" i="6"/>
  <c r="BM55" i="6"/>
  <c r="BU53" i="6"/>
  <c r="BT55" i="6"/>
  <c r="BP55" i="6"/>
  <c r="BL55" i="6"/>
  <c r="BT53" i="6"/>
  <c r="BP53" i="6"/>
  <c r="BL53" i="6"/>
  <c r="BU55" i="6"/>
  <c r="BM53" i="6"/>
  <c r="BW55" i="6"/>
  <c r="BS55" i="6"/>
  <c r="BO55" i="6"/>
  <c r="BW53" i="6"/>
  <c r="BS53" i="6"/>
  <c r="BO53" i="6"/>
  <c r="BQ55" i="6"/>
  <c r="BQ53" i="6"/>
  <c r="BV55" i="6"/>
  <c r="BR55" i="6"/>
  <c r="BN55" i="6"/>
  <c r="BV53" i="6"/>
  <c r="BR53" i="6"/>
  <c r="BN53" i="6"/>
  <c r="BG55" i="6"/>
  <c r="BG53" i="6"/>
  <c r="BF55" i="6"/>
  <c r="BB55" i="6"/>
  <c r="AX55" i="6"/>
  <c r="BF53" i="6"/>
  <c r="BB53" i="6"/>
  <c r="AX53" i="6"/>
  <c r="AY55" i="6"/>
  <c r="AY53" i="6"/>
  <c r="BI55" i="6"/>
  <c r="BE55" i="6"/>
  <c r="BA55" i="6"/>
  <c r="BI53" i="6"/>
  <c r="BE53" i="6"/>
  <c r="BA53" i="6"/>
  <c r="BC55" i="6"/>
  <c r="BC53" i="6"/>
  <c r="BH55" i="6"/>
  <c r="BD55" i="6"/>
  <c r="AZ55" i="6"/>
  <c r="BH53" i="6"/>
  <c r="BD53" i="6"/>
  <c r="AZ53" i="6"/>
  <c r="AM53" i="6"/>
  <c r="AO55" i="6"/>
  <c r="AO53" i="6"/>
  <c r="AR55" i="6"/>
  <c r="AN55" i="6"/>
  <c r="AJ55" i="6"/>
  <c r="AR53" i="6"/>
  <c r="AN53" i="6"/>
  <c r="AJ53" i="6"/>
  <c r="AK55" i="6"/>
  <c r="AK53" i="6"/>
  <c r="AU55" i="6"/>
  <c r="AQ55" i="6"/>
  <c r="AM55" i="6"/>
  <c r="AU53" i="6"/>
  <c r="AQ53" i="6"/>
  <c r="AS55" i="6"/>
  <c r="AS53" i="6"/>
  <c r="AT55" i="6"/>
  <c r="AP55" i="6"/>
  <c r="AL55" i="6"/>
  <c r="AT53" i="6"/>
  <c r="AP53" i="6"/>
  <c r="AL53" i="6"/>
  <c r="AE53" i="6"/>
  <c r="AA53" i="6"/>
  <c r="W53" i="6"/>
  <c r="AD53" i="6"/>
  <c r="Z53" i="6"/>
  <c r="V53" i="6"/>
  <c r="AG53" i="6"/>
  <c r="AC53" i="6"/>
  <c r="Y53" i="6"/>
  <c r="AF53" i="6"/>
  <c r="AB53" i="6"/>
  <c r="X53" i="6"/>
  <c r="DG28" i="6"/>
  <c r="DI26" i="6"/>
  <c r="DJ28" i="6"/>
  <c r="DF28" i="6"/>
  <c r="DL26" i="6"/>
  <c r="DH26" i="6"/>
  <c r="DD26" i="6"/>
  <c r="DK28" i="6"/>
  <c r="DE26" i="6"/>
  <c r="DB28" i="6"/>
  <c r="DM28" i="6"/>
  <c r="DI28" i="6"/>
  <c r="DE28" i="6"/>
  <c r="DK26" i="6"/>
  <c r="DG26" i="6"/>
  <c r="DC26" i="6"/>
  <c r="DC28" i="6"/>
  <c r="DM26" i="6"/>
  <c r="DL28" i="6"/>
  <c r="DH28" i="6"/>
  <c r="DD28" i="6"/>
  <c r="DJ26" i="6"/>
  <c r="DF26" i="6"/>
  <c r="CS28" i="6"/>
  <c r="CY26" i="6"/>
  <c r="CV28" i="6"/>
  <c r="CR28" i="6"/>
  <c r="CX26" i="6"/>
  <c r="CT26" i="6"/>
  <c r="CP26" i="6"/>
  <c r="CW28" i="6"/>
  <c r="CQ26" i="6"/>
  <c r="CN28" i="6"/>
  <c r="CY28" i="6"/>
  <c r="CU28" i="6"/>
  <c r="CQ28" i="6"/>
  <c r="CW26" i="6"/>
  <c r="CS26" i="6"/>
  <c r="CO26" i="6"/>
  <c r="CN26" i="6"/>
  <c r="CO28" i="6"/>
  <c r="CU26" i="6"/>
  <c r="CX28" i="6"/>
  <c r="CT28" i="6"/>
  <c r="CP28" i="6"/>
  <c r="CV26" i="6"/>
  <c r="CR26" i="6"/>
  <c r="CA28" i="6"/>
  <c r="CK26" i="6"/>
  <c r="CH28" i="6"/>
  <c r="CD28" i="6"/>
  <c r="CJ26" i="6"/>
  <c r="CF26" i="6"/>
  <c r="CB26" i="6"/>
  <c r="CE28" i="6"/>
  <c r="CC26" i="6"/>
  <c r="BZ28" i="6"/>
  <c r="CK28" i="6"/>
  <c r="CG28" i="6"/>
  <c r="CC28" i="6"/>
  <c r="CI26" i="6"/>
  <c r="CE26" i="6"/>
  <c r="CA26" i="6"/>
  <c r="CI28" i="6"/>
  <c r="CG26" i="6"/>
  <c r="CJ28" i="6"/>
  <c r="CF28" i="6"/>
  <c r="CB28" i="6"/>
  <c r="CH26" i="6"/>
  <c r="CD26" i="6"/>
  <c r="BQ28" i="6"/>
  <c r="BU26" i="6"/>
  <c r="BT28" i="6"/>
  <c r="BP28" i="6"/>
  <c r="BL28" i="6"/>
  <c r="BT26" i="6"/>
  <c r="BP26" i="6"/>
  <c r="BL26" i="6"/>
  <c r="BU28" i="6"/>
  <c r="BM26" i="6"/>
  <c r="BW28" i="6"/>
  <c r="BS28" i="6"/>
  <c r="BO28" i="6"/>
  <c r="BW26" i="6"/>
  <c r="BS26" i="6"/>
  <c r="BO26" i="6"/>
  <c r="BM28" i="6"/>
  <c r="BQ26" i="6"/>
  <c r="BV28" i="6"/>
  <c r="BR28" i="6"/>
  <c r="BN28" i="6"/>
  <c r="BV26" i="6"/>
  <c r="BR26" i="6"/>
  <c r="BN26" i="6"/>
  <c r="BC28" i="6"/>
  <c r="BE26" i="6"/>
  <c r="BF28" i="6"/>
  <c r="BB28" i="6"/>
  <c r="BH26" i="6"/>
  <c r="BD26" i="6"/>
  <c r="AZ26" i="6"/>
  <c r="AY28" i="6"/>
  <c r="BA26" i="6"/>
  <c r="AX28" i="6"/>
  <c r="BI28" i="6"/>
  <c r="BE28" i="6"/>
  <c r="BA28" i="6"/>
  <c r="BG26" i="6"/>
  <c r="BC26" i="6"/>
  <c r="AY26" i="6"/>
  <c r="BG28" i="6"/>
  <c r="BI26" i="6"/>
  <c r="BH28" i="6"/>
  <c r="BD28" i="6"/>
  <c r="AZ28" i="6"/>
  <c r="BF26" i="6"/>
  <c r="BB26" i="6"/>
  <c r="AJ28" i="6"/>
  <c r="AJ26" i="6"/>
  <c r="AO28" i="6"/>
  <c r="AO26" i="6"/>
  <c r="AR28" i="6"/>
  <c r="AN28" i="6"/>
  <c r="AR26" i="6"/>
  <c r="AN26" i="6"/>
  <c r="AK28" i="6"/>
  <c r="AS26" i="6"/>
  <c r="AU28" i="6"/>
  <c r="AQ28" i="6"/>
  <c r="AM28" i="6"/>
  <c r="AU26" i="6"/>
  <c r="AQ26" i="6"/>
  <c r="AM26" i="6"/>
  <c r="AS28" i="6"/>
  <c r="AK26" i="6"/>
  <c r="AT28" i="6"/>
  <c r="AP28" i="6"/>
  <c r="AL28" i="6"/>
  <c r="AT26" i="6"/>
  <c r="AP26" i="6"/>
  <c r="AL26" i="6"/>
  <c r="AG26" i="6"/>
  <c r="AF26" i="6"/>
  <c r="AB26" i="6"/>
  <c r="X26" i="6"/>
  <c r="Y26" i="6"/>
  <c r="AE26" i="6"/>
  <c r="AA26" i="6"/>
  <c r="AC26" i="6"/>
  <c r="AD26" i="6"/>
  <c r="Z26" i="6"/>
  <c r="V26" i="6"/>
  <c r="W26" i="6"/>
  <c r="AE55" i="6"/>
  <c r="AD55" i="6"/>
  <c r="Z55" i="6"/>
  <c r="V55" i="6"/>
  <c r="W55" i="6"/>
  <c r="AG55" i="6"/>
  <c r="AC55" i="6"/>
  <c r="Y55" i="6"/>
  <c r="AA55" i="6"/>
  <c r="AF55" i="6"/>
  <c r="AB55" i="6"/>
  <c r="X55" i="6"/>
  <c r="W28" i="6"/>
  <c r="AD28" i="6"/>
  <c r="Z28" i="6"/>
  <c r="AE28" i="6"/>
  <c r="AG28" i="6"/>
  <c r="AC28" i="6"/>
  <c r="Y28" i="6"/>
  <c r="AA28" i="6"/>
  <c r="AF28" i="6"/>
  <c r="AB28" i="6"/>
  <c r="X28" i="6"/>
  <c r="V28" i="6"/>
  <c r="AV50" i="6"/>
  <c r="AV49" i="6"/>
  <c r="AV48" i="6"/>
  <c r="AV47" i="6"/>
  <c r="AV46" i="6"/>
  <c r="AV45" i="6"/>
  <c r="AV44" i="6"/>
  <c r="AV43" i="6"/>
  <c r="AV42" i="6"/>
  <c r="AV41" i="6"/>
  <c r="AV40" i="6"/>
  <c r="AV39" i="6"/>
  <c r="AV38" i="6"/>
  <c r="AV37" i="6"/>
  <c r="AV36" i="6"/>
  <c r="AV35" i="6"/>
  <c r="AV34" i="6"/>
  <c r="AV33" i="6"/>
  <c r="AV32" i="6"/>
  <c r="AV14" i="6"/>
  <c r="AV13" i="6"/>
  <c r="AV12" i="6"/>
  <c r="AV11" i="6"/>
  <c r="AV10" i="6"/>
  <c r="AV9" i="6"/>
  <c r="AV8" i="6"/>
  <c r="AV7" i="6"/>
  <c r="AV6" i="6"/>
  <c r="AV5" i="6"/>
  <c r="AV15" i="6"/>
  <c r="AV23" i="6"/>
  <c r="AV22" i="6"/>
  <c r="AV21" i="6"/>
  <c r="AV20" i="6"/>
  <c r="AV19" i="6"/>
  <c r="AV18" i="6"/>
  <c r="AV17" i="6"/>
  <c r="AV16" i="6"/>
  <c r="K131" i="29"/>
  <c r="M131" i="28"/>
  <c r="M133" i="27"/>
  <c r="I132" i="28"/>
  <c r="H132" i="31"/>
  <c r="B118" i="27"/>
  <c r="B108" i="27"/>
  <c r="B114" i="27"/>
  <c r="B106" i="27"/>
  <c r="B101" i="27"/>
  <c r="C98" i="27"/>
  <c r="B116" i="27"/>
  <c r="B110" i="27"/>
  <c r="B105" i="27"/>
  <c r="C102" i="27"/>
  <c r="B120" i="27"/>
  <c r="B112" i="27"/>
  <c r="C121" i="27"/>
  <c r="C117" i="27"/>
  <c r="C113" i="27"/>
  <c r="C109" i="27"/>
  <c r="B104" i="27"/>
  <c r="B100" i="27"/>
  <c r="C122" i="7"/>
  <c r="C198" i="7"/>
  <c r="C238" i="7"/>
  <c r="C250" i="7" s="1"/>
  <c r="C40" i="7"/>
  <c r="C52" i="7" s="1"/>
  <c r="C64" i="7" s="1"/>
  <c r="C104" i="7"/>
  <c r="C116" i="7" s="1"/>
  <c r="C128" i="7" s="1"/>
  <c r="C61" i="7"/>
  <c r="C73" i="7" s="1"/>
  <c r="C85" i="7" s="1"/>
  <c r="C33" i="7"/>
  <c r="C60" i="7"/>
  <c r="C53" i="7"/>
  <c r="C87" i="7"/>
  <c r="C119" i="27"/>
  <c r="C115" i="27"/>
  <c r="C111" i="27"/>
  <c r="C107" i="27"/>
  <c r="C103" i="27"/>
  <c r="C99" i="27"/>
  <c r="I133" i="28" l="1"/>
  <c r="H133" i="31"/>
  <c r="K132" i="29"/>
  <c r="M132" i="28"/>
  <c r="C99" i="7"/>
  <c r="C97" i="7"/>
  <c r="C76" i="7"/>
  <c r="C210" i="7"/>
  <c r="C72" i="7"/>
  <c r="C45" i="7"/>
  <c r="C140" i="7"/>
  <c r="C65" i="7"/>
  <c r="C134" i="7"/>
  <c r="K133" i="29" l="1"/>
  <c r="M133" i="28"/>
  <c r="C88" i="7"/>
  <c r="C109" i="7"/>
  <c r="C146" i="7"/>
  <c r="C77" i="7"/>
  <c r="C84" i="7"/>
  <c r="C222" i="7"/>
  <c r="C57" i="7"/>
  <c r="C152" i="7"/>
  <c r="C111" i="7"/>
  <c r="C158" i="7" l="1"/>
  <c r="C234" i="7"/>
  <c r="C246" i="7" s="1"/>
  <c r="C121" i="7"/>
  <c r="C164" i="7"/>
  <c r="C89" i="7"/>
  <c r="C69" i="7"/>
  <c r="C123" i="7"/>
  <c r="C96" i="7"/>
  <c r="C100" i="7"/>
  <c r="C176" i="7" l="1"/>
  <c r="C135" i="7"/>
  <c r="C133" i="7"/>
  <c r="C108" i="7"/>
  <c r="C81" i="7"/>
  <c r="C112" i="7"/>
  <c r="C101" i="7"/>
  <c r="C170" i="7"/>
  <c r="C145" i="7" l="1"/>
  <c r="C147" i="7"/>
  <c r="C124" i="7"/>
  <c r="C93" i="7"/>
  <c r="C182" i="7"/>
  <c r="C113" i="7"/>
  <c r="C120" i="7"/>
  <c r="C188" i="7"/>
  <c r="C105" i="7" l="1"/>
  <c r="C125" i="7"/>
  <c r="C194" i="7"/>
  <c r="C136" i="7"/>
  <c r="C159" i="7"/>
  <c r="C132" i="7"/>
  <c r="C200" i="7"/>
  <c r="C157" i="7"/>
  <c r="C169" i="7" l="1"/>
  <c r="C148" i="7"/>
  <c r="C144" i="7"/>
  <c r="C171" i="7"/>
  <c r="C212" i="7"/>
  <c r="C206" i="7"/>
  <c r="C137" i="7"/>
  <c r="C117" i="7"/>
  <c r="C218" i="7" l="1"/>
  <c r="C160" i="7"/>
  <c r="C129" i="7"/>
  <c r="C156" i="7"/>
  <c r="C149" i="7"/>
  <c r="C224" i="7"/>
  <c r="C183" i="7"/>
  <c r="C181" i="7"/>
  <c r="C193" i="7" l="1"/>
  <c r="C168" i="7"/>
  <c r="C236" i="7"/>
  <c r="C248" i="7" s="1"/>
  <c r="C172" i="7"/>
  <c r="C195" i="7"/>
  <c r="C161" i="7"/>
  <c r="C141" i="7"/>
  <c r="C230" i="7"/>
  <c r="C180" i="7" l="1"/>
  <c r="C153" i="7"/>
  <c r="C173" i="7"/>
  <c r="C207" i="7"/>
  <c r="C242" i="7"/>
  <c r="C254" i="7" s="1"/>
  <c r="C184" i="7"/>
  <c r="C205" i="7"/>
  <c r="C185" i="7" l="1"/>
  <c r="C219" i="7"/>
  <c r="C217" i="7"/>
  <c r="C196" i="7"/>
  <c r="C165" i="7"/>
  <c r="C192" i="7"/>
  <c r="C229" i="7" l="1"/>
  <c r="C204" i="7"/>
  <c r="C231" i="7"/>
  <c r="C208" i="7"/>
  <c r="C177" i="7"/>
  <c r="C197" i="7"/>
  <c r="C220" i="7" l="1"/>
  <c r="C243" i="7"/>
  <c r="C255" i="7" s="1"/>
  <c r="C209" i="7"/>
  <c r="C189" i="7"/>
  <c r="C216" i="7"/>
  <c r="C241" i="7"/>
  <c r="C253" i="7" s="1"/>
  <c r="C201" i="7" l="1"/>
  <c r="C221" i="7"/>
  <c r="C232" i="7"/>
  <c r="C244" i="7" s="1"/>
  <c r="C228" i="7"/>
  <c r="C233" i="7" l="1"/>
  <c r="C240" i="7"/>
  <c r="C252" i="7" s="1"/>
  <c r="C213" i="7"/>
  <c r="F118" i="9"/>
  <c r="O120" i="9"/>
  <c r="P120" i="9"/>
  <c r="O121" i="9"/>
  <c r="P121" i="9"/>
  <c r="N95" i="9"/>
  <c r="N96" i="9"/>
  <c r="N94" i="9"/>
  <c r="N90" i="9"/>
  <c r="N91" i="9"/>
  <c r="N77" i="9"/>
  <c r="N78" i="9"/>
  <c r="N84" i="9"/>
  <c r="N85" i="9"/>
  <c r="N69" i="9"/>
  <c r="N70" i="9"/>
  <c r="N60" i="9"/>
  <c r="N61" i="9"/>
  <c r="N39" i="9"/>
  <c r="N40" i="9"/>
  <c r="N50" i="9"/>
  <c r="N51" i="9"/>
  <c r="N14" i="9"/>
  <c r="N15" i="9"/>
  <c r="N27" i="9"/>
  <c r="N28" i="9"/>
  <c r="D111" i="9"/>
  <c r="E111" i="9"/>
  <c r="F111" i="9"/>
  <c r="G111" i="9"/>
  <c r="H111" i="9"/>
  <c r="I111" i="9"/>
  <c r="J111" i="9"/>
  <c r="D112" i="9"/>
  <c r="E112" i="9"/>
  <c r="F112" i="9"/>
  <c r="G112" i="9"/>
  <c r="H112" i="9"/>
  <c r="I112" i="9"/>
  <c r="J112" i="9"/>
  <c r="D113" i="9"/>
  <c r="E113" i="9"/>
  <c r="F113" i="9"/>
  <c r="G113" i="9"/>
  <c r="H113" i="9"/>
  <c r="I113" i="9"/>
  <c r="J113" i="9"/>
  <c r="D114" i="9"/>
  <c r="E114" i="9"/>
  <c r="F114" i="9"/>
  <c r="G114" i="9"/>
  <c r="H114" i="9"/>
  <c r="I114" i="9"/>
  <c r="J114" i="9"/>
  <c r="D115" i="9"/>
  <c r="E115" i="9"/>
  <c r="F115" i="9"/>
  <c r="G115" i="9"/>
  <c r="H115" i="9"/>
  <c r="I115" i="9"/>
  <c r="J115" i="9"/>
  <c r="D116" i="9"/>
  <c r="E116" i="9"/>
  <c r="F116" i="9"/>
  <c r="G116" i="9"/>
  <c r="H116" i="9"/>
  <c r="I116" i="9"/>
  <c r="J116" i="9"/>
  <c r="D117" i="9"/>
  <c r="E117" i="9"/>
  <c r="F117" i="9"/>
  <c r="G117" i="9"/>
  <c r="H117" i="9"/>
  <c r="I117" i="9"/>
  <c r="J117" i="9"/>
  <c r="E118" i="9"/>
  <c r="G118" i="9"/>
  <c r="H118" i="9"/>
  <c r="I118" i="9"/>
  <c r="J118" i="9"/>
  <c r="D119" i="9"/>
  <c r="F119" i="9"/>
  <c r="G119" i="9"/>
  <c r="H119" i="9"/>
  <c r="I119" i="9"/>
  <c r="J119" i="9"/>
  <c r="D120" i="9"/>
  <c r="E120" i="9"/>
  <c r="F120" i="9"/>
  <c r="G120" i="9"/>
  <c r="H120" i="9"/>
  <c r="I120" i="9"/>
  <c r="J120" i="9"/>
  <c r="C111" i="9"/>
  <c r="C112" i="9"/>
  <c r="C113" i="9"/>
  <c r="C114" i="9"/>
  <c r="C115" i="9"/>
  <c r="C116" i="9"/>
  <c r="C117" i="9"/>
  <c r="C118" i="9"/>
  <c r="C119" i="9"/>
  <c r="C120" i="9"/>
  <c r="C245" i="7" l="1"/>
  <c r="C225" i="7"/>
  <c r="C237" i="7" l="1"/>
  <c r="C249" i="7" s="1"/>
  <c r="CF98" i="39" l="1"/>
  <c r="BQ99" i="39"/>
  <c r="BR99" i="39"/>
  <c r="BS99" i="39"/>
  <c r="BT99" i="39"/>
  <c r="BU99" i="39"/>
  <c r="BV99" i="39"/>
  <c r="BW99" i="39"/>
  <c r="BX99" i="39"/>
  <c r="BY99" i="39"/>
  <c r="BZ99" i="39"/>
  <c r="CA99" i="39"/>
  <c r="CB99" i="39"/>
  <c r="H99" i="30" s="1"/>
  <c r="O99" i="30" s="1"/>
  <c r="BQ100" i="39"/>
  <c r="BR100" i="39"/>
  <c r="BS100" i="39"/>
  <c r="BT100" i="39"/>
  <c r="BT112" i="39" s="1"/>
  <c r="BU100" i="39"/>
  <c r="BU112" i="39" s="1"/>
  <c r="BV100" i="39"/>
  <c r="BV112" i="39" s="1"/>
  <c r="BW100" i="39"/>
  <c r="BW112" i="39" s="1"/>
  <c r="BX100" i="39"/>
  <c r="BY100" i="39"/>
  <c r="BY112" i="39" s="1"/>
  <c r="BZ100" i="39"/>
  <c r="BZ112" i="39" s="1"/>
  <c r="CA100" i="39"/>
  <c r="CA112" i="39" s="1"/>
  <c r="CB100" i="39"/>
  <c r="H100" i="30" s="1"/>
  <c r="O100" i="30" s="1"/>
  <c r="BQ101" i="39"/>
  <c r="BR101" i="39"/>
  <c r="BR113" i="39" s="1"/>
  <c r="BS101" i="39"/>
  <c r="BS113" i="39" s="1"/>
  <c r="BT101" i="39"/>
  <c r="BT113" i="39" s="1"/>
  <c r="BU101" i="39"/>
  <c r="BU113" i="39" s="1"/>
  <c r="BV101" i="39"/>
  <c r="BV113" i="39" s="1"/>
  <c r="BW101" i="39"/>
  <c r="BW113" i="39" s="1"/>
  <c r="BX101" i="39"/>
  <c r="BX113" i="39" s="1"/>
  <c r="BY101" i="39"/>
  <c r="BZ101" i="39"/>
  <c r="BZ113" i="39" s="1"/>
  <c r="CA101" i="39"/>
  <c r="CA113" i="39" s="1"/>
  <c r="CB101" i="39"/>
  <c r="H101" i="30" s="1"/>
  <c r="O101" i="30" s="1"/>
  <c r="BQ102" i="39"/>
  <c r="BQ114" i="39" s="1"/>
  <c r="BR102" i="39"/>
  <c r="BR114" i="39" s="1"/>
  <c r="BS102" i="39"/>
  <c r="BS114" i="39" s="1"/>
  <c r="BT102" i="39"/>
  <c r="BU102" i="39"/>
  <c r="BU114" i="39" s="1"/>
  <c r="BV102" i="39"/>
  <c r="BV114" i="39" s="1"/>
  <c r="BW102" i="39"/>
  <c r="BW114" i="39" s="1"/>
  <c r="BX102" i="39"/>
  <c r="BY102" i="39"/>
  <c r="BZ102" i="39"/>
  <c r="BZ114" i="39" s="1"/>
  <c r="CA102" i="39"/>
  <c r="CB102" i="39"/>
  <c r="H102" i="30" s="1"/>
  <c r="O102" i="30" s="1"/>
  <c r="BQ103" i="39"/>
  <c r="BQ115" i="39" s="1"/>
  <c r="BR103" i="39"/>
  <c r="BR115" i="39" s="1"/>
  <c r="BS103" i="39"/>
  <c r="BS115" i="39" s="1"/>
  <c r="BT103" i="39"/>
  <c r="BU103" i="39"/>
  <c r="BU115" i="39" s="1"/>
  <c r="BV103" i="39"/>
  <c r="BV115" i="39" s="1"/>
  <c r="BW103" i="39"/>
  <c r="BW115" i="39" s="1"/>
  <c r="BX103" i="39"/>
  <c r="BY103" i="39"/>
  <c r="BZ103" i="39"/>
  <c r="BZ115" i="39" s="1"/>
  <c r="CA103" i="39"/>
  <c r="CA115" i="39" s="1"/>
  <c r="CB103" i="39"/>
  <c r="H103" i="30" s="1"/>
  <c r="O103" i="30" s="1"/>
  <c r="BQ104" i="39"/>
  <c r="BQ116" i="39" s="1"/>
  <c r="BR104" i="39"/>
  <c r="BR116" i="39" s="1"/>
  <c r="BS104" i="39"/>
  <c r="BS116" i="39" s="1"/>
  <c r="BT104" i="39"/>
  <c r="BT116" i="39" s="1"/>
  <c r="BU104" i="39"/>
  <c r="BV104" i="39"/>
  <c r="BV116" i="39" s="1"/>
  <c r="BW104" i="39"/>
  <c r="BW116" i="39" s="1"/>
  <c r="BX104" i="39"/>
  <c r="BY104" i="39"/>
  <c r="BY116" i="39" s="1"/>
  <c r="BZ104" i="39"/>
  <c r="BZ116" i="39" s="1"/>
  <c r="CA104" i="39"/>
  <c r="CA116" i="39" s="1"/>
  <c r="CB104" i="39"/>
  <c r="H104" i="30" s="1"/>
  <c r="O104" i="30" s="1"/>
  <c r="BQ105" i="39"/>
  <c r="BQ117" i="39" s="1"/>
  <c r="BR105" i="39"/>
  <c r="BR117" i="39" s="1"/>
  <c r="BS105" i="39"/>
  <c r="BS117" i="39" s="1"/>
  <c r="BT105" i="39"/>
  <c r="BU105" i="39"/>
  <c r="BV105" i="39"/>
  <c r="BV117" i="39" s="1"/>
  <c r="BW105" i="39"/>
  <c r="BX105" i="39"/>
  <c r="BX117" i="39" s="1"/>
  <c r="BY105" i="39"/>
  <c r="BY117" i="39" s="1"/>
  <c r="BZ105" i="39"/>
  <c r="BZ117" i="39" s="1"/>
  <c r="CA105" i="39"/>
  <c r="CA117" i="39" s="1"/>
  <c r="CB105" i="39"/>
  <c r="H105" i="30" s="1"/>
  <c r="O105" i="30" s="1"/>
  <c r="BQ106" i="39"/>
  <c r="BQ118" i="39" s="1"/>
  <c r="BR106" i="39"/>
  <c r="BR118" i="39" s="1"/>
  <c r="BS106" i="39"/>
  <c r="BS118" i="39" s="1"/>
  <c r="BT106" i="39"/>
  <c r="BU106" i="39"/>
  <c r="BV106" i="39"/>
  <c r="BV118" i="39" s="1"/>
  <c r="BW106" i="39"/>
  <c r="BW118" i="39" s="1"/>
  <c r="BX106" i="39"/>
  <c r="BX118" i="39" s="1"/>
  <c r="BY106" i="39"/>
  <c r="BY118" i="39" s="1"/>
  <c r="BZ106" i="39"/>
  <c r="BZ118" i="39" s="1"/>
  <c r="CA106" i="39"/>
  <c r="CA118" i="39" s="1"/>
  <c r="CB106" i="39"/>
  <c r="H106" i="30" s="1"/>
  <c r="O106" i="30" s="1"/>
  <c r="BQ107" i="39"/>
  <c r="BR107" i="39"/>
  <c r="BR119" i="39" s="1"/>
  <c r="BS107" i="39"/>
  <c r="BS119" i="39" s="1"/>
  <c r="BT107" i="39"/>
  <c r="BU107" i="39"/>
  <c r="BU119" i="39" s="1"/>
  <c r="BV107" i="39"/>
  <c r="BV119" i="39" s="1"/>
  <c r="BW107" i="39"/>
  <c r="BW119" i="39" s="1"/>
  <c r="BX107" i="39"/>
  <c r="BY107" i="39"/>
  <c r="BY119" i="39" s="1"/>
  <c r="BZ107" i="39"/>
  <c r="BZ119" i="39" s="1"/>
  <c r="CA107" i="39"/>
  <c r="CA119" i="39" s="1"/>
  <c r="CB107" i="39"/>
  <c r="H107" i="30" s="1"/>
  <c r="O107" i="30" s="1"/>
  <c r="BQ108" i="39"/>
  <c r="BR108" i="39"/>
  <c r="BR120" i="39" s="1"/>
  <c r="BS108" i="39"/>
  <c r="BT108" i="39"/>
  <c r="BT120" i="39" s="1"/>
  <c r="BU108" i="39"/>
  <c r="BU120" i="39" s="1"/>
  <c r="BV108" i="39"/>
  <c r="BV120" i="39" s="1"/>
  <c r="BW108" i="39"/>
  <c r="BW120" i="39" s="1"/>
  <c r="BX108" i="39"/>
  <c r="BY108" i="39"/>
  <c r="BY120" i="39" s="1"/>
  <c r="BZ108" i="39"/>
  <c r="BZ120" i="39" s="1"/>
  <c r="CA108" i="39"/>
  <c r="CA120" i="39" s="1"/>
  <c r="CB108" i="39"/>
  <c r="H108" i="30" s="1"/>
  <c r="O108" i="30" s="1"/>
  <c r="BQ109" i="39"/>
  <c r="BR109" i="39"/>
  <c r="BR121" i="39" s="1"/>
  <c r="BS109" i="39"/>
  <c r="BS121" i="39" s="1"/>
  <c r="BT109" i="39"/>
  <c r="BT121" i="39" s="1"/>
  <c r="BU109" i="39"/>
  <c r="BU121" i="39" s="1"/>
  <c r="BV109" i="39"/>
  <c r="BV121" i="39" s="1"/>
  <c r="BW109" i="39"/>
  <c r="BW121" i="39" s="1"/>
  <c r="BX109" i="39"/>
  <c r="BX121" i="39" s="1"/>
  <c r="BY109" i="39"/>
  <c r="BZ109" i="39"/>
  <c r="BZ121" i="39" s="1"/>
  <c r="CA109" i="39"/>
  <c r="CA121" i="39" s="1"/>
  <c r="CB109" i="39"/>
  <c r="H109" i="30" s="1"/>
  <c r="O109" i="30" s="1"/>
  <c r="BQ111" i="39"/>
  <c r="BR111" i="39"/>
  <c r="BS111" i="39"/>
  <c r="BT111" i="39"/>
  <c r="BU111" i="39"/>
  <c r="BV111" i="39"/>
  <c r="BW111" i="39"/>
  <c r="BX111" i="39"/>
  <c r="BY111" i="39"/>
  <c r="BZ111" i="39"/>
  <c r="CA111" i="39"/>
  <c r="CB111" i="39"/>
  <c r="H111" i="30" s="1"/>
  <c r="O111" i="30" s="1"/>
  <c r="BQ112" i="39"/>
  <c r="BR112" i="39"/>
  <c r="BS112" i="39"/>
  <c r="BX112" i="39"/>
  <c r="CB112" i="39"/>
  <c r="H112" i="30" s="1"/>
  <c r="O112" i="30" s="1"/>
  <c r="BQ113" i="39"/>
  <c r="BY113" i="39"/>
  <c r="CB113" i="39"/>
  <c r="H113" i="30" s="1"/>
  <c r="O113" i="30" s="1"/>
  <c r="BT114" i="39"/>
  <c r="BX114" i="39"/>
  <c r="BY114" i="39"/>
  <c r="CA114" i="39"/>
  <c r="BT115" i="39"/>
  <c r="BX115" i="39"/>
  <c r="BY115" i="39"/>
  <c r="BU116" i="39"/>
  <c r="BX116" i="39"/>
  <c r="CB116" i="39"/>
  <c r="H116" i="30" s="1"/>
  <c r="O116" i="30" s="1"/>
  <c r="BT117" i="39"/>
  <c r="BU117" i="39"/>
  <c r="BW117" i="39"/>
  <c r="CB117" i="39"/>
  <c r="H117" i="30" s="1"/>
  <c r="O117" i="30" s="1"/>
  <c r="BT118" i="39"/>
  <c r="BU118" i="39"/>
  <c r="BQ119" i="39"/>
  <c r="BT119" i="39"/>
  <c r="BX119" i="39"/>
  <c r="CB119" i="39"/>
  <c r="H119" i="30" s="1"/>
  <c r="O119" i="30" s="1"/>
  <c r="BQ120" i="39"/>
  <c r="BS120" i="39"/>
  <c r="BX120" i="39"/>
  <c r="CB120" i="39"/>
  <c r="H120" i="30" s="1"/>
  <c r="O120" i="30" s="1"/>
  <c r="BQ121" i="39"/>
  <c r="BY121" i="39"/>
  <c r="CB121" i="39"/>
  <c r="H121" i="30" s="1"/>
  <c r="O121" i="30" s="1"/>
  <c r="BR98" i="39"/>
  <c r="BR110" i="39" s="1"/>
  <c r="BS98" i="39"/>
  <c r="BS110" i="39" s="1"/>
  <c r="BT98" i="39"/>
  <c r="BT110" i="39" s="1"/>
  <c r="BU98" i="39"/>
  <c r="BU110" i="39" s="1"/>
  <c r="BV98" i="39"/>
  <c r="BV110" i="39" s="1"/>
  <c r="BW98" i="39"/>
  <c r="BW110" i="39" s="1"/>
  <c r="BX98" i="39"/>
  <c r="BX110" i="39" s="1"/>
  <c r="BY98" i="39"/>
  <c r="BY110" i="39" s="1"/>
  <c r="BZ98" i="39"/>
  <c r="BZ110" i="39" s="1"/>
  <c r="CA98" i="39"/>
  <c r="CA110" i="39" s="1"/>
  <c r="CB98" i="39"/>
  <c r="H98" i="30" s="1"/>
  <c r="O98" i="30" s="1"/>
  <c r="BQ98" i="39"/>
  <c r="BQ110" i="39" s="1"/>
  <c r="B107" i="39"/>
  <c r="AI107" i="39"/>
  <c r="AJ107" i="39"/>
  <c r="AK107" i="39"/>
  <c r="AL107" i="39"/>
  <c r="AM107" i="39"/>
  <c r="AN107" i="39"/>
  <c r="AO107" i="39"/>
  <c r="AP107" i="39"/>
  <c r="AQ107" i="39"/>
  <c r="AR107" i="39"/>
  <c r="AS107" i="39"/>
  <c r="AT107" i="39"/>
  <c r="AU107" i="39"/>
  <c r="AV107" i="39"/>
  <c r="AW107" i="39"/>
  <c r="AX107" i="39"/>
  <c r="AY107" i="39"/>
  <c r="AZ107" i="39"/>
  <c r="BA107" i="39"/>
  <c r="BB107" i="39"/>
  <c r="BC107" i="39"/>
  <c r="BD107" i="39"/>
  <c r="BE107" i="39"/>
  <c r="BF107" i="39"/>
  <c r="BG107" i="39"/>
  <c r="BH107" i="39"/>
  <c r="CF107" i="39"/>
  <c r="B108" i="39"/>
  <c r="AI108" i="39"/>
  <c r="AJ108" i="39"/>
  <c r="AK108" i="39"/>
  <c r="AL108" i="39"/>
  <c r="AM108" i="39"/>
  <c r="AN108" i="39"/>
  <c r="AO108" i="39"/>
  <c r="AP108" i="39"/>
  <c r="AQ108" i="39"/>
  <c r="AR108" i="39"/>
  <c r="AS108" i="39"/>
  <c r="AT108" i="39"/>
  <c r="AU108" i="39"/>
  <c r="AV108" i="39"/>
  <c r="AW108" i="39"/>
  <c r="AX108" i="39"/>
  <c r="AY108" i="39"/>
  <c r="AZ108" i="39"/>
  <c r="BA108" i="39"/>
  <c r="BB108" i="39"/>
  <c r="BC108" i="39"/>
  <c r="BD108" i="39"/>
  <c r="BE108" i="39"/>
  <c r="BF108" i="39"/>
  <c r="BG108" i="39"/>
  <c r="BH108" i="39"/>
  <c r="CF108" i="39"/>
  <c r="B109" i="39"/>
  <c r="AI109" i="39"/>
  <c r="AJ109" i="39"/>
  <c r="AK109" i="39"/>
  <c r="AL109" i="39"/>
  <c r="AM109" i="39"/>
  <c r="AN109" i="39"/>
  <c r="AO109" i="39"/>
  <c r="AP109" i="39"/>
  <c r="AQ109" i="39"/>
  <c r="AR109" i="39"/>
  <c r="AS109" i="39"/>
  <c r="AT109" i="39"/>
  <c r="AU109" i="39"/>
  <c r="AV109" i="39"/>
  <c r="AW109" i="39"/>
  <c r="AX109" i="39"/>
  <c r="AY109" i="39"/>
  <c r="AZ109" i="39"/>
  <c r="BA109" i="39"/>
  <c r="BB109" i="39"/>
  <c r="BC109" i="39"/>
  <c r="BD109" i="39"/>
  <c r="BE109" i="39"/>
  <c r="BF109" i="39"/>
  <c r="BG109" i="39"/>
  <c r="BH109" i="39"/>
  <c r="CF109" i="39"/>
  <c r="B110" i="39"/>
  <c r="AI110" i="39"/>
  <c r="AJ110" i="39"/>
  <c r="AK110" i="39"/>
  <c r="AL110" i="39"/>
  <c r="AM110" i="39"/>
  <c r="AN110" i="39"/>
  <c r="AO110" i="39"/>
  <c r="AP110" i="39"/>
  <c r="AQ110" i="39"/>
  <c r="AR110" i="39"/>
  <c r="AS110" i="39"/>
  <c r="AT110" i="39"/>
  <c r="AU110" i="39"/>
  <c r="AV110" i="39"/>
  <c r="AW110" i="39"/>
  <c r="AX110" i="39"/>
  <c r="AY110" i="39"/>
  <c r="AZ110" i="39"/>
  <c r="BA110" i="39"/>
  <c r="BB110" i="39"/>
  <c r="BC110" i="39"/>
  <c r="BD110" i="39"/>
  <c r="BE110" i="39"/>
  <c r="BF110" i="39"/>
  <c r="BG110" i="39"/>
  <c r="BH110" i="39"/>
  <c r="CF110" i="39"/>
  <c r="B111" i="39"/>
  <c r="AI111" i="39"/>
  <c r="AJ111" i="39"/>
  <c r="AK111" i="39"/>
  <c r="AL111" i="39"/>
  <c r="AM111" i="39"/>
  <c r="AN111" i="39"/>
  <c r="AO111" i="39"/>
  <c r="AP111" i="39"/>
  <c r="AQ111" i="39"/>
  <c r="AR111" i="39"/>
  <c r="AS111" i="39"/>
  <c r="AT111" i="39"/>
  <c r="AU111" i="39"/>
  <c r="AV111" i="39"/>
  <c r="AW111" i="39"/>
  <c r="AX111" i="39"/>
  <c r="AY111" i="39"/>
  <c r="AZ111" i="39"/>
  <c r="BA111" i="39"/>
  <c r="BB111" i="39"/>
  <c r="BC111" i="39"/>
  <c r="BD111" i="39"/>
  <c r="BE111" i="39"/>
  <c r="BF111" i="39"/>
  <c r="BG111" i="39"/>
  <c r="BH111" i="39"/>
  <c r="CF111" i="39"/>
  <c r="B112" i="39"/>
  <c r="AI112" i="39"/>
  <c r="AJ112" i="39"/>
  <c r="AK112" i="39"/>
  <c r="AL112" i="39"/>
  <c r="AM112" i="39"/>
  <c r="AN112" i="39"/>
  <c r="AO112" i="39"/>
  <c r="AP112" i="39"/>
  <c r="AQ112" i="39"/>
  <c r="AR112" i="39"/>
  <c r="AS112" i="39"/>
  <c r="AT112" i="39"/>
  <c r="AU112" i="39"/>
  <c r="AV112" i="39"/>
  <c r="AW112" i="39"/>
  <c r="AX112" i="39"/>
  <c r="AY112" i="39"/>
  <c r="AZ112" i="39"/>
  <c r="BA112" i="39"/>
  <c r="BB112" i="39"/>
  <c r="BC112" i="39"/>
  <c r="BI112" i="39" s="1"/>
  <c r="BD112" i="39"/>
  <c r="BE112" i="39"/>
  <c r="BF112" i="39"/>
  <c r="BG112" i="39"/>
  <c r="BH112" i="39"/>
  <c r="CF112" i="39"/>
  <c r="B113" i="39"/>
  <c r="AI113" i="39"/>
  <c r="AJ113" i="39"/>
  <c r="AK113" i="39"/>
  <c r="AL113" i="39"/>
  <c r="AM113" i="39"/>
  <c r="AN113" i="39"/>
  <c r="AO113" i="39"/>
  <c r="AP113" i="39"/>
  <c r="AQ113" i="39"/>
  <c r="AR113" i="39"/>
  <c r="AS113" i="39"/>
  <c r="AT113" i="39"/>
  <c r="AU113" i="39"/>
  <c r="AV113" i="39"/>
  <c r="AW113" i="39"/>
  <c r="AX113" i="39"/>
  <c r="AY113" i="39"/>
  <c r="AZ113" i="39"/>
  <c r="BA113" i="39"/>
  <c r="BB113" i="39"/>
  <c r="BC113" i="39"/>
  <c r="BD113" i="39"/>
  <c r="BE113" i="39"/>
  <c r="BF113" i="39"/>
  <c r="BG113" i="39"/>
  <c r="BH113" i="39"/>
  <c r="CF113" i="39"/>
  <c r="B114" i="39"/>
  <c r="AI114" i="39"/>
  <c r="AJ114" i="39"/>
  <c r="AK114" i="39"/>
  <c r="AL114" i="39"/>
  <c r="AM114" i="39"/>
  <c r="AN114" i="39"/>
  <c r="AO114" i="39"/>
  <c r="AP114" i="39"/>
  <c r="AQ114" i="39"/>
  <c r="AR114" i="39"/>
  <c r="AS114" i="39"/>
  <c r="AT114" i="39"/>
  <c r="AU114" i="39"/>
  <c r="AV114" i="39"/>
  <c r="AW114" i="39"/>
  <c r="AX114" i="39"/>
  <c r="AY114" i="39"/>
  <c r="AZ114" i="39"/>
  <c r="BA114" i="39"/>
  <c r="BB114" i="39"/>
  <c r="BC114" i="39"/>
  <c r="BD114" i="39"/>
  <c r="BE114" i="39"/>
  <c r="BF114" i="39"/>
  <c r="BG114" i="39"/>
  <c r="BH114" i="39"/>
  <c r="CF114" i="39"/>
  <c r="B115" i="39"/>
  <c r="AI115" i="39"/>
  <c r="AJ115" i="39"/>
  <c r="AK115" i="39"/>
  <c r="AL115" i="39"/>
  <c r="AM115" i="39"/>
  <c r="AN115" i="39"/>
  <c r="AO115" i="39"/>
  <c r="AP115" i="39"/>
  <c r="AQ115" i="39"/>
  <c r="AR115" i="39"/>
  <c r="AS115" i="39"/>
  <c r="AT115" i="39"/>
  <c r="AU115" i="39"/>
  <c r="AV115" i="39"/>
  <c r="AW115" i="39"/>
  <c r="AX115" i="39"/>
  <c r="AY115" i="39"/>
  <c r="AZ115" i="39"/>
  <c r="BA115" i="39"/>
  <c r="BB115" i="39"/>
  <c r="BC115" i="39"/>
  <c r="BD115" i="39"/>
  <c r="BE115" i="39"/>
  <c r="BF115" i="39"/>
  <c r="BG115" i="39"/>
  <c r="BH115" i="39"/>
  <c r="CF115" i="39"/>
  <c r="B116" i="39"/>
  <c r="AI116" i="39"/>
  <c r="AJ116" i="39"/>
  <c r="AK116" i="39"/>
  <c r="AL116" i="39"/>
  <c r="AM116" i="39"/>
  <c r="AN116" i="39"/>
  <c r="AO116" i="39"/>
  <c r="AP116" i="39"/>
  <c r="AQ116" i="39"/>
  <c r="AR116" i="39"/>
  <c r="AS116" i="39"/>
  <c r="AT116" i="39"/>
  <c r="AU116" i="39"/>
  <c r="AV116" i="39"/>
  <c r="AW116" i="39"/>
  <c r="AX116" i="39"/>
  <c r="AY116" i="39"/>
  <c r="AZ116" i="39"/>
  <c r="BA116" i="39"/>
  <c r="BB116" i="39"/>
  <c r="BC116" i="39"/>
  <c r="BD116" i="39"/>
  <c r="BE116" i="39"/>
  <c r="BF116" i="39"/>
  <c r="BG116" i="39"/>
  <c r="BH116" i="39"/>
  <c r="CF116" i="39"/>
  <c r="B117" i="39"/>
  <c r="AI117" i="39"/>
  <c r="AJ117" i="39"/>
  <c r="AK117" i="39"/>
  <c r="AL117" i="39"/>
  <c r="AM117" i="39"/>
  <c r="AN117" i="39"/>
  <c r="AO117" i="39"/>
  <c r="AP117" i="39"/>
  <c r="AQ117" i="39"/>
  <c r="AR117" i="39"/>
  <c r="AS117" i="39"/>
  <c r="AT117" i="39"/>
  <c r="AU117" i="39"/>
  <c r="AV117" i="39"/>
  <c r="AW117" i="39"/>
  <c r="AX117" i="39"/>
  <c r="AY117" i="39"/>
  <c r="AZ117" i="39"/>
  <c r="BA117" i="39"/>
  <c r="BB117" i="39"/>
  <c r="BC117" i="39"/>
  <c r="BD117" i="39"/>
  <c r="BE117" i="39"/>
  <c r="BF117" i="39"/>
  <c r="BG117" i="39"/>
  <c r="BH117" i="39"/>
  <c r="CF117" i="39"/>
  <c r="B118" i="39"/>
  <c r="AI118" i="39"/>
  <c r="AJ118" i="39"/>
  <c r="AK118" i="39"/>
  <c r="AL118" i="39"/>
  <c r="AM118" i="39"/>
  <c r="AN118" i="39"/>
  <c r="AO118" i="39"/>
  <c r="AP118" i="39"/>
  <c r="AQ118" i="39"/>
  <c r="AR118" i="39"/>
  <c r="AS118" i="39"/>
  <c r="AT118" i="39"/>
  <c r="AU118" i="39"/>
  <c r="AV118" i="39"/>
  <c r="AW118" i="39"/>
  <c r="AX118" i="39"/>
  <c r="AY118" i="39"/>
  <c r="AZ118" i="39"/>
  <c r="BA118" i="39"/>
  <c r="BB118" i="39"/>
  <c r="BC118" i="39"/>
  <c r="BD118" i="39"/>
  <c r="BE118" i="39"/>
  <c r="BF118" i="39"/>
  <c r="BG118" i="39"/>
  <c r="BH118" i="39"/>
  <c r="CF118" i="39"/>
  <c r="B119" i="39"/>
  <c r="AI119" i="39"/>
  <c r="AJ119" i="39"/>
  <c r="AK119" i="39"/>
  <c r="AL119" i="39"/>
  <c r="AM119" i="39"/>
  <c r="AN119" i="39"/>
  <c r="AO119" i="39"/>
  <c r="AP119" i="39"/>
  <c r="AQ119" i="39"/>
  <c r="AR119" i="39"/>
  <c r="AS119" i="39"/>
  <c r="AT119" i="39"/>
  <c r="AU119" i="39"/>
  <c r="AV119" i="39"/>
  <c r="AW119" i="39"/>
  <c r="AX119" i="39"/>
  <c r="AY119" i="39"/>
  <c r="AZ119" i="39"/>
  <c r="BA119" i="39"/>
  <c r="BB119" i="39"/>
  <c r="BC119" i="39"/>
  <c r="BD119" i="39"/>
  <c r="BE119" i="39"/>
  <c r="BF119" i="39"/>
  <c r="BG119" i="39"/>
  <c r="BH119" i="39"/>
  <c r="CF119" i="39"/>
  <c r="B120" i="39"/>
  <c r="AI120" i="39"/>
  <c r="AJ120" i="39"/>
  <c r="AK120" i="39"/>
  <c r="AL120" i="39"/>
  <c r="AM120" i="39"/>
  <c r="AN120" i="39"/>
  <c r="AO120" i="39"/>
  <c r="AP120" i="39"/>
  <c r="AQ120" i="39"/>
  <c r="AR120" i="39"/>
  <c r="AS120" i="39"/>
  <c r="AT120" i="39"/>
  <c r="AU120" i="39"/>
  <c r="AV120" i="39"/>
  <c r="AW120" i="39"/>
  <c r="AX120" i="39"/>
  <c r="AY120" i="39"/>
  <c r="AZ120" i="39"/>
  <c r="BA120" i="39"/>
  <c r="BB120" i="39"/>
  <c r="BC120" i="39"/>
  <c r="BD120" i="39"/>
  <c r="BE120" i="39"/>
  <c r="BF120" i="39"/>
  <c r="BG120" i="39"/>
  <c r="BH120" i="39"/>
  <c r="CF120" i="39"/>
  <c r="B121" i="39"/>
  <c r="AI121" i="39"/>
  <c r="AJ121" i="39"/>
  <c r="AK121" i="39"/>
  <c r="AL121" i="39"/>
  <c r="AM121" i="39"/>
  <c r="AN121" i="39"/>
  <c r="AO121" i="39"/>
  <c r="AP121" i="39"/>
  <c r="AQ121" i="39"/>
  <c r="AR121" i="39"/>
  <c r="AS121" i="39"/>
  <c r="AT121" i="39"/>
  <c r="AU121" i="39"/>
  <c r="AV121" i="39"/>
  <c r="AW121" i="39"/>
  <c r="AX121" i="39"/>
  <c r="AY121" i="39"/>
  <c r="G121" i="41" s="1"/>
  <c r="AZ121" i="39"/>
  <c r="BA121" i="39"/>
  <c r="BB121" i="39"/>
  <c r="BC121" i="39"/>
  <c r="BD121" i="39"/>
  <c r="BE121" i="39"/>
  <c r="BF121" i="39"/>
  <c r="BG121" i="39"/>
  <c r="BH121" i="39"/>
  <c r="CF121" i="39"/>
  <c r="B98" i="39"/>
  <c r="AI98" i="39"/>
  <c r="AJ98" i="39"/>
  <c r="AK98" i="39"/>
  <c r="AL98" i="39"/>
  <c r="AM98" i="39"/>
  <c r="AN98" i="39"/>
  <c r="AO98" i="39"/>
  <c r="AP98" i="39"/>
  <c r="AQ98" i="39"/>
  <c r="AR98" i="39"/>
  <c r="AS98" i="39"/>
  <c r="AT98" i="39"/>
  <c r="AU98" i="39"/>
  <c r="AV98" i="39"/>
  <c r="AW98" i="39"/>
  <c r="AX98" i="39"/>
  <c r="AY98" i="39"/>
  <c r="AZ98" i="39"/>
  <c r="BA98" i="39"/>
  <c r="BB98" i="39"/>
  <c r="BC98" i="39"/>
  <c r="BD98" i="39"/>
  <c r="BE98" i="39"/>
  <c r="BF98" i="39"/>
  <c r="BG98" i="39"/>
  <c r="BH98" i="39"/>
  <c r="B99" i="39"/>
  <c r="AI99" i="39"/>
  <c r="AJ99" i="39"/>
  <c r="AK99" i="39"/>
  <c r="AL99" i="39"/>
  <c r="AM99" i="39"/>
  <c r="AN99" i="39"/>
  <c r="AO99" i="39"/>
  <c r="AP99" i="39"/>
  <c r="AQ99" i="39"/>
  <c r="AR99" i="39"/>
  <c r="AS99" i="39"/>
  <c r="AT99" i="39"/>
  <c r="AU99" i="39"/>
  <c r="AV99" i="39"/>
  <c r="AW99" i="39"/>
  <c r="AX99" i="39"/>
  <c r="AY99" i="39"/>
  <c r="AZ99" i="39"/>
  <c r="BA99" i="39"/>
  <c r="BB99" i="39"/>
  <c r="BC99" i="39"/>
  <c r="BD99" i="39"/>
  <c r="BE99" i="39"/>
  <c r="BF99" i="39"/>
  <c r="BG99" i="39"/>
  <c r="BH99" i="39"/>
  <c r="CF99" i="39"/>
  <c r="B100" i="39"/>
  <c r="AI100" i="39"/>
  <c r="AJ100" i="39"/>
  <c r="AK100" i="39"/>
  <c r="AL100" i="39"/>
  <c r="AM100" i="39"/>
  <c r="AN100" i="39"/>
  <c r="AO100" i="39"/>
  <c r="AP100" i="39"/>
  <c r="AQ100" i="39"/>
  <c r="AR100" i="39"/>
  <c r="AS100" i="39"/>
  <c r="AT100" i="39"/>
  <c r="AU100" i="39"/>
  <c r="AV100" i="39"/>
  <c r="AW100" i="39"/>
  <c r="AX100" i="39"/>
  <c r="AY100" i="39"/>
  <c r="AZ100" i="39"/>
  <c r="BA100" i="39"/>
  <c r="BB100" i="39"/>
  <c r="BC100" i="39"/>
  <c r="BD100" i="39"/>
  <c r="BE100" i="39"/>
  <c r="BF100" i="39"/>
  <c r="BG100" i="39"/>
  <c r="BH100" i="39"/>
  <c r="CF100" i="39"/>
  <c r="B101" i="39"/>
  <c r="AI101" i="39"/>
  <c r="AJ101" i="39"/>
  <c r="AK101" i="39"/>
  <c r="AL101" i="39"/>
  <c r="AM101" i="39"/>
  <c r="AN101" i="39"/>
  <c r="AO101" i="39"/>
  <c r="AP101" i="39"/>
  <c r="AQ101" i="39"/>
  <c r="AR101" i="39"/>
  <c r="AS101" i="39"/>
  <c r="AT101" i="39"/>
  <c r="AU101" i="39"/>
  <c r="AV101" i="39"/>
  <c r="AW101" i="39"/>
  <c r="AX101" i="39"/>
  <c r="AY101" i="39"/>
  <c r="AZ101" i="39"/>
  <c r="BA101" i="39"/>
  <c r="BB101" i="39"/>
  <c r="BC101" i="39"/>
  <c r="BD101" i="39"/>
  <c r="BE101" i="39"/>
  <c r="BF101" i="39"/>
  <c r="BG101" i="39"/>
  <c r="BH101" i="39"/>
  <c r="CF101" i="39"/>
  <c r="B102" i="39"/>
  <c r="AI102" i="39"/>
  <c r="AJ102" i="39"/>
  <c r="AK102" i="39"/>
  <c r="AL102" i="39"/>
  <c r="AM102" i="39"/>
  <c r="AN102" i="39"/>
  <c r="AO102" i="39"/>
  <c r="AP102" i="39"/>
  <c r="AQ102" i="39"/>
  <c r="AR102" i="39"/>
  <c r="AS102" i="39"/>
  <c r="AT102" i="39"/>
  <c r="AU102" i="39"/>
  <c r="AV102" i="39"/>
  <c r="AW102" i="39"/>
  <c r="AX102" i="39"/>
  <c r="AY102" i="39"/>
  <c r="AZ102" i="39"/>
  <c r="BA102" i="39"/>
  <c r="BB102" i="39"/>
  <c r="BC102" i="39"/>
  <c r="BD102" i="39"/>
  <c r="BE102" i="39"/>
  <c r="BF102" i="39"/>
  <c r="BG102" i="39"/>
  <c r="BH102" i="39"/>
  <c r="CF102" i="39"/>
  <c r="B103" i="39"/>
  <c r="AI103" i="39"/>
  <c r="AJ103" i="39"/>
  <c r="AK103" i="39"/>
  <c r="AL103" i="39"/>
  <c r="AM103" i="39"/>
  <c r="AN103" i="39"/>
  <c r="AO103" i="39"/>
  <c r="AP103" i="39"/>
  <c r="AQ103" i="39"/>
  <c r="AR103" i="39"/>
  <c r="AS103" i="39"/>
  <c r="AT103" i="39"/>
  <c r="AU103" i="39"/>
  <c r="AV103" i="39"/>
  <c r="AW103" i="39"/>
  <c r="AX103" i="39"/>
  <c r="AY103" i="39"/>
  <c r="AZ103" i="39"/>
  <c r="BA103" i="39"/>
  <c r="BB103" i="39"/>
  <c r="BC103" i="39"/>
  <c r="BD103" i="39"/>
  <c r="BE103" i="39"/>
  <c r="BF103" i="39"/>
  <c r="BG103" i="39"/>
  <c r="BH103" i="39"/>
  <c r="CF103" i="39"/>
  <c r="B104" i="39"/>
  <c r="AI104" i="39"/>
  <c r="AJ104" i="39"/>
  <c r="AK104" i="39"/>
  <c r="AL104" i="39"/>
  <c r="AM104" i="39"/>
  <c r="AN104" i="39"/>
  <c r="AO104" i="39"/>
  <c r="AP104" i="39"/>
  <c r="AQ104" i="39"/>
  <c r="AR104" i="39"/>
  <c r="AS104" i="39"/>
  <c r="AT104" i="39"/>
  <c r="AU104" i="39"/>
  <c r="AV104" i="39"/>
  <c r="AW104" i="39"/>
  <c r="AX104" i="39"/>
  <c r="AY104" i="39"/>
  <c r="AZ104" i="39"/>
  <c r="BA104" i="39"/>
  <c r="BB104" i="39"/>
  <c r="BC104" i="39"/>
  <c r="BD104" i="39"/>
  <c r="BE104" i="39"/>
  <c r="BF104" i="39"/>
  <c r="BG104" i="39"/>
  <c r="BH104" i="39"/>
  <c r="CF104" i="39"/>
  <c r="B105" i="39"/>
  <c r="AI105" i="39"/>
  <c r="AJ105" i="39"/>
  <c r="AK105" i="39"/>
  <c r="AL105" i="39"/>
  <c r="AM105" i="39"/>
  <c r="AN105" i="39"/>
  <c r="AO105" i="39"/>
  <c r="AP105" i="39"/>
  <c r="AQ105" i="39"/>
  <c r="AR105" i="39"/>
  <c r="AS105" i="39"/>
  <c r="AT105" i="39"/>
  <c r="AU105" i="39"/>
  <c r="AV105" i="39"/>
  <c r="AW105" i="39"/>
  <c r="AX105" i="39"/>
  <c r="AY105" i="39"/>
  <c r="AZ105" i="39"/>
  <c r="BA105" i="39"/>
  <c r="BB105" i="39"/>
  <c r="BC105" i="39"/>
  <c r="BD105" i="39"/>
  <c r="BE105" i="39"/>
  <c r="BF105" i="39"/>
  <c r="BG105" i="39"/>
  <c r="BH105" i="39"/>
  <c r="CF105" i="39"/>
  <c r="B106" i="39"/>
  <c r="AI106" i="39"/>
  <c r="AJ106" i="39"/>
  <c r="AK106" i="39"/>
  <c r="AL106" i="39"/>
  <c r="AM106" i="39"/>
  <c r="AN106" i="39"/>
  <c r="AO106" i="39"/>
  <c r="AP106" i="39"/>
  <c r="AQ106" i="39"/>
  <c r="AR106" i="39"/>
  <c r="AS106" i="39"/>
  <c r="AT106" i="39"/>
  <c r="AU106" i="39"/>
  <c r="AV106" i="39"/>
  <c r="AW106" i="39"/>
  <c r="AX106" i="39"/>
  <c r="AY106" i="39"/>
  <c r="AZ106" i="39"/>
  <c r="BA106" i="39"/>
  <c r="BB106" i="39"/>
  <c r="BC106" i="39"/>
  <c r="BD106" i="39"/>
  <c r="BE106" i="39"/>
  <c r="BF106" i="39"/>
  <c r="BG106" i="39"/>
  <c r="BH106" i="39"/>
  <c r="CF106" i="39"/>
  <c r="O101" i="64"/>
  <c r="O102" i="64"/>
  <c r="O105" i="64"/>
  <c r="O106" i="64"/>
  <c r="O109" i="64"/>
  <c r="O98" i="64"/>
  <c r="AV71" i="33"/>
  <c r="BB71" i="33"/>
  <c r="BI71" i="33"/>
  <c r="BO71" i="33" s="1"/>
  <c r="AW72" i="33"/>
  <c r="BH72" i="33"/>
  <c r="BC74" i="33"/>
  <c r="AV75" i="33"/>
  <c r="BB75" i="33"/>
  <c r="BI75" i="33"/>
  <c r="BO75" i="33" s="1"/>
  <c r="AW76" i="33"/>
  <c r="BB76" i="33"/>
  <c r="BH76" i="33"/>
  <c r="BN76" i="33" s="1"/>
  <c r="BI76" i="33"/>
  <c r="BO76" i="33" s="1"/>
  <c r="AW77" i="33"/>
  <c r="BH77" i="33"/>
  <c r="AV54" i="33"/>
  <c r="BB54" i="33"/>
  <c r="BC54" i="33"/>
  <c r="BI54" i="33"/>
  <c r="AV55" i="33"/>
  <c r="BB55" i="33"/>
  <c r="BI55" i="33"/>
  <c r="BB56" i="33"/>
  <c r="BI56" i="33"/>
  <c r="AW57" i="33"/>
  <c r="BC57" i="33"/>
  <c r="BH57" i="33"/>
  <c r="AV58" i="33"/>
  <c r="BC58" i="33"/>
  <c r="BB59" i="33"/>
  <c r="AW60" i="33"/>
  <c r="BH60" i="33"/>
  <c r="BI60" i="33"/>
  <c r="AW61" i="33"/>
  <c r="BC61" i="33"/>
  <c r="BH61" i="33"/>
  <c r="AV62" i="33"/>
  <c r="AV63" i="33"/>
  <c r="BB63" i="33"/>
  <c r="AW64" i="33"/>
  <c r="BB64" i="33"/>
  <c r="BH64" i="33"/>
  <c r="BI64" i="33"/>
  <c r="AW65" i="33"/>
  <c r="BC65" i="33"/>
  <c r="BH65" i="33"/>
  <c r="BC66" i="33"/>
  <c r="AV67" i="33"/>
  <c r="BB67" i="33"/>
  <c r="BI67" i="33"/>
  <c r="BO67" i="33" s="1"/>
  <c r="AV68" i="33"/>
  <c r="AW68" i="33"/>
  <c r="BH68" i="33"/>
  <c r="BI68" i="33"/>
  <c r="BO68" i="33" s="1"/>
  <c r="AW69" i="33"/>
  <c r="BB69" i="33"/>
  <c r="BH69" i="33"/>
  <c r="BI69" i="33"/>
  <c r="BO69" i="33" s="1"/>
  <c r="AW70" i="33"/>
  <c r="BB70" i="33"/>
  <c r="BH70" i="33"/>
  <c r="B42" i="35"/>
  <c r="B43" i="35"/>
  <c r="B44" i="35"/>
  <c r="B45" i="35"/>
  <c r="B46" i="35"/>
  <c r="B47" i="35"/>
  <c r="B48" i="35"/>
  <c r="B49" i="35"/>
  <c r="E41" i="35"/>
  <c r="D41" i="35"/>
  <c r="C41" i="35"/>
  <c r="CB115" i="39" l="1"/>
  <c r="H115" i="30" s="1"/>
  <c r="O115" i="30" s="1"/>
  <c r="CB118" i="39"/>
  <c r="H118" i="30" s="1"/>
  <c r="O118" i="30" s="1"/>
  <c r="CB114" i="39"/>
  <c r="H114" i="30" s="1"/>
  <c r="O114" i="30" s="1"/>
  <c r="AV74" i="33"/>
  <c r="BH71" i="33"/>
  <c r="BN71" i="33" s="1"/>
  <c r="BP71" i="33" s="1"/>
  <c r="L117" i="47"/>
  <c r="L117" i="64"/>
  <c r="N117" i="58"/>
  <c r="L115" i="64"/>
  <c r="L115" i="47"/>
  <c r="N115" i="58"/>
  <c r="L111" i="64"/>
  <c r="L111" i="47"/>
  <c r="N111" i="58"/>
  <c r="L109" i="64"/>
  <c r="N109" i="58"/>
  <c r="L109" i="47"/>
  <c r="J101" i="66"/>
  <c r="M101" i="64"/>
  <c r="O101" i="58"/>
  <c r="O121" i="58"/>
  <c r="J121" i="66"/>
  <c r="M121" i="64"/>
  <c r="K121" i="47"/>
  <c r="M121" i="58"/>
  <c r="L118" i="64"/>
  <c r="N118" i="58"/>
  <c r="L118" i="47"/>
  <c r="J114" i="66"/>
  <c r="M114" i="64"/>
  <c r="O114" i="58"/>
  <c r="M114" i="58"/>
  <c r="K114" i="47"/>
  <c r="J112" i="66"/>
  <c r="M112" i="64"/>
  <c r="O112" i="58"/>
  <c r="M112" i="58"/>
  <c r="K112" i="47"/>
  <c r="J110" i="66"/>
  <c r="O110" i="58"/>
  <c r="M110" i="64"/>
  <c r="M110" i="58"/>
  <c r="K110" i="47"/>
  <c r="BB62" i="33"/>
  <c r="J104" i="66"/>
  <c r="M104" i="64"/>
  <c r="O104" i="58"/>
  <c r="K104" i="47"/>
  <c r="M104" i="58"/>
  <c r="L103" i="64"/>
  <c r="L103" i="47"/>
  <c r="N103" i="58"/>
  <c r="L102" i="64"/>
  <c r="L102" i="47"/>
  <c r="N102" i="58"/>
  <c r="L101" i="64"/>
  <c r="N101" i="58"/>
  <c r="L101" i="47"/>
  <c r="L100" i="64"/>
  <c r="L100" i="47"/>
  <c r="N100" i="58"/>
  <c r="M99" i="64"/>
  <c r="J99" i="66"/>
  <c r="O99" i="58"/>
  <c r="M99" i="58"/>
  <c r="K99" i="47"/>
  <c r="L98" i="64"/>
  <c r="L98" i="47"/>
  <c r="N98" i="58"/>
  <c r="L121" i="64"/>
  <c r="L121" i="47"/>
  <c r="N121" i="58"/>
  <c r="J120" i="66"/>
  <c r="O120" i="58"/>
  <c r="M120" i="64"/>
  <c r="K120" i="47"/>
  <c r="M120" i="58"/>
  <c r="O120" i="64"/>
  <c r="O108" i="64"/>
  <c r="O116" i="64"/>
  <c r="O104" i="64"/>
  <c r="O112" i="64"/>
  <c r="O100" i="64"/>
  <c r="L108" i="64"/>
  <c r="L108" i="47"/>
  <c r="N108" i="58"/>
  <c r="M103" i="64"/>
  <c r="J103" i="66"/>
  <c r="O103" i="58"/>
  <c r="M103" i="58"/>
  <c r="K103" i="47"/>
  <c r="J102" i="66"/>
  <c r="O102" i="58"/>
  <c r="M102" i="64"/>
  <c r="M102" i="58"/>
  <c r="K102" i="47"/>
  <c r="M101" i="58"/>
  <c r="K101" i="47"/>
  <c r="J100" i="66"/>
  <c r="M100" i="64"/>
  <c r="O100" i="58"/>
  <c r="J98" i="66"/>
  <c r="M98" i="64"/>
  <c r="O98" i="58"/>
  <c r="BC73" i="33"/>
  <c r="L114" i="64"/>
  <c r="N114" i="58"/>
  <c r="L114" i="47"/>
  <c r="L112" i="47"/>
  <c r="L112" i="64"/>
  <c r="N112" i="58"/>
  <c r="L110" i="64"/>
  <c r="L110" i="47"/>
  <c r="N110" i="58"/>
  <c r="J107" i="66"/>
  <c r="M107" i="64"/>
  <c r="O107" i="58"/>
  <c r="M107" i="58"/>
  <c r="K107" i="47"/>
  <c r="J106" i="66"/>
  <c r="O106" i="58"/>
  <c r="M106" i="64"/>
  <c r="M106" i="58"/>
  <c r="K106" i="47"/>
  <c r="J105" i="66"/>
  <c r="M105" i="64"/>
  <c r="O105" i="58"/>
  <c r="M105" i="58"/>
  <c r="K105" i="47"/>
  <c r="L104" i="64"/>
  <c r="N104" i="58"/>
  <c r="L104" i="47"/>
  <c r="L99" i="64"/>
  <c r="L99" i="47"/>
  <c r="N99" i="58"/>
  <c r="L120" i="47"/>
  <c r="L120" i="64"/>
  <c r="N120" i="58"/>
  <c r="BC75" i="33"/>
  <c r="BD75" i="33" s="1"/>
  <c r="O118" i="58"/>
  <c r="M118" i="64"/>
  <c r="J118" i="66"/>
  <c r="K118" i="47"/>
  <c r="M118" i="58"/>
  <c r="L116" i="47"/>
  <c r="L116" i="64"/>
  <c r="N116" i="58"/>
  <c r="L113" i="64"/>
  <c r="N113" i="58"/>
  <c r="L113" i="47"/>
  <c r="K100" i="47"/>
  <c r="M100" i="58"/>
  <c r="M98" i="58"/>
  <c r="K98" i="47"/>
  <c r="L119" i="64"/>
  <c r="L119" i="47"/>
  <c r="N119" i="58"/>
  <c r="O119" i="64"/>
  <c r="O107" i="64"/>
  <c r="O115" i="64"/>
  <c r="O103" i="64"/>
  <c r="O111" i="64"/>
  <c r="O99" i="64"/>
  <c r="J117" i="66"/>
  <c r="O117" i="58"/>
  <c r="M117" i="64"/>
  <c r="K117" i="47"/>
  <c r="M117" i="58"/>
  <c r="O116" i="58"/>
  <c r="J116" i="66"/>
  <c r="M116" i="64"/>
  <c r="K116" i="47"/>
  <c r="M116" i="58"/>
  <c r="AV72" i="33"/>
  <c r="AX72" i="33" s="1"/>
  <c r="J115" i="66"/>
  <c r="M115" i="64"/>
  <c r="O115" i="58"/>
  <c r="M115" i="58"/>
  <c r="K115" i="47"/>
  <c r="AW71" i="33"/>
  <c r="AX71" i="33" s="1"/>
  <c r="M113" i="64"/>
  <c r="J113" i="66"/>
  <c r="O113" i="58"/>
  <c r="K113" i="47"/>
  <c r="M113" i="58"/>
  <c r="J111" i="66"/>
  <c r="M111" i="64"/>
  <c r="O111" i="58"/>
  <c r="M111" i="58"/>
  <c r="K111" i="47"/>
  <c r="M109" i="64"/>
  <c r="J109" i="66"/>
  <c r="O109" i="58"/>
  <c r="M109" i="58"/>
  <c r="K109" i="47"/>
  <c r="J108" i="66"/>
  <c r="M108" i="64"/>
  <c r="O108" i="58"/>
  <c r="K108" i="47"/>
  <c r="M108" i="58"/>
  <c r="L107" i="64"/>
  <c r="L107" i="47"/>
  <c r="N107" i="58"/>
  <c r="L106" i="64"/>
  <c r="L106" i="47"/>
  <c r="N106" i="58"/>
  <c r="L105" i="64"/>
  <c r="N105" i="58"/>
  <c r="L105" i="47"/>
  <c r="BB58" i="33"/>
  <c r="BD58" i="33" s="1"/>
  <c r="BI57" i="33"/>
  <c r="BJ57" i="33" s="1"/>
  <c r="M119" i="64"/>
  <c r="O119" i="58"/>
  <c r="J119" i="66"/>
  <c r="M119" i="58"/>
  <c r="K119" i="47"/>
  <c r="I113" i="58"/>
  <c r="BC62" i="33"/>
  <c r="AW73" i="33"/>
  <c r="BI72" i="33"/>
  <c r="BO72" i="33" s="1"/>
  <c r="BC55" i="33"/>
  <c r="BD55" i="33" s="1"/>
  <c r="BC77" i="33"/>
  <c r="J120" i="29"/>
  <c r="Q120" i="29" s="1"/>
  <c r="I116" i="58"/>
  <c r="AV69" i="33"/>
  <c r="AX69" i="33" s="1"/>
  <c r="BH67" i="33"/>
  <c r="AW67" i="33"/>
  <c r="AX67" i="33" s="1"/>
  <c r="AV66" i="33"/>
  <c r="BH58" i="33"/>
  <c r="AW58" i="33"/>
  <c r="AX58" i="33" s="1"/>
  <c r="AV65" i="33"/>
  <c r="AX65" i="33" s="1"/>
  <c r="BB68" i="33"/>
  <c r="BI63" i="33"/>
  <c r="BC60" i="33"/>
  <c r="AV59" i="33"/>
  <c r="AV57" i="33"/>
  <c r="AX57" i="33" s="1"/>
  <c r="BH56" i="33"/>
  <c r="BJ56" i="33" s="1"/>
  <c r="AW56" i="33"/>
  <c r="BH74" i="33"/>
  <c r="BN74" i="33" s="1"/>
  <c r="AW74" i="33"/>
  <c r="BC70" i="33"/>
  <c r="BD70" i="33" s="1"/>
  <c r="AV64" i="33"/>
  <c r="AX64" i="33" s="1"/>
  <c r="I121" i="58"/>
  <c r="I114" i="58"/>
  <c r="BC68" i="33"/>
  <c r="BH73" i="33"/>
  <c r="BB72" i="33"/>
  <c r="BI70" i="33"/>
  <c r="BO70" i="33" s="1"/>
  <c r="BP70" i="33" s="1"/>
  <c r="BH66" i="33"/>
  <c r="AW66" i="33"/>
  <c r="BB61" i="33"/>
  <c r="BD61" i="33" s="1"/>
  <c r="I99" i="58"/>
  <c r="BI61" i="33"/>
  <c r="BJ61" i="33" s="1"/>
  <c r="BC67" i="33"/>
  <c r="BD67" i="33" s="1"/>
  <c r="BI66" i="33"/>
  <c r="BO66" i="33" s="1"/>
  <c r="BB66" i="33"/>
  <c r="BD66" i="33" s="1"/>
  <c r="BH63" i="33"/>
  <c r="AW63" i="33"/>
  <c r="AX63" i="33" s="1"/>
  <c r="AV60" i="33"/>
  <c r="AX60" i="33" s="1"/>
  <c r="BC56" i="33"/>
  <c r="BD56" i="33" s="1"/>
  <c r="AV77" i="33"/>
  <c r="AX77" i="33" s="1"/>
  <c r="BC76" i="33"/>
  <c r="BD76" i="33" s="1"/>
  <c r="BB57" i="33"/>
  <c r="BD57" i="33" s="1"/>
  <c r="BC63" i="33"/>
  <c r="BD63" i="33" s="1"/>
  <c r="BH59" i="33"/>
  <c r="AW59" i="33"/>
  <c r="AV56" i="33"/>
  <c r="BI77" i="33"/>
  <c r="BO77" i="33" s="1"/>
  <c r="BB77" i="33"/>
  <c r="BH75" i="33"/>
  <c r="BN75" i="33" s="1"/>
  <c r="BP75" i="33" s="1"/>
  <c r="AW75" i="33"/>
  <c r="AX75" i="33" s="1"/>
  <c r="BB60" i="33"/>
  <c r="BI59" i="33"/>
  <c r="AV70" i="33"/>
  <c r="AX70" i="33" s="1"/>
  <c r="BC69" i="33"/>
  <c r="BD69" i="33" s="1"/>
  <c r="BI65" i="33"/>
  <c r="BJ65" i="33" s="1"/>
  <c r="BB65" i="33"/>
  <c r="BD65" i="33" s="1"/>
  <c r="BC64" i="33"/>
  <c r="BD64" i="33" s="1"/>
  <c r="BH62" i="33"/>
  <c r="AW62" i="33"/>
  <c r="AX62" i="33" s="1"/>
  <c r="AV61" i="33"/>
  <c r="AX61" i="33" s="1"/>
  <c r="BC59" i="33"/>
  <c r="BD59" i="33" s="1"/>
  <c r="BH55" i="33"/>
  <c r="BJ55" i="33" s="1"/>
  <c r="AW55" i="33"/>
  <c r="AX55" i="33" s="1"/>
  <c r="BH54" i="33"/>
  <c r="BJ54" i="33" s="1"/>
  <c r="AW54" i="33"/>
  <c r="AX54" i="33" s="1"/>
  <c r="BI62" i="33"/>
  <c r="BI58" i="33"/>
  <c r="BI74" i="33"/>
  <c r="BO74" i="33" s="1"/>
  <c r="BB74" i="33"/>
  <c r="BD74" i="33" s="1"/>
  <c r="AV73" i="33"/>
  <c r="BC71" i="33"/>
  <c r="BD71" i="33" s="1"/>
  <c r="BI73" i="33"/>
  <c r="BO73" i="33" s="1"/>
  <c r="BB73" i="33"/>
  <c r="BC72" i="33"/>
  <c r="AV76" i="33"/>
  <c r="AX76" i="33" s="1"/>
  <c r="BP69" i="33"/>
  <c r="BP68" i="33"/>
  <c r="BJ60" i="33"/>
  <c r="BP76" i="33"/>
  <c r="BN72" i="33"/>
  <c r="BD54" i="33"/>
  <c r="BN77" i="33"/>
  <c r="H105" i="28"/>
  <c r="N105" i="28" s="1"/>
  <c r="H105" i="47"/>
  <c r="N105" i="47" s="1"/>
  <c r="F103" i="31"/>
  <c r="K103" i="31" s="1"/>
  <c r="F103" i="66"/>
  <c r="H101" i="28"/>
  <c r="N101" i="28" s="1"/>
  <c r="H101" i="47"/>
  <c r="N101" i="47" s="1"/>
  <c r="F99" i="31"/>
  <c r="K99" i="31" s="1"/>
  <c r="F99" i="66"/>
  <c r="F98" i="31"/>
  <c r="K98" i="31" s="1"/>
  <c r="F98" i="66"/>
  <c r="H120" i="28"/>
  <c r="N120" i="28" s="1"/>
  <c r="H120" i="47"/>
  <c r="N120" i="47" s="1"/>
  <c r="F118" i="31"/>
  <c r="K118" i="31" s="1"/>
  <c r="F118" i="66"/>
  <c r="H116" i="28"/>
  <c r="N116" i="28" s="1"/>
  <c r="H116" i="47"/>
  <c r="N116" i="47" s="1"/>
  <c r="F114" i="31"/>
  <c r="K114" i="31" s="1"/>
  <c r="F114" i="66"/>
  <c r="H112" i="28"/>
  <c r="N112" i="28" s="1"/>
  <c r="H112" i="47"/>
  <c r="N112" i="47" s="1"/>
  <c r="F110" i="31"/>
  <c r="K110" i="31" s="1"/>
  <c r="F110" i="66"/>
  <c r="H108" i="28"/>
  <c r="N108" i="28" s="1"/>
  <c r="H108" i="47"/>
  <c r="N108" i="47" s="1"/>
  <c r="F106" i="31"/>
  <c r="K106" i="31" s="1"/>
  <c r="F106" i="66"/>
  <c r="H104" i="28"/>
  <c r="N104" i="28" s="1"/>
  <c r="H104" i="47"/>
  <c r="N104" i="47" s="1"/>
  <c r="F102" i="31"/>
  <c r="K102" i="31" s="1"/>
  <c r="F102" i="66"/>
  <c r="H100" i="28"/>
  <c r="N100" i="28" s="1"/>
  <c r="H100" i="47"/>
  <c r="N100" i="47" s="1"/>
  <c r="F121" i="31"/>
  <c r="K121" i="31" s="1"/>
  <c r="F121" i="66"/>
  <c r="H119" i="28"/>
  <c r="N119" i="28" s="1"/>
  <c r="H119" i="47"/>
  <c r="N119" i="47" s="1"/>
  <c r="F117" i="31"/>
  <c r="K117" i="31" s="1"/>
  <c r="F117" i="66"/>
  <c r="H115" i="28"/>
  <c r="N115" i="28" s="1"/>
  <c r="H115" i="47"/>
  <c r="N115" i="47" s="1"/>
  <c r="F113" i="31"/>
  <c r="K113" i="31" s="1"/>
  <c r="F113" i="66"/>
  <c r="H111" i="28"/>
  <c r="N111" i="28" s="1"/>
  <c r="H111" i="47"/>
  <c r="N111" i="47" s="1"/>
  <c r="BI110" i="39"/>
  <c r="F109" i="31"/>
  <c r="K109" i="31" s="1"/>
  <c r="F109" i="66"/>
  <c r="H107" i="28"/>
  <c r="N107" i="28" s="1"/>
  <c r="H107" i="47"/>
  <c r="N107" i="47" s="1"/>
  <c r="F105" i="31"/>
  <c r="K105" i="31" s="1"/>
  <c r="F105" i="66"/>
  <c r="H103" i="28"/>
  <c r="N103" i="28" s="1"/>
  <c r="H103" i="47"/>
  <c r="N103" i="47" s="1"/>
  <c r="F101" i="31"/>
  <c r="K101" i="31" s="1"/>
  <c r="F101" i="66"/>
  <c r="H99" i="28"/>
  <c r="N99" i="28" s="1"/>
  <c r="H99" i="47"/>
  <c r="N99" i="47" s="1"/>
  <c r="H98" i="28"/>
  <c r="N98" i="28" s="1"/>
  <c r="H98" i="47"/>
  <c r="N98" i="47" s="1"/>
  <c r="F120" i="31"/>
  <c r="K120" i="31" s="1"/>
  <c r="F120" i="66"/>
  <c r="H118" i="28"/>
  <c r="N118" i="28" s="1"/>
  <c r="H118" i="47"/>
  <c r="N118" i="47" s="1"/>
  <c r="F116" i="31"/>
  <c r="K116" i="31" s="1"/>
  <c r="F116" i="66"/>
  <c r="H114" i="28"/>
  <c r="N114" i="28" s="1"/>
  <c r="H114" i="47"/>
  <c r="N114" i="47" s="1"/>
  <c r="F112" i="31"/>
  <c r="K112" i="31" s="1"/>
  <c r="F112" i="66"/>
  <c r="H110" i="28"/>
  <c r="N110" i="28" s="1"/>
  <c r="H110" i="47"/>
  <c r="N110" i="47" s="1"/>
  <c r="F108" i="31"/>
  <c r="K108" i="31" s="1"/>
  <c r="F108" i="66"/>
  <c r="H106" i="28"/>
  <c r="N106" i="28" s="1"/>
  <c r="H106" i="47"/>
  <c r="N106" i="47" s="1"/>
  <c r="F104" i="31"/>
  <c r="K104" i="31" s="1"/>
  <c r="F104" i="66"/>
  <c r="H102" i="28"/>
  <c r="N102" i="28" s="1"/>
  <c r="H102" i="47"/>
  <c r="N102" i="47" s="1"/>
  <c r="F100" i="31"/>
  <c r="K100" i="31" s="1"/>
  <c r="F100" i="66"/>
  <c r="H121" i="28"/>
  <c r="N121" i="28" s="1"/>
  <c r="H121" i="47"/>
  <c r="N121" i="47" s="1"/>
  <c r="F119" i="31"/>
  <c r="K119" i="31" s="1"/>
  <c r="F119" i="66"/>
  <c r="H117" i="28"/>
  <c r="N117" i="28" s="1"/>
  <c r="H117" i="47"/>
  <c r="N117" i="47" s="1"/>
  <c r="F115" i="31"/>
  <c r="K115" i="31" s="1"/>
  <c r="F115" i="66"/>
  <c r="H113" i="28"/>
  <c r="N113" i="28" s="1"/>
  <c r="H113" i="47"/>
  <c r="N113" i="47" s="1"/>
  <c r="F111" i="31"/>
  <c r="K111" i="31" s="1"/>
  <c r="F111" i="66"/>
  <c r="H109" i="28"/>
  <c r="N109" i="28" s="1"/>
  <c r="H109" i="47"/>
  <c r="N109" i="47" s="1"/>
  <c r="F107" i="31"/>
  <c r="K107" i="31" s="1"/>
  <c r="F107" i="66"/>
  <c r="J117" i="29"/>
  <c r="Q117" i="29" s="1"/>
  <c r="I117" i="58"/>
  <c r="E105" i="31"/>
  <c r="J105" i="31" s="1"/>
  <c r="F105" i="30"/>
  <c r="M105" i="30" s="1"/>
  <c r="G105" i="29"/>
  <c r="O105" i="29" s="1"/>
  <c r="F101" i="30"/>
  <c r="M101" i="30" s="1"/>
  <c r="E101" i="31"/>
  <c r="J101" i="31" s="1"/>
  <c r="G101" i="29"/>
  <c r="O101" i="29" s="1"/>
  <c r="E120" i="31"/>
  <c r="J120" i="31" s="1"/>
  <c r="F120" i="30"/>
  <c r="M120" i="30" s="1"/>
  <c r="G120" i="29"/>
  <c r="O120" i="29" s="1"/>
  <c r="F116" i="30"/>
  <c r="M116" i="30" s="1"/>
  <c r="E116" i="31"/>
  <c r="J116" i="31" s="1"/>
  <c r="G116" i="29"/>
  <c r="O116" i="29" s="1"/>
  <c r="E112" i="31"/>
  <c r="J112" i="31" s="1"/>
  <c r="G112" i="29"/>
  <c r="O112" i="29" s="1"/>
  <c r="F112" i="30"/>
  <c r="M112" i="30" s="1"/>
  <c r="E108" i="31"/>
  <c r="J108" i="31" s="1"/>
  <c r="F108" i="30"/>
  <c r="M108" i="30" s="1"/>
  <c r="G108" i="29"/>
  <c r="O108" i="29" s="1"/>
  <c r="CB110" i="39"/>
  <c r="H110" i="30" s="1"/>
  <c r="O110" i="30" s="1"/>
  <c r="BJ69" i="33"/>
  <c r="BJ68" i="33"/>
  <c r="BJ64" i="33"/>
  <c r="I107" i="58"/>
  <c r="J107" i="29"/>
  <c r="Q107" i="29" s="1"/>
  <c r="I106" i="58"/>
  <c r="J106" i="29"/>
  <c r="Q106" i="29" s="1"/>
  <c r="J105" i="29"/>
  <c r="Q105" i="29" s="1"/>
  <c r="I105" i="58"/>
  <c r="J104" i="29"/>
  <c r="Q104" i="29" s="1"/>
  <c r="I104" i="58"/>
  <c r="J103" i="29"/>
  <c r="Q103" i="29" s="1"/>
  <c r="I103" i="58"/>
  <c r="J102" i="29"/>
  <c r="Q102" i="29" s="1"/>
  <c r="I102" i="58"/>
  <c r="I101" i="58"/>
  <c r="J101" i="29"/>
  <c r="Q101" i="29" s="1"/>
  <c r="I100" i="58"/>
  <c r="J100" i="29"/>
  <c r="Q100" i="29" s="1"/>
  <c r="BJ76" i="33"/>
  <c r="J119" i="29"/>
  <c r="Q119" i="29" s="1"/>
  <c r="I119" i="58"/>
  <c r="E104" i="31"/>
  <c r="J104" i="31" s="1"/>
  <c r="F104" i="30"/>
  <c r="M104" i="30" s="1"/>
  <c r="G104" i="29"/>
  <c r="O104" i="29" s="1"/>
  <c r="E100" i="31"/>
  <c r="J100" i="31" s="1"/>
  <c r="F100" i="30"/>
  <c r="M100" i="30" s="1"/>
  <c r="G100" i="29"/>
  <c r="O100" i="29" s="1"/>
  <c r="E119" i="31"/>
  <c r="J119" i="31" s="1"/>
  <c r="F119" i="30"/>
  <c r="M119" i="30" s="1"/>
  <c r="G119" i="29"/>
  <c r="O119" i="29" s="1"/>
  <c r="E115" i="31"/>
  <c r="J115" i="31" s="1"/>
  <c r="F115" i="30"/>
  <c r="M115" i="30" s="1"/>
  <c r="G115" i="29"/>
  <c r="O115" i="29" s="1"/>
  <c r="E111" i="31"/>
  <c r="J111" i="31" s="1"/>
  <c r="F111" i="30"/>
  <c r="M111" i="30" s="1"/>
  <c r="G111" i="29"/>
  <c r="O111" i="29" s="1"/>
  <c r="E107" i="31"/>
  <c r="J107" i="31" s="1"/>
  <c r="F107" i="30"/>
  <c r="M107" i="30" s="1"/>
  <c r="G107" i="29"/>
  <c r="O107" i="29" s="1"/>
  <c r="E98" i="31"/>
  <c r="J98" i="31" s="1"/>
  <c r="F98" i="30"/>
  <c r="M98" i="30" s="1"/>
  <c r="G98" i="29"/>
  <c r="O98" i="29" s="1"/>
  <c r="I118" i="58"/>
  <c r="J118" i="29"/>
  <c r="Q118" i="29" s="1"/>
  <c r="J115" i="29"/>
  <c r="Q115" i="29" s="1"/>
  <c r="I115" i="58"/>
  <c r="J112" i="29"/>
  <c r="Q112" i="29" s="1"/>
  <c r="I112" i="58"/>
  <c r="J111" i="29"/>
  <c r="Q111" i="29" s="1"/>
  <c r="I111" i="58"/>
  <c r="J110" i="29"/>
  <c r="Q110" i="29" s="1"/>
  <c r="I110" i="58"/>
  <c r="I109" i="58"/>
  <c r="J109" i="29"/>
  <c r="Q109" i="29" s="1"/>
  <c r="I108" i="58"/>
  <c r="J108" i="29"/>
  <c r="Q108" i="29" s="1"/>
  <c r="E103" i="31"/>
  <c r="J103" i="31" s="1"/>
  <c r="F103" i="30"/>
  <c r="M103" i="30" s="1"/>
  <c r="G103" i="29"/>
  <c r="O103" i="29" s="1"/>
  <c r="F99" i="30"/>
  <c r="M99" i="30" s="1"/>
  <c r="E99" i="31"/>
  <c r="J99" i="31" s="1"/>
  <c r="G99" i="29"/>
  <c r="O99" i="29" s="1"/>
  <c r="E118" i="31"/>
  <c r="J118" i="31" s="1"/>
  <c r="G118" i="29"/>
  <c r="O118" i="29" s="1"/>
  <c r="F118" i="30"/>
  <c r="M118" i="30" s="1"/>
  <c r="G114" i="29"/>
  <c r="O114" i="29" s="1"/>
  <c r="F114" i="30"/>
  <c r="M114" i="30" s="1"/>
  <c r="E114" i="31"/>
  <c r="J114" i="31" s="1"/>
  <c r="E110" i="31"/>
  <c r="J110" i="31" s="1"/>
  <c r="G110" i="29"/>
  <c r="O110" i="29" s="1"/>
  <c r="F110" i="30"/>
  <c r="M110" i="30" s="1"/>
  <c r="BI108" i="39"/>
  <c r="AX68" i="33"/>
  <c r="I98" i="58"/>
  <c r="J98" i="29"/>
  <c r="Q98" i="29" s="1"/>
  <c r="E106" i="31"/>
  <c r="J106" i="31" s="1"/>
  <c r="F106" i="30"/>
  <c r="M106" i="30" s="1"/>
  <c r="G106" i="29"/>
  <c r="O106" i="29" s="1"/>
  <c r="E102" i="31"/>
  <c r="J102" i="31" s="1"/>
  <c r="F102" i="30"/>
  <c r="M102" i="30" s="1"/>
  <c r="G102" i="29"/>
  <c r="O102" i="29" s="1"/>
  <c r="E121" i="31"/>
  <c r="J121" i="31" s="1"/>
  <c r="F121" i="30"/>
  <c r="M121" i="30" s="1"/>
  <c r="G121" i="29"/>
  <c r="O121" i="29" s="1"/>
  <c r="E117" i="31"/>
  <c r="J117" i="31" s="1"/>
  <c r="F117" i="30"/>
  <c r="M117" i="30" s="1"/>
  <c r="G117" i="29"/>
  <c r="O117" i="29" s="1"/>
  <c r="E113" i="31"/>
  <c r="J113" i="31" s="1"/>
  <c r="F113" i="30"/>
  <c r="M113" i="30" s="1"/>
  <c r="G113" i="29"/>
  <c r="O113" i="29" s="1"/>
  <c r="E109" i="31"/>
  <c r="J109" i="31" s="1"/>
  <c r="F109" i="30"/>
  <c r="M109" i="30" s="1"/>
  <c r="G109" i="29"/>
  <c r="O109" i="29" s="1"/>
  <c r="BI107" i="39"/>
  <c r="O121" i="41"/>
  <c r="P99" i="41"/>
  <c r="V99" i="27"/>
  <c r="P98" i="41"/>
  <c r="V98" i="27"/>
  <c r="P121" i="41"/>
  <c r="P118" i="41"/>
  <c r="P115" i="41"/>
  <c r="P114" i="41"/>
  <c r="P112" i="41"/>
  <c r="P111" i="41"/>
  <c r="P110" i="41"/>
  <c r="P108" i="41"/>
  <c r="P120" i="41"/>
  <c r="O116" i="41"/>
  <c r="P117" i="41"/>
  <c r="P116" i="41"/>
  <c r="O107" i="41"/>
  <c r="O106" i="41"/>
  <c r="O105" i="41"/>
  <c r="O104" i="41"/>
  <c r="O103" i="41"/>
  <c r="O102" i="41"/>
  <c r="O101" i="41"/>
  <c r="O100" i="41"/>
  <c r="O119" i="41"/>
  <c r="P113" i="41"/>
  <c r="P109" i="41"/>
  <c r="O99" i="41"/>
  <c r="U99" i="27"/>
  <c r="O98" i="41"/>
  <c r="U98" i="27"/>
  <c r="O117" i="41"/>
  <c r="O118" i="41"/>
  <c r="O115" i="41"/>
  <c r="O114" i="41"/>
  <c r="O113" i="41"/>
  <c r="O112" i="41"/>
  <c r="O111" i="41"/>
  <c r="O110" i="41"/>
  <c r="O109" i="41"/>
  <c r="O108" i="41"/>
  <c r="P107" i="41"/>
  <c r="P106" i="41"/>
  <c r="P105" i="41"/>
  <c r="P104" i="41"/>
  <c r="P103" i="41"/>
  <c r="P102" i="41"/>
  <c r="P101" i="41"/>
  <c r="P100" i="41"/>
  <c r="O120" i="41"/>
  <c r="P119" i="41"/>
  <c r="R116" i="41"/>
  <c r="R116" i="27"/>
  <c r="Q121" i="27"/>
  <c r="Q121" i="41"/>
  <c r="Q104" i="27"/>
  <c r="Q104" i="41"/>
  <c r="Q103" i="27"/>
  <c r="Q103" i="41"/>
  <c r="Q102" i="27"/>
  <c r="Q102" i="41"/>
  <c r="Q101" i="27"/>
  <c r="Q101" i="41"/>
  <c r="Q100" i="27"/>
  <c r="Q100" i="41"/>
  <c r="R98" i="41"/>
  <c r="R98" i="27"/>
  <c r="O110" i="64"/>
  <c r="R109" i="41"/>
  <c r="R109" i="27"/>
  <c r="O121" i="64"/>
  <c r="R105" i="41"/>
  <c r="R105" i="27"/>
  <c r="O117" i="64"/>
  <c r="R101" i="41"/>
  <c r="R101" i="27"/>
  <c r="Q118" i="27"/>
  <c r="Q118" i="41"/>
  <c r="S99" i="41"/>
  <c r="S99" i="27"/>
  <c r="S98" i="41"/>
  <c r="S98" i="27"/>
  <c r="S121" i="41"/>
  <c r="S121" i="27"/>
  <c r="S118" i="41"/>
  <c r="S118" i="27"/>
  <c r="Q99" i="27"/>
  <c r="Q99" i="41"/>
  <c r="Q98" i="27"/>
  <c r="Q98" i="41"/>
  <c r="S119" i="41"/>
  <c r="S119" i="27"/>
  <c r="R108" i="41"/>
  <c r="R108" i="27"/>
  <c r="R104" i="41"/>
  <c r="R104" i="27"/>
  <c r="R100" i="41"/>
  <c r="R100" i="27"/>
  <c r="Q117" i="27"/>
  <c r="Q117" i="41"/>
  <c r="Q116" i="27"/>
  <c r="Q116" i="41"/>
  <c r="Q115" i="27"/>
  <c r="Q115" i="41"/>
  <c r="Q114" i="27"/>
  <c r="Q114" i="41"/>
  <c r="Q113" i="27"/>
  <c r="Q113" i="41"/>
  <c r="Q112" i="27"/>
  <c r="Q112" i="41"/>
  <c r="Q111" i="27"/>
  <c r="Q111" i="41"/>
  <c r="Q110" i="27"/>
  <c r="Q110" i="41"/>
  <c r="Q109" i="27"/>
  <c r="Q109" i="41"/>
  <c r="Q108" i="27"/>
  <c r="Q108" i="41"/>
  <c r="Q107" i="27"/>
  <c r="Q107" i="41"/>
  <c r="Q106" i="27"/>
  <c r="Q106" i="41"/>
  <c r="Q105" i="27"/>
  <c r="Q105" i="41"/>
  <c r="S117" i="41"/>
  <c r="S117" i="27"/>
  <c r="S116" i="41"/>
  <c r="S116" i="27"/>
  <c r="S115" i="41"/>
  <c r="S115" i="27"/>
  <c r="S114" i="41"/>
  <c r="S114" i="27"/>
  <c r="S113" i="41"/>
  <c r="S113" i="27"/>
  <c r="S112" i="41"/>
  <c r="S112" i="27"/>
  <c r="S111" i="41"/>
  <c r="S111" i="27"/>
  <c r="S110" i="41"/>
  <c r="S110" i="27"/>
  <c r="S109" i="41"/>
  <c r="S109" i="27"/>
  <c r="S108" i="41"/>
  <c r="S108" i="27"/>
  <c r="S107" i="41"/>
  <c r="S107" i="27"/>
  <c r="S106" i="41"/>
  <c r="S106" i="27"/>
  <c r="S105" i="41"/>
  <c r="S105" i="27"/>
  <c r="S104" i="41"/>
  <c r="S104" i="27"/>
  <c r="S103" i="41"/>
  <c r="S103" i="27"/>
  <c r="S102" i="41"/>
  <c r="S102" i="27"/>
  <c r="S101" i="41"/>
  <c r="S101" i="27"/>
  <c r="S100" i="41"/>
  <c r="S100" i="27"/>
  <c r="Q120" i="27"/>
  <c r="Q120" i="41"/>
  <c r="O113" i="64"/>
  <c r="Q119" i="27"/>
  <c r="Q119" i="41"/>
  <c r="R106" i="41"/>
  <c r="R106" i="27"/>
  <c r="O114" i="64"/>
  <c r="R102" i="41"/>
  <c r="R102" i="27"/>
  <c r="S120" i="41"/>
  <c r="S120" i="27"/>
  <c r="O118" i="64"/>
  <c r="R107" i="41"/>
  <c r="R107" i="27"/>
  <c r="R103" i="41"/>
  <c r="R103" i="27"/>
  <c r="R99" i="41"/>
  <c r="R99" i="27"/>
  <c r="BI115" i="39"/>
  <c r="BI101" i="39"/>
  <c r="BI98" i="39"/>
  <c r="BI118" i="39"/>
  <c r="BI119" i="39"/>
  <c r="BI114" i="39"/>
  <c r="BI111" i="39"/>
  <c r="BI113" i="39"/>
  <c r="BI104" i="39"/>
  <c r="BI103" i="39"/>
  <c r="BI120" i="39"/>
  <c r="BI116" i="39"/>
  <c r="BI109" i="39"/>
  <c r="BI100" i="39"/>
  <c r="BI121" i="39"/>
  <c r="BI117" i="39"/>
  <c r="BI105" i="39"/>
  <c r="BI106" i="39"/>
  <c r="BI102" i="39"/>
  <c r="BI99" i="39"/>
  <c r="M118" i="66" l="1"/>
  <c r="M114" i="66"/>
  <c r="BP72" i="33"/>
  <c r="D100" i="28"/>
  <c r="DQ256" i="6"/>
  <c r="O107" i="47"/>
  <c r="AX73" i="33"/>
  <c r="BJ70" i="33"/>
  <c r="BJ72" i="33"/>
  <c r="BD73" i="33"/>
  <c r="O99" i="47"/>
  <c r="O102" i="47"/>
  <c r="Q102" i="47" s="1"/>
  <c r="O105" i="47"/>
  <c r="Q105" i="47" s="1"/>
  <c r="BJ63" i="33"/>
  <c r="O103" i="47"/>
  <c r="J113" i="29"/>
  <c r="Q113" i="29" s="1"/>
  <c r="O116" i="47"/>
  <c r="BD77" i="33"/>
  <c r="J121" i="29"/>
  <c r="Q121" i="29" s="1"/>
  <c r="BJ67" i="33"/>
  <c r="BJ71" i="33"/>
  <c r="R120" i="41"/>
  <c r="J116" i="29"/>
  <c r="Q116" i="29" s="1"/>
  <c r="BJ75" i="33"/>
  <c r="BD60" i="33"/>
  <c r="BJ66" i="33"/>
  <c r="J114" i="29"/>
  <c r="Q114" i="29" s="1"/>
  <c r="O108" i="47"/>
  <c r="R115" i="27"/>
  <c r="R115" i="41"/>
  <c r="I120" i="58"/>
  <c r="AX74" i="33"/>
  <c r="BJ58" i="33"/>
  <c r="BD72" i="33"/>
  <c r="AX56" i="33"/>
  <c r="BD62" i="33"/>
  <c r="O111" i="47"/>
  <c r="R111" i="41"/>
  <c r="R119" i="27"/>
  <c r="J99" i="29"/>
  <c r="Q99" i="29" s="1"/>
  <c r="O109" i="47"/>
  <c r="Q109" i="47" s="1"/>
  <c r="O113" i="47"/>
  <c r="Q113" i="47" s="1"/>
  <c r="O117" i="47"/>
  <c r="Q117" i="47" s="1"/>
  <c r="O114" i="47"/>
  <c r="O98" i="47"/>
  <c r="BP74" i="33"/>
  <c r="R111" i="27"/>
  <c r="O115" i="47"/>
  <c r="R119" i="41"/>
  <c r="BJ59" i="33"/>
  <c r="AX59" i="33"/>
  <c r="BJ73" i="33"/>
  <c r="AX66" i="33"/>
  <c r="O119" i="47"/>
  <c r="O100" i="47"/>
  <c r="O104" i="47"/>
  <c r="O112" i="47"/>
  <c r="O120" i="47"/>
  <c r="BN73" i="33"/>
  <c r="BP73" i="33" s="1"/>
  <c r="DQ260" i="6"/>
  <c r="R112" i="27"/>
  <c r="O121" i="47"/>
  <c r="P121" i="47" s="1"/>
  <c r="O106" i="47"/>
  <c r="Q106" i="47" s="1"/>
  <c r="O110" i="47"/>
  <c r="P110" i="47" s="1"/>
  <c r="O118" i="47"/>
  <c r="P118" i="47" s="1"/>
  <c r="BJ62" i="33"/>
  <c r="R120" i="27"/>
  <c r="R112" i="41"/>
  <c r="O101" i="47"/>
  <c r="BO14" i="33"/>
  <c r="BJ74" i="33"/>
  <c r="BP77" i="33"/>
  <c r="BJ77" i="33"/>
  <c r="BD68" i="33"/>
  <c r="BP66" i="33"/>
  <c r="K105" i="66"/>
  <c r="M105" i="66" s="1"/>
  <c r="K99" i="66"/>
  <c r="M99" i="66" s="1"/>
  <c r="K103" i="66"/>
  <c r="M103" i="66" s="1"/>
  <c r="K109" i="66"/>
  <c r="M109" i="66" s="1"/>
  <c r="K107" i="66"/>
  <c r="M107" i="66" s="1"/>
  <c r="K111" i="66"/>
  <c r="M111" i="66" s="1"/>
  <c r="K115" i="66"/>
  <c r="M115" i="66" s="1"/>
  <c r="K119" i="66"/>
  <c r="M119" i="66" s="1"/>
  <c r="K100" i="66"/>
  <c r="M100" i="66" s="1"/>
  <c r="K104" i="66"/>
  <c r="M104" i="66" s="1"/>
  <c r="K108" i="66"/>
  <c r="M108" i="66" s="1"/>
  <c r="K112" i="66"/>
  <c r="M112" i="66" s="1"/>
  <c r="K116" i="66"/>
  <c r="M116" i="66" s="1"/>
  <c r="K120" i="66"/>
  <c r="M120" i="66" s="1"/>
  <c r="K113" i="66"/>
  <c r="M113" i="66" s="1"/>
  <c r="K117" i="66"/>
  <c r="M117" i="66" s="1"/>
  <c r="K121" i="66"/>
  <c r="M121" i="66" s="1"/>
  <c r="K102" i="66"/>
  <c r="M102" i="66" s="1"/>
  <c r="K106" i="66"/>
  <c r="M106" i="66" s="1"/>
  <c r="K110" i="66"/>
  <c r="M110" i="66" s="1"/>
  <c r="K114" i="66"/>
  <c r="K118" i="66"/>
  <c r="K98" i="66"/>
  <c r="M98" i="66" s="1"/>
  <c r="K101" i="66"/>
  <c r="M101" i="66" s="1"/>
  <c r="Q99" i="58"/>
  <c r="Q109" i="58"/>
  <c r="Q118" i="58"/>
  <c r="Q103" i="58"/>
  <c r="Q105" i="58"/>
  <c r="Q117" i="58"/>
  <c r="Q110" i="58"/>
  <c r="Q112" i="58"/>
  <c r="Q114" i="58"/>
  <c r="Q101" i="58"/>
  <c r="Q107" i="58"/>
  <c r="Q98" i="58"/>
  <c r="Q108" i="58"/>
  <c r="Q119" i="58"/>
  <c r="Q102" i="58"/>
  <c r="Q104" i="58"/>
  <c r="Q121" i="58"/>
  <c r="Q120" i="58"/>
  <c r="Q111" i="58"/>
  <c r="Q113" i="58"/>
  <c r="Q115" i="58"/>
  <c r="Q100" i="58"/>
  <c r="Q106" i="58"/>
  <c r="Q116" i="58"/>
  <c r="CZ100" i="39"/>
  <c r="DQ272" i="6"/>
  <c r="DQ257" i="6"/>
  <c r="R121" i="41"/>
  <c r="R121" i="27"/>
  <c r="R114" i="41"/>
  <c r="R114" i="27"/>
  <c r="R113" i="41"/>
  <c r="R113" i="27"/>
  <c r="R117" i="41"/>
  <c r="R117" i="27"/>
  <c r="R110" i="41"/>
  <c r="R110" i="27"/>
  <c r="R118" i="41"/>
  <c r="R118" i="27"/>
  <c r="DQ277" i="6"/>
  <c r="DQ266" i="6"/>
  <c r="DQ265" i="6"/>
  <c r="DQ269" i="6"/>
  <c r="DQ273" i="6"/>
  <c r="DQ261" i="6"/>
  <c r="DQ258" i="6"/>
  <c r="DQ264" i="6"/>
  <c r="P113" i="47" l="1"/>
  <c r="Q108" i="47"/>
  <c r="BP67" i="33"/>
  <c r="P107" i="47"/>
  <c r="Q103" i="47"/>
  <c r="DP262" i="6"/>
  <c r="P108" i="47"/>
  <c r="Q119" i="47"/>
  <c r="CY104" i="39"/>
  <c r="DP260" i="6"/>
  <c r="CY103" i="39"/>
  <c r="DP259" i="6"/>
  <c r="CY108" i="39"/>
  <c r="DP264" i="6"/>
  <c r="D119" i="28"/>
  <c r="DQ275" i="6"/>
  <c r="CY98" i="39"/>
  <c r="DP254" i="6"/>
  <c r="CY106" i="39"/>
  <c r="CZ118" i="39"/>
  <c r="DQ274" i="6"/>
  <c r="CY100" i="39"/>
  <c r="DP256" i="6"/>
  <c r="CY102" i="39"/>
  <c r="DP258" i="6"/>
  <c r="Q99" i="47"/>
  <c r="CY99" i="39"/>
  <c r="DP255" i="6"/>
  <c r="Q100" i="47"/>
  <c r="P100" i="47"/>
  <c r="P99" i="47"/>
  <c r="P102" i="47"/>
  <c r="P109" i="47"/>
  <c r="P105" i="47"/>
  <c r="P103" i="47"/>
  <c r="Q98" i="47"/>
  <c r="P114" i="47"/>
  <c r="D112" i="28"/>
  <c r="Q107" i="47"/>
  <c r="P111" i="47"/>
  <c r="Q121" i="47"/>
  <c r="Q111" i="47"/>
  <c r="P115" i="47"/>
  <c r="Q114" i="47"/>
  <c r="Q115" i="47"/>
  <c r="Q120" i="47"/>
  <c r="P106" i="47"/>
  <c r="Q110" i="47"/>
  <c r="P119" i="47"/>
  <c r="P120" i="47"/>
  <c r="P98" i="47"/>
  <c r="P104" i="47"/>
  <c r="Q118" i="47"/>
  <c r="CZ119" i="39"/>
  <c r="P117" i="47"/>
  <c r="D118" i="28"/>
  <c r="CZ108" i="39"/>
  <c r="D108" i="28"/>
  <c r="CZ102" i="39"/>
  <c r="D102" i="28"/>
  <c r="CZ105" i="39"/>
  <c r="D105" i="28"/>
  <c r="CZ110" i="39"/>
  <c r="D110" i="28"/>
  <c r="CZ101" i="39"/>
  <c r="D101" i="28"/>
  <c r="Q116" i="47"/>
  <c r="P116" i="47"/>
  <c r="CZ113" i="39"/>
  <c r="D113" i="28"/>
  <c r="D116" i="28"/>
  <c r="CZ116" i="39"/>
  <c r="CZ104" i="39"/>
  <c r="D104" i="28"/>
  <c r="CZ109" i="39"/>
  <c r="D109" i="28"/>
  <c r="Q112" i="47"/>
  <c r="P112" i="47"/>
  <c r="CZ117" i="39"/>
  <c r="D117" i="28"/>
  <c r="CZ121" i="39"/>
  <c r="D121" i="28"/>
  <c r="Q101" i="47"/>
  <c r="P101" i="47"/>
  <c r="D98" i="28" l="1"/>
  <c r="DQ254" i="6"/>
  <c r="CY105" i="39"/>
  <c r="DP261" i="6"/>
  <c r="CY107" i="39"/>
  <c r="DP263" i="6"/>
  <c r="CZ112" i="39"/>
  <c r="DQ268" i="6"/>
  <c r="CZ103" i="39"/>
  <c r="DQ259" i="6"/>
  <c r="CY109" i="39"/>
  <c r="DP265" i="6"/>
  <c r="CZ114" i="39"/>
  <c r="DQ270" i="6"/>
  <c r="CZ107" i="39"/>
  <c r="DQ263" i="6"/>
  <c r="CZ111" i="39"/>
  <c r="DQ267" i="6"/>
  <c r="CZ120" i="39"/>
  <c r="DQ276" i="6"/>
  <c r="CZ115" i="39"/>
  <c r="DQ271" i="6"/>
  <c r="CY101" i="39"/>
  <c r="DP257" i="6"/>
  <c r="D99" i="28"/>
  <c r="DQ255" i="6"/>
  <c r="CZ106" i="39"/>
  <c r="DQ262" i="6"/>
  <c r="D115" i="28"/>
  <c r="D114" i="28"/>
  <c r="D111" i="28"/>
  <c r="CZ98" i="39"/>
  <c r="D106" i="28"/>
  <c r="D107" i="28"/>
  <c r="D120" i="28"/>
  <c r="D103" i="28"/>
  <c r="CZ99" i="39"/>
  <c r="Q104" i="47"/>
  <c r="K8" i="67"/>
  <c r="K9" i="67"/>
  <c r="K10" i="67"/>
  <c r="K11" i="67"/>
  <c r="K12" i="67"/>
  <c r="K13" i="67"/>
  <c r="K14" i="67"/>
  <c r="K7" i="67"/>
  <c r="B131" i="31"/>
  <c r="C131" i="31"/>
  <c r="B132" i="31"/>
  <c r="C132" i="31"/>
  <c r="B122" i="31"/>
  <c r="C122" i="31"/>
  <c r="B123" i="31"/>
  <c r="C123" i="31"/>
  <c r="B124" i="31"/>
  <c r="C124" i="31"/>
  <c r="B125" i="31"/>
  <c r="C125" i="31"/>
  <c r="B126" i="31"/>
  <c r="C126" i="31"/>
  <c r="B127" i="31"/>
  <c r="C127" i="31"/>
  <c r="B128" i="31"/>
  <c r="C128" i="31"/>
  <c r="B129" i="31"/>
  <c r="C129" i="31"/>
  <c r="B130" i="31"/>
  <c r="C130" i="31"/>
  <c r="B122" i="27"/>
  <c r="C122" i="27"/>
  <c r="B123" i="27"/>
  <c r="C123" i="27"/>
  <c r="B124" i="27"/>
  <c r="C124" i="27"/>
  <c r="B125" i="27"/>
  <c r="C125" i="27"/>
  <c r="B126" i="27"/>
  <c r="C126" i="27"/>
  <c r="B127" i="27"/>
  <c r="C127" i="27"/>
  <c r="B128" i="27"/>
  <c r="C128" i="27"/>
  <c r="B129" i="27"/>
  <c r="C129" i="27"/>
  <c r="B130" i="27"/>
  <c r="C130" i="27"/>
  <c r="B131" i="27"/>
  <c r="C131" i="27"/>
  <c r="B132" i="27"/>
  <c r="C132" i="27"/>
  <c r="B133" i="27"/>
  <c r="C133" i="27"/>
  <c r="BP16" i="33" l="1"/>
  <c r="AU65" i="33"/>
  <c r="AU64" i="33"/>
  <c r="AU63" i="33"/>
  <c r="AU62" i="33"/>
  <c r="AU61" i="33"/>
  <c r="AU60" i="33"/>
  <c r="AU59" i="33"/>
  <c r="AU58" i="33"/>
  <c r="AU57" i="33"/>
  <c r="AU56" i="33"/>
  <c r="AU55" i="33"/>
  <c r="AU54" i="33"/>
  <c r="BA55" i="33"/>
  <c r="BA56" i="33"/>
  <c r="BA57" i="33"/>
  <c r="BA58" i="33"/>
  <c r="BA59" i="33"/>
  <c r="BA60" i="33"/>
  <c r="BA61" i="33"/>
  <c r="BA62" i="33"/>
  <c r="BA63" i="33"/>
  <c r="BA64" i="33"/>
  <c r="BA65" i="33"/>
  <c r="BA54" i="33"/>
  <c r="BG55" i="33"/>
  <c r="BG56" i="33"/>
  <c r="BG57" i="33"/>
  <c r="BG58" i="33"/>
  <c r="BG59" i="33"/>
  <c r="BG60" i="33"/>
  <c r="BG61" i="33"/>
  <c r="BG62" i="33"/>
  <c r="BG63" i="33"/>
  <c r="BG64" i="33"/>
  <c r="BG65" i="33"/>
  <c r="BG54" i="33"/>
  <c r="AD52" i="32" l="1"/>
  <c r="AD51" i="32"/>
  <c r="AD50" i="32"/>
  <c r="AD49" i="32"/>
  <c r="AD48" i="32"/>
  <c r="AD47" i="32"/>
  <c r="AD46" i="32"/>
  <c r="AD45" i="32"/>
  <c r="AD44" i="32"/>
  <c r="AD43" i="32"/>
  <c r="AD42" i="32"/>
  <c r="AD41" i="32"/>
  <c r="Z52" i="32"/>
  <c r="Z51" i="32"/>
  <c r="Z50" i="32"/>
  <c r="Z49" i="32"/>
  <c r="Z48" i="32"/>
  <c r="Z47" i="32"/>
  <c r="Z46" i="32"/>
  <c r="Z45" i="32"/>
  <c r="Z44" i="32"/>
  <c r="Z43" i="32"/>
  <c r="Z42" i="32"/>
  <c r="Z41" i="32"/>
  <c r="V52" i="32"/>
  <c r="V51" i="32"/>
  <c r="V50" i="32"/>
  <c r="V49" i="32"/>
  <c r="V48" i="32"/>
  <c r="V47" i="32"/>
  <c r="V46" i="32"/>
  <c r="V45" i="32"/>
  <c r="V44" i="32"/>
  <c r="V43" i="32"/>
  <c r="V42" i="32"/>
  <c r="V41" i="32"/>
  <c r="R52" i="32"/>
  <c r="R51" i="32"/>
  <c r="R50" i="32"/>
  <c r="R49" i="32"/>
  <c r="R48" i="32"/>
  <c r="R47" i="32"/>
  <c r="R46" i="32"/>
  <c r="R45" i="32"/>
  <c r="R44" i="32"/>
  <c r="R43" i="32"/>
  <c r="R42" i="32"/>
  <c r="R41" i="32"/>
  <c r="N52" i="32"/>
  <c r="N51" i="32"/>
  <c r="N50" i="32"/>
  <c r="N49" i="32"/>
  <c r="N48" i="32"/>
  <c r="N47" i="32"/>
  <c r="N46" i="32"/>
  <c r="N45" i="32"/>
  <c r="N44" i="32"/>
  <c r="N43" i="32"/>
  <c r="N42" i="32"/>
  <c r="N41" i="32"/>
  <c r="J52" i="32"/>
  <c r="J51" i="32"/>
  <c r="J50" i="32"/>
  <c r="J49" i="32"/>
  <c r="J48" i="32"/>
  <c r="J47" i="32"/>
  <c r="J46" i="32"/>
  <c r="J45" i="32"/>
  <c r="J44" i="32"/>
  <c r="J43" i="32"/>
  <c r="J42" i="32"/>
  <c r="J41" i="32"/>
  <c r="F42" i="32"/>
  <c r="F43" i="32"/>
  <c r="F44" i="32"/>
  <c r="F45" i="32"/>
  <c r="F46" i="32"/>
  <c r="F47" i="32"/>
  <c r="F48" i="32"/>
  <c r="F49" i="32"/>
  <c r="F50" i="32"/>
  <c r="F51" i="32"/>
  <c r="F52" i="32"/>
  <c r="F41" i="32"/>
  <c r="A51" i="32"/>
  <c r="B51" i="32"/>
  <c r="A52" i="32"/>
  <c r="B52" i="32"/>
  <c r="A42" i="32"/>
  <c r="B42" i="32"/>
  <c r="A43" i="32"/>
  <c r="B43" i="32"/>
  <c r="A44" i="32"/>
  <c r="B44" i="32"/>
  <c r="A45" i="32"/>
  <c r="B45" i="32"/>
  <c r="A46" i="32"/>
  <c r="B46" i="32"/>
  <c r="A47" i="32"/>
  <c r="B47" i="32"/>
  <c r="A48" i="32"/>
  <c r="B48" i="32"/>
  <c r="A49" i="32"/>
  <c r="B49" i="32"/>
  <c r="A50" i="32"/>
  <c r="B50" i="32"/>
  <c r="B41" i="32"/>
  <c r="A41" i="32"/>
  <c r="E2" i="31"/>
  <c r="J2" i="31" s="1"/>
  <c r="E3" i="31"/>
  <c r="J3" i="31" s="1"/>
  <c r="E4" i="31"/>
  <c r="J4" i="31" s="1"/>
  <c r="E5" i="31"/>
  <c r="J5" i="31" s="1"/>
  <c r="E6" i="31"/>
  <c r="J6" i="31" s="1"/>
  <c r="E7" i="31"/>
  <c r="J7" i="31" s="1"/>
  <c r="E8" i="31"/>
  <c r="J8" i="31" s="1"/>
  <c r="E9" i="31"/>
  <c r="J9" i="31" s="1"/>
  <c r="E10" i="31"/>
  <c r="J10" i="31" s="1"/>
  <c r="E11" i="31"/>
  <c r="J11" i="31" s="1"/>
  <c r="E12" i="31"/>
  <c r="J12" i="31" s="1"/>
  <c r="E13" i="31"/>
  <c r="J13" i="31" s="1"/>
  <c r="E14" i="31"/>
  <c r="J14" i="31" s="1"/>
  <c r="E15" i="31"/>
  <c r="J15" i="31" s="1"/>
  <c r="E16" i="31"/>
  <c r="J16" i="31" s="1"/>
  <c r="E17" i="31"/>
  <c r="J17" i="31" s="1"/>
  <c r="E18" i="31"/>
  <c r="J18" i="31" s="1"/>
  <c r="E19" i="31"/>
  <c r="J19" i="31" s="1"/>
  <c r="E20" i="31"/>
  <c r="J20" i="31" s="1"/>
  <c r="E21" i="31"/>
  <c r="J21" i="31" s="1"/>
  <c r="E22" i="31"/>
  <c r="J22" i="31" s="1"/>
  <c r="E23" i="31"/>
  <c r="J23" i="31" s="1"/>
  <c r="E24" i="31"/>
  <c r="J24" i="31" s="1"/>
  <c r="E25" i="31"/>
  <c r="J25" i="31" s="1"/>
  <c r="E26" i="31"/>
  <c r="J26" i="31" s="1"/>
  <c r="E27" i="31"/>
  <c r="J27" i="31" s="1"/>
  <c r="E28" i="31"/>
  <c r="J28" i="31" s="1"/>
  <c r="E29" i="31"/>
  <c r="J29" i="31" s="1"/>
  <c r="E30" i="31"/>
  <c r="J30" i="31" s="1"/>
  <c r="E31" i="31"/>
  <c r="J31" i="31" s="1"/>
  <c r="E32" i="31"/>
  <c r="J32" i="31" s="1"/>
  <c r="E33" i="31"/>
  <c r="J33" i="31" s="1"/>
  <c r="E34" i="31"/>
  <c r="J34" i="31" s="1"/>
  <c r="E35" i="31"/>
  <c r="J35" i="31" s="1"/>
  <c r="E36" i="31"/>
  <c r="J36" i="31" s="1"/>
  <c r="E37" i="31"/>
  <c r="J37" i="31" s="1"/>
  <c r="E38" i="31"/>
  <c r="J38" i="31" s="1"/>
  <c r="E39" i="31"/>
  <c r="J39" i="31" s="1"/>
  <c r="E40" i="31"/>
  <c r="J40" i="31" s="1"/>
  <c r="E41" i="31"/>
  <c r="J41" i="31" s="1"/>
  <c r="E42" i="31"/>
  <c r="J42" i="31" s="1"/>
  <c r="E43" i="31"/>
  <c r="J43" i="31" s="1"/>
  <c r="E44" i="31"/>
  <c r="J44" i="31" s="1"/>
  <c r="E45" i="31"/>
  <c r="J45" i="31" s="1"/>
  <c r="E46" i="31"/>
  <c r="J46" i="31" s="1"/>
  <c r="E47" i="31"/>
  <c r="J47" i="31" s="1"/>
  <c r="E48" i="31"/>
  <c r="J48" i="31" s="1"/>
  <c r="E49" i="31"/>
  <c r="J49" i="31" s="1"/>
  <c r="E50" i="31"/>
  <c r="J50" i="31" s="1"/>
  <c r="E51" i="31"/>
  <c r="J51" i="31" s="1"/>
  <c r="E52" i="31"/>
  <c r="J52" i="31" s="1"/>
  <c r="E53" i="31"/>
  <c r="J53" i="31" s="1"/>
  <c r="E54" i="31"/>
  <c r="J54" i="31" s="1"/>
  <c r="E55" i="31"/>
  <c r="J55" i="31" s="1"/>
  <c r="E56" i="31"/>
  <c r="J56" i="31" s="1"/>
  <c r="E57" i="31"/>
  <c r="J57" i="31" s="1"/>
  <c r="E58" i="31"/>
  <c r="J58" i="31" s="1"/>
  <c r="E59" i="31"/>
  <c r="J59" i="31" s="1"/>
  <c r="E60" i="31"/>
  <c r="J60" i="31" s="1"/>
  <c r="E61" i="31"/>
  <c r="J61" i="31" s="1"/>
  <c r="E62" i="31"/>
  <c r="J62" i="31" s="1"/>
  <c r="E63" i="31"/>
  <c r="J63" i="31" s="1"/>
  <c r="E64" i="31"/>
  <c r="J64" i="31" s="1"/>
  <c r="E65" i="31"/>
  <c r="J65" i="31" s="1"/>
  <c r="E66" i="31"/>
  <c r="J66" i="31" s="1"/>
  <c r="E67" i="31"/>
  <c r="J67" i="31" s="1"/>
  <c r="E68" i="31"/>
  <c r="J68" i="31" s="1"/>
  <c r="E69" i="31"/>
  <c r="J69" i="31" s="1"/>
  <c r="E70" i="31"/>
  <c r="J70" i="31" s="1"/>
  <c r="E71" i="31"/>
  <c r="J71" i="31" s="1"/>
  <c r="E72" i="31"/>
  <c r="J72" i="31" s="1"/>
  <c r="E73" i="31"/>
  <c r="J73" i="31" s="1"/>
  <c r="E74" i="31"/>
  <c r="J74" i="31" s="1"/>
  <c r="E75" i="31"/>
  <c r="J75" i="31" s="1"/>
  <c r="E76" i="31"/>
  <c r="J76" i="31" s="1"/>
  <c r="E77" i="31"/>
  <c r="J77" i="31" s="1"/>
  <c r="E78" i="31"/>
  <c r="J78" i="31" s="1"/>
  <c r="E79" i="31"/>
  <c r="J79" i="31" s="1"/>
  <c r="E80" i="31"/>
  <c r="J80" i="31" s="1"/>
  <c r="E81" i="31"/>
  <c r="J81" i="31" s="1"/>
  <c r="E82" i="31"/>
  <c r="J82" i="31" s="1"/>
  <c r="E83" i="31"/>
  <c r="J83" i="31" s="1"/>
  <c r="E84" i="31"/>
  <c r="J84" i="31" s="1"/>
  <c r="E85" i="31"/>
  <c r="J85" i="31" s="1"/>
  <c r="F1" i="31"/>
  <c r="K1" i="31" s="1"/>
  <c r="G1" i="31"/>
  <c r="L1" i="31" s="1"/>
  <c r="E1" i="31"/>
  <c r="J1" i="31" s="1"/>
  <c r="D1" i="31"/>
  <c r="A2" i="30"/>
  <c r="A3" i="30"/>
  <c r="A4" i="30"/>
  <c r="A5" i="30"/>
  <c r="A6" i="30"/>
  <c r="A7" i="30"/>
  <c r="A8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122" i="30" s="1"/>
  <c r="A75" i="30"/>
  <c r="A123" i="30" s="1"/>
  <c r="A76" i="30"/>
  <c r="A124" i="30" s="1"/>
  <c r="A77" i="30"/>
  <c r="A125" i="30" s="1"/>
  <c r="A78" i="30"/>
  <c r="A126" i="30" s="1"/>
  <c r="A79" i="30"/>
  <c r="A127" i="30" s="1"/>
  <c r="A80" i="30"/>
  <c r="A128" i="30" s="1"/>
  <c r="A81" i="30"/>
  <c r="A129" i="30" s="1"/>
  <c r="A82" i="30"/>
  <c r="A130" i="30" s="1"/>
  <c r="A83" i="30"/>
  <c r="A131" i="30" s="1"/>
  <c r="A84" i="30"/>
  <c r="A132" i="30" s="1"/>
  <c r="A85" i="30"/>
  <c r="A133" i="30" s="1"/>
  <c r="A86" i="30"/>
  <c r="A134" i="30" s="1"/>
  <c r="A87" i="30"/>
  <c r="A135" i="30" s="1"/>
  <c r="A88" i="30"/>
  <c r="A136" i="30" s="1"/>
  <c r="A89" i="30"/>
  <c r="A137" i="30" s="1"/>
  <c r="A90" i="30"/>
  <c r="A138" i="30" s="1"/>
  <c r="A91" i="30"/>
  <c r="A139" i="30" s="1"/>
  <c r="A92" i="30"/>
  <c r="A140" i="30" s="1"/>
  <c r="A93" i="30"/>
  <c r="A141" i="30" s="1"/>
  <c r="A94" i="30"/>
  <c r="A142" i="30" s="1"/>
  <c r="A95" i="30"/>
  <c r="A143" i="30" s="1"/>
  <c r="A96" i="30"/>
  <c r="A144" i="30" s="1"/>
  <c r="A97" i="30"/>
  <c r="A145" i="30" s="1"/>
  <c r="A1" i="30"/>
  <c r="D1" i="30"/>
  <c r="H1" i="30"/>
  <c r="O1" i="30" s="1"/>
  <c r="G1" i="30"/>
  <c r="N1" i="30" s="1"/>
  <c r="F1" i="30"/>
  <c r="M1" i="30" s="1"/>
  <c r="G2" i="29"/>
  <c r="O2" i="29" s="1"/>
  <c r="G3" i="29"/>
  <c r="O3" i="29" s="1"/>
  <c r="G4" i="29"/>
  <c r="O4" i="29" s="1"/>
  <c r="G5" i="29"/>
  <c r="O5" i="29" s="1"/>
  <c r="G6" i="29"/>
  <c r="O6" i="29" s="1"/>
  <c r="G7" i="29"/>
  <c r="O7" i="29" s="1"/>
  <c r="G8" i="29"/>
  <c r="O8" i="29" s="1"/>
  <c r="G9" i="29"/>
  <c r="O9" i="29" s="1"/>
  <c r="G10" i="29"/>
  <c r="O10" i="29" s="1"/>
  <c r="G11" i="29"/>
  <c r="O11" i="29" s="1"/>
  <c r="G12" i="29"/>
  <c r="O12" i="29" s="1"/>
  <c r="G13" i="29"/>
  <c r="O13" i="29" s="1"/>
  <c r="G14" i="29"/>
  <c r="O14" i="29" s="1"/>
  <c r="G15" i="29"/>
  <c r="O15" i="29" s="1"/>
  <c r="G16" i="29"/>
  <c r="O16" i="29" s="1"/>
  <c r="G17" i="29"/>
  <c r="O17" i="29" s="1"/>
  <c r="G18" i="29"/>
  <c r="O18" i="29" s="1"/>
  <c r="G19" i="29"/>
  <c r="O19" i="29" s="1"/>
  <c r="G20" i="29"/>
  <c r="O20" i="29" s="1"/>
  <c r="G21" i="29"/>
  <c r="O21" i="29" s="1"/>
  <c r="G22" i="29"/>
  <c r="O22" i="29" s="1"/>
  <c r="G23" i="29"/>
  <c r="O23" i="29" s="1"/>
  <c r="G24" i="29"/>
  <c r="O24" i="29" s="1"/>
  <c r="G25" i="29"/>
  <c r="O25" i="29" s="1"/>
  <c r="G26" i="29"/>
  <c r="O26" i="29" s="1"/>
  <c r="G27" i="29"/>
  <c r="O27" i="29" s="1"/>
  <c r="G28" i="29"/>
  <c r="O28" i="29" s="1"/>
  <c r="G29" i="29"/>
  <c r="O29" i="29" s="1"/>
  <c r="G30" i="29"/>
  <c r="O30" i="29" s="1"/>
  <c r="G31" i="29"/>
  <c r="O31" i="29" s="1"/>
  <c r="G32" i="29"/>
  <c r="O32" i="29" s="1"/>
  <c r="G33" i="29"/>
  <c r="O33" i="29" s="1"/>
  <c r="G34" i="29"/>
  <c r="O34" i="29" s="1"/>
  <c r="G35" i="29"/>
  <c r="O35" i="29" s="1"/>
  <c r="G36" i="29"/>
  <c r="O36" i="29" s="1"/>
  <c r="G37" i="29"/>
  <c r="O37" i="29" s="1"/>
  <c r="G38" i="29"/>
  <c r="O38" i="29" s="1"/>
  <c r="G39" i="29"/>
  <c r="O39" i="29" s="1"/>
  <c r="G40" i="29"/>
  <c r="O40" i="29" s="1"/>
  <c r="G41" i="29"/>
  <c r="O41" i="29" s="1"/>
  <c r="G42" i="29"/>
  <c r="O42" i="29" s="1"/>
  <c r="G43" i="29"/>
  <c r="O43" i="29" s="1"/>
  <c r="G44" i="29"/>
  <c r="O44" i="29" s="1"/>
  <c r="G45" i="29"/>
  <c r="O45" i="29" s="1"/>
  <c r="G46" i="29"/>
  <c r="O46" i="29" s="1"/>
  <c r="G47" i="29"/>
  <c r="O47" i="29" s="1"/>
  <c r="G48" i="29"/>
  <c r="O48" i="29" s="1"/>
  <c r="G49" i="29"/>
  <c r="O49" i="29" s="1"/>
  <c r="G50" i="29"/>
  <c r="O50" i="29" s="1"/>
  <c r="G51" i="29"/>
  <c r="O51" i="29" s="1"/>
  <c r="G52" i="29"/>
  <c r="O52" i="29" s="1"/>
  <c r="G53" i="29"/>
  <c r="O53" i="29" s="1"/>
  <c r="G54" i="29"/>
  <c r="O54" i="29" s="1"/>
  <c r="G55" i="29"/>
  <c r="O55" i="29" s="1"/>
  <c r="G56" i="29"/>
  <c r="O56" i="29" s="1"/>
  <c r="G57" i="29"/>
  <c r="O57" i="29" s="1"/>
  <c r="G58" i="29"/>
  <c r="O58" i="29" s="1"/>
  <c r="G59" i="29"/>
  <c r="O59" i="29" s="1"/>
  <c r="G60" i="29"/>
  <c r="O60" i="29" s="1"/>
  <c r="G61" i="29"/>
  <c r="O61" i="29" s="1"/>
  <c r="G62" i="29"/>
  <c r="O62" i="29" s="1"/>
  <c r="G63" i="29"/>
  <c r="O63" i="29" s="1"/>
  <c r="G64" i="29"/>
  <c r="O64" i="29" s="1"/>
  <c r="G65" i="29"/>
  <c r="O65" i="29" s="1"/>
  <c r="G66" i="29"/>
  <c r="O66" i="29" s="1"/>
  <c r="G67" i="29"/>
  <c r="O67" i="29" s="1"/>
  <c r="G68" i="29"/>
  <c r="O68" i="29" s="1"/>
  <c r="G69" i="29"/>
  <c r="O69" i="29" s="1"/>
  <c r="G70" i="29"/>
  <c r="O70" i="29" s="1"/>
  <c r="G71" i="29"/>
  <c r="O71" i="29" s="1"/>
  <c r="G72" i="29"/>
  <c r="O72" i="29" s="1"/>
  <c r="G73" i="29"/>
  <c r="O73" i="29" s="1"/>
  <c r="G74" i="29"/>
  <c r="O74" i="29" s="1"/>
  <c r="G75" i="29"/>
  <c r="O75" i="29" s="1"/>
  <c r="G76" i="29"/>
  <c r="O76" i="29" s="1"/>
  <c r="G77" i="29"/>
  <c r="O77" i="29" s="1"/>
  <c r="G78" i="29"/>
  <c r="O78" i="29" s="1"/>
  <c r="G79" i="29"/>
  <c r="O79" i="29" s="1"/>
  <c r="G80" i="29"/>
  <c r="O80" i="29" s="1"/>
  <c r="G81" i="29"/>
  <c r="O81" i="29" s="1"/>
  <c r="G82" i="29"/>
  <c r="O82" i="29" s="1"/>
  <c r="G83" i="29"/>
  <c r="O83" i="29" s="1"/>
  <c r="G84" i="29"/>
  <c r="O84" i="29" s="1"/>
  <c r="G85" i="29"/>
  <c r="O85" i="29" s="1"/>
  <c r="G1" i="29"/>
  <c r="O1" i="29" s="1"/>
  <c r="Q1" i="29"/>
  <c r="D1" i="29"/>
  <c r="D1" i="28"/>
  <c r="A2" i="28"/>
  <c r="A3" i="28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2" i="27"/>
  <c r="A3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R2" i="27"/>
  <c r="S2" i="27"/>
  <c r="R3" i="27"/>
  <c r="S3" i="27"/>
  <c r="R4" i="27"/>
  <c r="S4" i="27"/>
  <c r="R5" i="27"/>
  <c r="S5" i="27"/>
  <c r="R6" i="27"/>
  <c r="S6" i="27"/>
  <c r="R7" i="27"/>
  <c r="S7" i="27"/>
  <c r="R8" i="27"/>
  <c r="S8" i="27"/>
  <c r="R9" i="27"/>
  <c r="S9" i="27"/>
  <c r="R10" i="27"/>
  <c r="S10" i="27"/>
  <c r="R11" i="27"/>
  <c r="S11" i="27"/>
  <c r="R12" i="27"/>
  <c r="S12" i="27"/>
  <c r="R13" i="27"/>
  <c r="S13" i="27"/>
  <c r="R14" i="27"/>
  <c r="S14" i="27"/>
  <c r="R15" i="27"/>
  <c r="S15" i="27"/>
  <c r="R16" i="27"/>
  <c r="S16" i="27"/>
  <c r="R17" i="27"/>
  <c r="S17" i="27"/>
  <c r="R18" i="27"/>
  <c r="S18" i="27"/>
  <c r="R19" i="27"/>
  <c r="S19" i="27"/>
  <c r="R20" i="27"/>
  <c r="S20" i="27"/>
  <c r="R21" i="27"/>
  <c r="S21" i="27"/>
  <c r="R22" i="27"/>
  <c r="S22" i="27"/>
  <c r="R23" i="27"/>
  <c r="S23" i="27"/>
  <c r="R24" i="27"/>
  <c r="S24" i="27"/>
  <c r="R25" i="27"/>
  <c r="S25" i="27"/>
  <c r="R26" i="27"/>
  <c r="S26" i="27"/>
  <c r="R27" i="27"/>
  <c r="S27" i="27"/>
  <c r="R28" i="27"/>
  <c r="S28" i="27"/>
  <c r="R29" i="27"/>
  <c r="S29" i="27"/>
  <c r="R30" i="27"/>
  <c r="S30" i="27"/>
  <c r="R31" i="27"/>
  <c r="S31" i="27"/>
  <c r="R32" i="27"/>
  <c r="S32" i="27"/>
  <c r="R33" i="27"/>
  <c r="S33" i="27"/>
  <c r="R34" i="27"/>
  <c r="S34" i="27"/>
  <c r="R35" i="27"/>
  <c r="S35" i="27"/>
  <c r="R36" i="27"/>
  <c r="S36" i="27"/>
  <c r="R37" i="27"/>
  <c r="S37" i="27"/>
  <c r="R38" i="27"/>
  <c r="S38" i="27"/>
  <c r="R39" i="27"/>
  <c r="S39" i="27"/>
  <c r="R40" i="27"/>
  <c r="S40" i="27"/>
  <c r="R41" i="27"/>
  <c r="S41" i="27"/>
  <c r="R42" i="27"/>
  <c r="S42" i="27"/>
  <c r="R43" i="27"/>
  <c r="S43" i="27"/>
  <c r="R44" i="27"/>
  <c r="S44" i="27"/>
  <c r="R45" i="27"/>
  <c r="S45" i="27"/>
  <c r="R46" i="27"/>
  <c r="S46" i="27"/>
  <c r="R47" i="27"/>
  <c r="S47" i="27"/>
  <c r="R48" i="27"/>
  <c r="S48" i="27"/>
  <c r="R49" i="27"/>
  <c r="S49" i="27"/>
  <c r="R50" i="27"/>
  <c r="S50" i="27"/>
  <c r="R51" i="27"/>
  <c r="S51" i="27"/>
  <c r="R52" i="27"/>
  <c r="S52" i="27"/>
  <c r="R53" i="27"/>
  <c r="S53" i="27"/>
  <c r="R54" i="27"/>
  <c r="S54" i="27"/>
  <c r="R55" i="27"/>
  <c r="S55" i="27"/>
  <c r="R56" i="27"/>
  <c r="S56" i="27"/>
  <c r="R57" i="27"/>
  <c r="S57" i="27"/>
  <c r="R58" i="27"/>
  <c r="S58" i="27"/>
  <c r="R59" i="27"/>
  <c r="S59" i="27"/>
  <c r="R60" i="27"/>
  <c r="S60" i="27"/>
  <c r="R61" i="27"/>
  <c r="S61" i="27"/>
  <c r="R62" i="27"/>
  <c r="S62" i="27"/>
  <c r="R63" i="27"/>
  <c r="S63" i="27"/>
  <c r="R64" i="27"/>
  <c r="S64" i="27"/>
  <c r="R65" i="27"/>
  <c r="S65" i="27"/>
  <c r="R66" i="27"/>
  <c r="S66" i="27"/>
  <c r="R67" i="27"/>
  <c r="S67" i="27"/>
  <c r="R68" i="27"/>
  <c r="S68" i="27"/>
  <c r="R69" i="27"/>
  <c r="S69" i="27"/>
  <c r="R70" i="27"/>
  <c r="S70" i="27"/>
  <c r="R71" i="27"/>
  <c r="S71" i="27"/>
  <c r="R72" i="27"/>
  <c r="S72" i="27"/>
  <c r="R73" i="27"/>
  <c r="S73" i="27"/>
  <c r="R74" i="27"/>
  <c r="R75" i="27"/>
  <c r="R76" i="27"/>
  <c r="R77" i="27"/>
  <c r="R78" i="27"/>
  <c r="R79" i="27"/>
  <c r="R80" i="27"/>
  <c r="R81" i="27"/>
  <c r="R82" i="27"/>
  <c r="R83" i="27"/>
  <c r="R84" i="27"/>
  <c r="R85" i="27"/>
  <c r="R86" i="27"/>
  <c r="R87" i="27"/>
  <c r="R88" i="27"/>
  <c r="R89" i="27"/>
  <c r="R90" i="27"/>
  <c r="R91" i="27"/>
  <c r="R92" i="27"/>
  <c r="R93" i="27"/>
  <c r="R94" i="27"/>
  <c r="R95" i="27"/>
  <c r="R96" i="27"/>
  <c r="R97" i="27"/>
  <c r="T1" i="27"/>
  <c r="I1" i="27"/>
  <c r="S1" i="27" s="1"/>
  <c r="H1" i="27"/>
  <c r="R1" i="27" s="1"/>
  <c r="G1" i="27"/>
  <c r="Q1" i="27" s="1"/>
  <c r="D1" i="27"/>
  <c r="D1" i="58"/>
  <c r="Q2" i="9"/>
  <c r="Q110" i="9" s="1"/>
  <c r="R2" i="9"/>
  <c r="R110" i="9" s="1"/>
  <c r="S2" i="9"/>
  <c r="S110" i="9" s="1"/>
  <c r="T2" i="9"/>
  <c r="T110" i="9" s="1"/>
  <c r="U2" i="9"/>
  <c r="U110" i="9" s="1"/>
  <c r="V2" i="9"/>
  <c r="V110" i="9" s="1"/>
  <c r="P2" i="9"/>
  <c r="P110" i="9" s="1"/>
  <c r="O2" i="9"/>
  <c r="O110" i="9" s="1"/>
  <c r="P119" i="9"/>
  <c r="O119" i="9"/>
  <c r="P118" i="9"/>
  <c r="O118" i="9"/>
  <c r="P117" i="9"/>
  <c r="O117" i="9"/>
  <c r="P116" i="9"/>
  <c r="O116" i="9"/>
  <c r="P115" i="9"/>
  <c r="O115" i="9"/>
  <c r="P114" i="9"/>
  <c r="O114" i="9"/>
  <c r="P113" i="9"/>
  <c r="O113" i="9"/>
  <c r="P112" i="9"/>
  <c r="O112" i="9"/>
  <c r="V111" i="9"/>
  <c r="R111" i="9"/>
  <c r="Q111" i="9"/>
  <c r="P111" i="9"/>
  <c r="O111" i="9"/>
  <c r="I133" i="27" l="1"/>
  <c r="S133" i="27" s="1"/>
  <c r="S85" i="27"/>
  <c r="I131" i="27"/>
  <c r="S131" i="27" s="1"/>
  <c r="S83" i="27"/>
  <c r="I129" i="27"/>
  <c r="S129" i="27" s="1"/>
  <c r="S81" i="27"/>
  <c r="I127" i="27"/>
  <c r="S127" i="27" s="1"/>
  <c r="S79" i="27"/>
  <c r="I125" i="27"/>
  <c r="S125" i="27" s="1"/>
  <c r="S77" i="27"/>
  <c r="I123" i="27"/>
  <c r="S123" i="27" s="1"/>
  <c r="S75" i="27"/>
  <c r="I132" i="27"/>
  <c r="S132" i="27" s="1"/>
  <c r="S84" i="27"/>
  <c r="I130" i="27"/>
  <c r="S130" i="27" s="1"/>
  <c r="S82" i="27"/>
  <c r="I128" i="27"/>
  <c r="S128" i="27" s="1"/>
  <c r="S80" i="27"/>
  <c r="I126" i="27"/>
  <c r="S126" i="27" s="1"/>
  <c r="S78" i="27"/>
  <c r="I124" i="27"/>
  <c r="S124" i="27" s="1"/>
  <c r="S76" i="27"/>
  <c r="I122" i="27"/>
  <c r="S122" i="27" s="1"/>
  <c r="S74" i="27"/>
  <c r="O132" i="29"/>
  <c r="O128" i="29"/>
  <c r="O124" i="29"/>
  <c r="J130" i="31"/>
  <c r="J126" i="31"/>
  <c r="J122" i="31"/>
  <c r="O131" i="29"/>
  <c r="O127" i="29"/>
  <c r="O123" i="29"/>
  <c r="J133" i="31"/>
  <c r="J129" i="31"/>
  <c r="J125" i="31"/>
  <c r="O130" i="29"/>
  <c r="O126" i="29"/>
  <c r="O122" i="29"/>
  <c r="J132" i="31"/>
  <c r="J128" i="31"/>
  <c r="J124" i="31"/>
  <c r="O133" i="29"/>
  <c r="O129" i="29"/>
  <c r="O125" i="29"/>
  <c r="J131" i="31"/>
  <c r="J127" i="31"/>
  <c r="J123" i="31"/>
  <c r="C142" i="30"/>
  <c r="B142" i="30"/>
  <c r="C138" i="30"/>
  <c r="B138" i="30"/>
  <c r="C134" i="30"/>
  <c r="B134" i="30"/>
  <c r="B145" i="30"/>
  <c r="C145" i="30"/>
  <c r="B141" i="30"/>
  <c r="C141" i="30"/>
  <c r="B137" i="30"/>
  <c r="C137" i="30"/>
  <c r="C144" i="30"/>
  <c r="B144" i="30"/>
  <c r="B140" i="30"/>
  <c r="C140" i="30"/>
  <c r="C136" i="30"/>
  <c r="B136" i="30"/>
  <c r="B143" i="30"/>
  <c r="C143" i="30"/>
  <c r="B139" i="30"/>
  <c r="C139" i="30"/>
  <c r="B135" i="30"/>
  <c r="C135" i="30"/>
  <c r="B131" i="30"/>
  <c r="C131" i="30"/>
  <c r="B127" i="30"/>
  <c r="C127" i="30"/>
  <c r="B123" i="30"/>
  <c r="C123" i="30"/>
  <c r="B130" i="30"/>
  <c r="C130" i="30"/>
  <c r="C126" i="30"/>
  <c r="B126" i="30"/>
  <c r="B122" i="30"/>
  <c r="C122" i="30"/>
  <c r="C133" i="30"/>
  <c r="B133" i="30"/>
  <c r="C129" i="30"/>
  <c r="B129" i="30"/>
  <c r="B125" i="30"/>
  <c r="C125" i="30"/>
  <c r="C132" i="30"/>
  <c r="B132" i="30"/>
  <c r="B128" i="30"/>
  <c r="C128" i="30"/>
  <c r="C124" i="30"/>
  <c r="B124" i="30"/>
  <c r="J82" i="29"/>
  <c r="Q82" i="29" s="1"/>
  <c r="J78" i="29"/>
  <c r="Q78" i="29" s="1"/>
  <c r="J70" i="29"/>
  <c r="Q70" i="29" s="1"/>
  <c r="J66" i="29"/>
  <c r="Q66" i="29" s="1"/>
  <c r="J58" i="29"/>
  <c r="Q58" i="29" s="1"/>
  <c r="J54" i="29"/>
  <c r="Q54" i="29" s="1"/>
  <c r="J46" i="29"/>
  <c r="Q46" i="29" s="1"/>
  <c r="J42" i="29"/>
  <c r="Q42" i="29" s="1"/>
  <c r="J81" i="29"/>
  <c r="Q81" i="29" s="1"/>
  <c r="J77" i="29"/>
  <c r="Q77" i="29" s="1"/>
  <c r="J73" i="29"/>
  <c r="Q73" i="29" s="1"/>
  <c r="J69" i="29"/>
  <c r="Q69" i="29" s="1"/>
  <c r="J65" i="29"/>
  <c r="Q65" i="29" s="1"/>
  <c r="J61" i="29"/>
  <c r="Q61" i="29" s="1"/>
  <c r="J57" i="29"/>
  <c r="Q57" i="29" s="1"/>
  <c r="J53" i="29"/>
  <c r="Q53" i="29" s="1"/>
  <c r="J49" i="29"/>
  <c r="Q49" i="29" s="1"/>
  <c r="J45" i="29"/>
  <c r="Q45" i="29" s="1"/>
  <c r="J41" i="29"/>
  <c r="Q41" i="29" s="1"/>
  <c r="J37" i="29"/>
  <c r="Q37" i="29" s="1"/>
  <c r="J33" i="29"/>
  <c r="Q33" i="29" s="1"/>
  <c r="J84" i="29"/>
  <c r="Q84" i="29" s="1"/>
  <c r="J80" i="29"/>
  <c r="Q80" i="29" s="1"/>
  <c r="J76" i="29"/>
  <c r="Q76" i="29" s="1"/>
  <c r="J72" i="29"/>
  <c r="Q72" i="29" s="1"/>
  <c r="J68" i="29"/>
  <c r="Q68" i="29" s="1"/>
  <c r="J64" i="29"/>
  <c r="Q64" i="29" s="1"/>
  <c r="J60" i="29"/>
  <c r="Q60" i="29" s="1"/>
  <c r="J56" i="29"/>
  <c r="Q56" i="29" s="1"/>
  <c r="J52" i="29"/>
  <c r="Q52" i="29" s="1"/>
  <c r="J48" i="29"/>
  <c r="Q48" i="29" s="1"/>
  <c r="J44" i="29"/>
  <c r="Q44" i="29" s="1"/>
  <c r="J40" i="29"/>
  <c r="Q40" i="29" s="1"/>
  <c r="J36" i="29"/>
  <c r="Q36" i="29" s="1"/>
  <c r="J83" i="29"/>
  <c r="Q83" i="29" s="1"/>
  <c r="J79" i="29"/>
  <c r="Q79" i="29" s="1"/>
  <c r="J75" i="29"/>
  <c r="Q75" i="29" s="1"/>
  <c r="J71" i="29"/>
  <c r="Q71" i="29" s="1"/>
  <c r="J67" i="29"/>
  <c r="Q67" i="29" s="1"/>
  <c r="J63" i="29"/>
  <c r="Q63" i="29" s="1"/>
  <c r="J59" i="29"/>
  <c r="Q59" i="29" s="1"/>
  <c r="J55" i="29"/>
  <c r="Q55" i="29" s="1"/>
  <c r="J51" i="29"/>
  <c r="Q51" i="29" s="1"/>
  <c r="J47" i="29"/>
  <c r="Q47" i="29" s="1"/>
  <c r="J43" i="29"/>
  <c r="Q43" i="29" s="1"/>
  <c r="J39" i="29"/>
  <c r="Q39" i="29" s="1"/>
  <c r="J35" i="29"/>
  <c r="Q35" i="29" s="1"/>
  <c r="J31" i="29"/>
  <c r="Q31" i="29" s="1"/>
  <c r="J27" i="29"/>
  <c r="Q27" i="29" s="1"/>
  <c r="J23" i="29"/>
  <c r="Q23" i="29" s="1"/>
  <c r="J19" i="29"/>
  <c r="Q19" i="29" s="1"/>
  <c r="J15" i="29"/>
  <c r="Q15" i="29" s="1"/>
  <c r="J11" i="29"/>
  <c r="Q11" i="29" s="1"/>
  <c r="J7" i="29"/>
  <c r="Q7" i="29" s="1"/>
  <c r="J3" i="29"/>
  <c r="Q3" i="29" s="1"/>
  <c r="J32" i="29"/>
  <c r="Q32" i="29" s="1"/>
  <c r="J28" i="29"/>
  <c r="Q28" i="29" s="1"/>
  <c r="J24" i="29"/>
  <c r="Q24" i="29" s="1"/>
  <c r="J20" i="29"/>
  <c r="Q20" i="29" s="1"/>
  <c r="J16" i="29"/>
  <c r="Q16" i="29" s="1"/>
  <c r="J12" i="29"/>
  <c r="Q12" i="29" s="1"/>
  <c r="J8" i="29"/>
  <c r="Q8" i="29" s="1"/>
  <c r="J4" i="29"/>
  <c r="Q4" i="29" s="1"/>
  <c r="J29" i="29"/>
  <c r="Q29" i="29" s="1"/>
  <c r="J25" i="29"/>
  <c r="Q25" i="29" s="1"/>
  <c r="J21" i="29"/>
  <c r="Q21" i="29" s="1"/>
  <c r="J17" i="29"/>
  <c r="Q17" i="29" s="1"/>
  <c r="J13" i="29"/>
  <c r="Q13" i="29" s="1"/>
  <c r="J9" i="29"/>
  <c r="Q9" i="29" s="1"/>
  <c r="J5" i="29"/>
  <c r="Q5" i="29" s="1"/>
  <c r="J34" i="29"/>
  <c r="Q34" i="29" s="1"/>
  <c r="J30" i="29"/>
  <c r="Q30" i="29" s="1"/>
  <c r="J22" i="29"/>
  <c r="Q22" i="29" s="1"/>
  <c r="J18" i="29"/>
  <c r="Q18" i="29" s="1"/>
  <c r="J10" i="29"/>
  <c r="Q10" i="29" s="1"/>
  <c r="J6" i="29"/>
  <c r="Q6" i="29" s="1"/>
  <c r="J97" i="29" l="1"/>
  <c r="Q97" i="29" s="1"/>
  <c r="J96" i="29"/>
  <c r="Q96" i="29" s="1"/>
  <c r="J2" i="29"/>
  <c r="Q2" i="29" s="1"/>
  <c r="J90" i="29"/>
  <c r="Q90" i="29" s="1"/>
  <c r="J92" i="29"/>
  <c r="Q92" i="29" s="1"/>
  <c r="J93" i="29"/>
  <c r="Q93" i="29" s="1"/>
  <c r="J94" i="29"/>
  <c r="Q94" i="29" s="1"/>
  <c r="J87" i="29"/>
  <c r="Q87" i="29" s="1"/>
  <c r="J91" i="29"/>
  <c r="Q91" i="29" s="1"/>
  <c r="J85" i="29"/>
  <c r="Q85" i="29" s="1"/>
  <c r="J95" i="29"/>
  <c r="Q95" i="29" s="1"/>
  <c r="J88" i="29"/>
  <c r="Q88" i="29" s="1"/>
  <c r="J89" i="29"/>
  <c r="Q89" i="29" s="1"/>
  <c r="J38" i="29"/>
  <c r="Q38" i="29" s="1"/>
  <c r="J62" i="29"/>
  <c r="Q62" i="29" s="1"/>
  <c r="J86" i="29"/>
  <c r="Q86" i="29" s="1"/>
  <c r="J14" i="29"/>
  <c r="Q14" i="29" s="1"/>
  <c r="J26" i="29"/>
  <c r="Q26" i="29" s="1"/>
  <c r="J50" i="29"/>
  <c r="Q50" i="29" s="1"/>
  <c r="J74" i="29"/>
  <c r="Q74" i="29" s="1"/>
  <c r="I81" i="58"/>
  <c r="Q81" i="58" s="1"/>
  <c r="I21" i="58"/>
  <c r="Q21" i="58" s="1"/>
  <c r="I22" i="58"/>
  <c r="Q22" i="58" s="1"/>
  <c r="I23" i="58"/>
  <c r="Q23" i="58" s="1"/>
  <c r="I24" i="58"/>
  <c r="Q24" i="58" s="1"/>
  <c r="I25" i="58"/>
  <c r="Q25" i="58" s="1"/>
  <c r="I26" i="58"/>
  <c r="Q26" i="58" s="1"/>
  <c r="I27" i="58"/>
  <c r="Q27" i="58" s="1"/>
  <c r="I28" i="58"/>
  <c r="Q28" i="58" s="1"/>
  <c r="I29" i="58"/>
  <c r="Q29" i="58" s="1"/>
  <c r="I30" i="58"/>
  <c r="Q30" i="58" s="1"/>
  <c r="I31" i="58"/>
  <c r="Q31" i="58" s="1"/>
  <c r="I32" i="58"/>
  <c r="Q32" i="58" s="1"/>
  <c r="I33" i="58"/>
  <c r="Q33" i="58" s="1"/>
  <c r="I34" i="58"/>
  <c r="Q34" i="58" s="1"/>
  <c r="I35" i="58"/>
  <c r="Q35" i="58" s="1"/>
  <c r="I36" i="58"/>
  <c r="Q36" i="58" s="1"/>
  <c r="I37" i="58"/>
  <c r="Q37" i="58" s="1"/>
  <c r="I38" i="58"/>
  <c r="Q38" i="58" s="1"/>
  <c r="I39" i="58"/>
  <c r="Q39" i="58" s="1"/>
  <c r="I40" i="58"/>
  <c r="Q40" i="58" s="1"/>
  <c r="I41" i="58"/>
  <c r="Q41" i="58" s="1"/>
  <c r="I42" i="58"/>
  <c r="Q42" i="58" s="1"/>
  <c r="I43" i="58"/>
  <c r="Q43" i="58" s="1"/>
  <c r="I44" i="58"/>
  <c r="Q44" i="58" s="1"/>
  <c r="I45" i="58"/>
  <c r="Q45" i="58" s="1"/>
  <c r="I46" i="58"/>
  <c r="Q46" i="58" s="1"/>
  <c r="I47" i="58"/>
  <c r="Q47" i="58" s="1"/>
  <c r="I48" i="58"/>
  <c r="Q48" i="58" s="1"/>
  <c r="I49" i="58"/>
  <c r="Q49" i="58" s="1"/>
  <c r="I50" i="58"/>
  <c r="Q50" i="58" s="1"/>
  <c r="I51" i="58"/>
  <c r="Q51" i="58" s="1"/>
  <c r="I52" i="58"/>
  <c r="Q52" i="58" s="1"/>
  <c r="I53" i="58"/>
  <c r="Q53" i="58" s="1"/>
  <c r="I54" i="58"/>
  <c r="Q54" i="58" s="1"/>
  <c r="I55" i="58"/>
  <c r="Q55" i="58" s="1"/>
  <c r="I56" i="58"/>
  <c r="Q56" i="58" s="1"/>
  <c r="I57" i="58"/>
  <c r="Q57" i="58" s="1"/>
  <c r="I58" i="58"/>
  <c r="Q58" i="58" s="1"/>
  <c r="I59" i="58"/>
  <c r="Q59" i="58" s="1"/>
  <c r="I60" i="58"/>
  <c r="Q60" i="58" s="1"/>
  <c r="I61" i="58"/>
  <c r="Q61" i="58" s="1"/>
  <c r="I62" i="58"/>
  <c r="Q62" i="58" s="1"/>
  <c r="I63" i="58"/>
  <c r="Q63" i="58" s="1"/>
  <c r="I64" i="58"/>
  <c r="Q64" i="58" s="1"/>
  <c r="I65" i="58"/>
  <c r="Q65" i="58" s="1"/>
  <c r="I66" i="58"/>
  <c r="Q66" i="58" s="1"/>
  <c r="I67" i="58"/>
  <c r="Q67" i="58" s="1"/>
  <c r="I68" i="58"/>
  <c r="Q68" i="58" s="1"/>
  <c r="I69" i="58"/>
  <c r="Q69" i="58" s="1"/>
  <c r="I70" i="58"/>
  <c r="Q70" i="58" s="1"/>
  <c r="I71" i="58"/>
  <c r="Q71" i="58" s="1"/>
  <c r="I72" i="58"/>
  <c r="Q72" i="58" s="1"/>
  <c r="I73" i="58"/>
  <c r="Q73" i="58" s="1"/>
  <c r="I74" i="58"/>
  <c r="Q74" i="58" s="1"/>
  <c r="I75" i="58"/>
  <c r="Q75" i="58" s="1"/>
  <c r="I76" i="58"/>
  <c r="Q76" i="58" s="1"/>
  <c r="I77" i="58"/>
  <c r="Q77" i="58" s="1"/>
  <c r="I78" i="58"/>
  <c r="Q78" i="58" s="1"/>
  <c r="I79" i="58"/>
  <c r="Q79" i="58" s="1"/>
  <c r="I80" i="58"/>
  <c r="Q80" i="58" s="1"/>
  <c r="I82" i="58"/>
  <c r="Q82" i="58" s="1"/>
  <c r="I83" i="58"/>
  <c r="Q83" i="58" s="1"/>
  <c r="I84" i="58"/>
  <c r="Q84" i="58" s="1"/>
  <c r="I20" i="58"/>
  <c r="Q20" i="58" s="1"/>
  <c r="I3" i="58"/>
  <c r="Q3" i="58" s="1"/>
  <c r="I4" i="58"/>
  <c r="Q4" i="58" s="1"/>
  <c r="I5" i="58"/>
  <c r="Q5" i="58" s="1"/>
  <c r="I6" i="58"/>
  <c r="Q6" i="58" s="1"/>
  <c r="I7" i="58"/>
  <c r="Q7" i="58" s="1"/>
  <c r="I8" i="58"/>
  <c r="Q8" i="58" s="1"/>
  <c r="I9" i="58"/>
  <c r="Q9" i="58" s="1"/>
  <c r="I10" i="58"/>
  <c r="Q10" i="58" s="1"/>
  <c r="I11" i="58"/>
  <c r="Q11" i="58" s="1"/>
  <c r="I12" i="58"/>
  <c r="Q12" i="58" s="1"/>
  <c r="I13" i="58"/>
  <c r="Q13" i="58" s="1"/>
  <c r="I14" i="58"/>
  <c r="Q14" i="58" s="1"/>
  <c r="I15" i="58"/>
  <c r="Q15" i="58" s="1"/>
  <c r="I16" i="58"/>
  <c r="Q16" i="58" s="1"/>
  <c r="I17" i="58"/>
  <c r="Q17" i="58" s="1"/>
  <c r="I18" i="58"/>
  <c r="Q18" i="58" s="1"/>
  <c r="I19" i="58"/>
  <c r="Q19" i="58" s="1"/>
  <c r="I2" i="58"/>
  <c r="Q2" i="58" s="1"/>
  <c r="I90" i="58" l="1"/>
  <c r="Q90" i="58" s="1"/>
  <c r="I87" i="58"/>
  <c r="Q87" i="58" s="1"/>
  <c r="I86" i="58"/>
  <c r="Q86" i="58" s="1"/>
  <c r="I88" i="58"/>
  <c r="Q88" i="58" s="1"/>
  <c r="I85" i="58"/>
  <c r="Q85" i="58" s="1"/>
  <c r="I89" i="58"/>
  <c r="Q89" i="58" s="1"/>
  <c r="N58" i="9" l="1"/>
  <c r="N59" i="9"/>
  <c r="N63" i="9"/>
  <c r="N64" i="9"/>
  <c r="N65" i="9"/>
  <c r="N66" i="9"/>
  <c r="N67" i="9"/>
  <c r="N68" i="9"/>
  <c r="N72" i="9"/>
  <c r="N73" i="9"/>
  <c r="N74" i="9"/>
  <c r="N75" i="9"/>
  <c r="N76" i="9"/>
  <c r="N80" i="9"/>
  <c r="N81" i="9"/>
  <c r="N82" i="9"/>
  <c r="N83" i="9"/>
  <c r="N3" i="9"/>
  <c r="N4" i="9"/>
  <c r="N5" i="9"/>
  <c r="N6" i="9"/>
  <c r="N7" i="9"/>
  <c r="N8" i="9"/>
  <c r="N9" i="9"/>
  <c r="N10" i="9"/>
  <c r="N11" i="9"/>
  <c r="N12" i="9"/>
  <c r="N13" i="9"/>
  <c r="N17" i="9"/>
  <c r="N18" i="9"/>
  <c r="N19" i="9"/>
  <c r="N20" i="9"/>
  <c r="N21" i="9"/>
  <c r="N22" i="9"/>
  <c r="N23" i="9"/>
  <c r="N24" i="9"/>
  <c r="N25" i="9"/>
  <c r="N26" i="9"/>
  <c r="N30" i="9"/>
  <c r="N31" i="9"/>
  <c r="N32" i="9"/>
  <c r="N33" i="9"/>
  <c r="N34" i="9"/>
  <c r="N35" i="9"/>
  <c r="N36" i="9"/>
  <c r="N37" i="9"/>
  <c r="N38" i="9"/>
  <c r="N43" i="9"/>
  <c r="N44" i="9"/>
  <c r="N45" i="9"/>
  <c r="N46" i="9"/>
  <c r="N47" i="9"/>
  <c r="N48" i="9"/>
  <c r="N49" i="9"/>
  <c r="N53" i="9"/>
  <c r="N54" i="9"/>
  <c r="N55" i="9"/>
  <c r="N56" i="9"/>
  <c r="N57" i="9"/>
  <c r="N87" i="9" l="1"/>
  <c r="N88" i="9" l="1"/>
  <c r="N89" i="9" l="1"/>
  <c r="B52" i="68" l="1"/>
  <c r="B51" i="68"/>
  <c r="B50" i="68"/>
  <c r="B49" i="68"/>
  <c r="B48" i="68"/>
  <c r="B47" i="68"/>
  <c r="B46" i="68"/>
  <c r="B45" i="68"/>
  <c r="B40" i="68"/>
  <c r="B39" i="68"/>
  <c r="B36" i="68"/>
  <c r="B22" i="68"/>
  <c r="B21" i="68"/>
  <c r="B20" i="68"/>
  <c r="B19" i="68"/>
  <c r="B29" i="68" s="1"/>
  <c r="B38" i="68" s="1"/>
  <c r="B18" i="68"/>
  <c r="B28" i="68" s="1"/>
  <c r="B37" i="68" s="1"/>
  <c r="B17" i="68"/>
  <c r="B16" i="68"/>
  <c r="B15" i="68"/>
  <c r="H6" i="35"/>
  <c r="H7" i="35" s="1"/>
  <c r="H8" i="35" s="1"/>
  <c r="Z6" i="35"/>
  <c r="Z7" i="35" s="1"/>
  <c r="Z8" i="35" s="1"/>
  <c r="A2" i="31"/>
  <c r="B2" i="31" s="1"/>
  <c r="A3" i="31"/>
  <c r="C3" i="31" s="1"/>
  <c r="A4" i="31"/>
  <c r="B4" i="31" s="1"/>
  <c r="A5" i="31"/>
  <c r="B5" i="31" s="1"/>
  <c r="A6" i="31"/>
  <c r="B6" i="31" s="1"/>
  <c r="A7" i="31"/>
  <c r="C7" i="31" s="1"/>
  <c r="A8" i="31"/>
  <c r="B8" i="31" s="1"/>
  <c r="A9" i="31"/>
  <c r="B9" i="31" s="1"/>
  <c r="A10" i="31"/>
  <c r="B10" i="31" s="1"/>
  <c r="A11" i="31"/>
  <c r="C11" i="31" s="1"/>
  <c r="A12" i="31"/>
  <c r="A13" i="31"/>
  <c r="B13" i="31" s="1"/>
  <c r="A14" i="31"/>
  <c r="C14" i="31" s="1"/>
  <c r="A15" i="31"/>
  <c r="C15" i="31" s="1"/>
  <c r="A16" i="31"/>
  <c r="C16" i="31" s="1"/>
  <c r="A17" i="31"/>
  <c r="B17" i="31" s="1"/>
  <c r="A18" i="31"/>
  <c r="B18" i="31" s="1"/>
  <c r="A19" i="31"/>
  <c r="A20" i="31"/>
  <c r="B20" i="31" s="1"/>
  <c r="A21" i="31"/>
  <c r="A22" i="31"/>
  <c r="B22" i="31" s="1"/>
  <c r="A23" i="31"/>
  <c r="A24" i="31"/>
  <c r="B24" i="31" s="1"/>
  <c r="A25" i="31"/>
  <c r="A26" i="31"/>
  <c r="B26" i="31" s="1"/>
  <c r="A27" i="31"/>
  <c r="A28" i="31"/>
  <c r="B28" i="31" s="1"/>
  <c r="A29" i="31"/>
  <c r="A30" i="31"/>
  <c r="B30" i="31" s="1"/>
  <c r="A31" i="31"/>
  <c r="B31" i="31" s="1"/>
  <c r="A32" i="31"/>
  <c r="B32" i="31" s="1"/>
  <c r="A33" i="31"/>
  <c r="B33" i="31" s="1"/>
  <c r="A34" i="31"/>
  <c r="B34" i="31" s="1"/>
  <c r="A35" i="31"/>
  <c r="B35" i="31" s="1"/>
  <c r="A36" i="31"/>
  <c r="A37" i="31"/>
  <c r="B37" i="31" s="1"/>
  <c r="A38" i="31"/>
  <c r="C38" i="31" s="1"/>
  <c r="A39" i="31"/>
  <c r="B39" i="31" s="1"/>
  <c r="A40" i="31"/>
  <c r="C40" i="31" s="1"/>
  <c r="A41" i="31"/>
  <c r="C41" i="31" s="1"/>
  <c r="A42" i="31"/>
  <c r="C42" i="31" s="1"/>
  <c r="A43" i="31"/>
  <c r="B43" i="31" s="1"/>
  <c r="A44" i="31"/>
  <c r="C44" i="31" s="1"/>
  <c r="A45" i="31"/>
  <c r="B45" i="31" s="1"/>
  <c r="A46" i="31"/>
  <c r="C46" i="31" s="1"/>
  <c r="A47" i="31"/>
  <c r="B47" i="31" s="1"/>
  <c r="A48" i="31"/>
  <c r="C48" i="31" s="1"/>
  <c r="A49" i="31"/>
  <c r="C49" i="31" s="1"/>
  <c r="A50" i="31"/>
  <c r="C50" i="31" s="1"/>
  <c r="A51" i="31"/>
  <c r="B51" i="31" s="1"/>
  <c r="A52" i="31"/>
  <c r="C52" i="31" s="1"/>
  <c r="A53" i="31"/>
  <c r="B53" i="31" s="1"/>
  <c r="A54" i="31"/>
  <c r="C54" i="31" s="1"/>
  <c r="A55" i="31"/>
  <c r="B55" i="31" s="1"/>
  <c r="A56" i="31"/>
  <c r="C56" i="31" s="1"/>
  <c r="A57" i="31"/>
  <c r="C57" i="31" s="1"/>
  <c r="A58" i="31"/>
  <c r="C58" i="31" s="1"/>
  <c r="A59" i="31"/>
  <c r="B59" i="31" s="1"/>
  <c r="A60" i="31"/>
  <c r="C60" i="31" s="1"/>
  <c r="A61" i="31"/>
  <c r="C61" i="31" s="1"/>
  <c r="A62" i="31"/>
  <c r="C62" i="31" s="1"/>
  <c r="A63" i="31"/>
  <c r="B63" i="31" s="1"/>
  <c r="A64" i="31"/>
  <c r="C64" i="31" s="1"/>
  <c r="A65" i="31"/>
  <c r="C65" i="31" s="1"/>
  <c r="A66" i="31"/>
  <c r="A67" i="31"/>
  <c r="A68" i="31"/>
  <c r="B68" i="31" s="1"/>
  <c r="A69" i="31"/>
  <c r="A70" i="31"/>
  <c r="B70" i="31" s="1"/>
  <c r="A71" i="31"/>
  <c r="A72" i="31"/>
  <c r="B72" i="31" s="1"/>
  <c r="A73" i="31"/>
  <c r="A74" i="31"/>
  <c r="B74" i="31" s="1"/>
  <c r="A75" i="31"/>
  <c r="A76" i="31"/>
  <c r="B76" i="31" s="1"/>
  <c r="A77" i="31"/>
  <c r="A78" i="31"/>
  <c r="B78" i="31" s="1"/>
  <c r="A79" i="31"/>
  <c r="A80" i="31"/>
  <c r="B80" i="31" s="1"/>
  <c r="A81" i="31"/>
  <c r="A82" i="31"/>
  <c r="B82" i="31" s="1"/>
  <c r="A83" i="31"/>
  <c r="A84" i="31"/>
  <c r="B84" i="31" s="1"/>
  <c r="A85" i="31"/>
  <c r="A86" i="31"/>
  <c r="B86" i="31" s="1"/>
  <c r="A87" i="31"/>
  <c r="A88" i="31"/>
  <c r="B88" i="31" s="1"/>
  <c r="A89" i="31"/>
  <c r="A90" i="31"/>
  <c r="B90" i="31" s="1"/>
  <c r="A91" i="31"/>
  <c r="A92" i="31"/>
  <c r="B92" i="31" s="1"/>
  <c r="A93" i="31"/>
  <c r="A94" i="31"/>
  <c r="B94" i="31" s="1"/>
  <c r="A95" i="31"/>
  <c r="A96" i="31"/>
  <c r="B96" i="31" s="1"/>
  <c r="A97" i="31"/>
  <c r="F2" i="30"/>
  <c r="M2" i="30" s="1"/>
  <c r="H2" i="30"/>
  <c r="O2" i="30" s="1"/>
  <c r="B3" i="30"/>
  <c r="F3" i="30"/>
  <c r="M3" i="30" s="1"/>
  <c r="H3" i="30"/>
  <c r="O3" i="30" s="1"/>
  <c r="C4" i="30"/>
  <c r="F4" i="30"/>
  <c r="M4" i="30" s="1"/>
  <c r="H4" i="30"/>
  <c r="O4" i="30" s="1"/>
  <c r="C5" i="30"/>
  <c r="F5" i="30"/>
  <c r="M5" i="30" s="1"/>
  <c r="H5" i="30"/>
  <c r="O5" i="30" s="1"/>
  <c r="C6" i="30"/>
  <c r="F6" i="30"/>
  <c r="M6" i="30" s="1"/>
  <c r="H6" i="30"/>
  <c r="O6" i="30" s="1"/>
  <c r="C7" i="30"/>
  <c r="F7" i="30"/>
  <c r="M7" i="30" s="1"/>
  <c r="H7" i="30"/>
  <c r="O7" i="30" s="1"/>
  <c r="C8" i="30"/>
  <c r="F8" i="30"/>
  <c r="M8" i="30" s="1"/>
  <c r="H8" i="30"/>
  <c r="O8" i="30" s="1"/>
  <c r="B9" i="30"/>
  <c r="F9" i="30"/>
  <c r="M9" i="30" s="1"/>
  <c r="H9" i="30"/>
  <c r="O9" i="30" s="1"/>
  <c r="B10" i="30"/>
  <c r="F10" i="30"/>
  <c r="M10" i="30" s="1"/>
  <c r="H10" i="30"/>
  <c r="O10" i="30" s="1"/>
  <c r="F11" i="30"/>
  <c r="M11" i="30" s="1"/>
  <c r="H11" i="30"/>
  <c r="O11" i="30" s="1"/>
  <c r="B12" i="30"/>
  <c r="F12" i="30"/>
  <c r="M12" i="30" s="1"/>
  <c r="H12" i="30"/>
  <c r="O12" i="30" s="1"/>
  <c r="F13" i="30"/>
  <c r="M13" i="30" s="1"/>
  <c r="H13" i="30"/>
  <c r="O13" i="30" s="1"/>
  <c r="B14" i="30"/>
  <c r="F14" i="30"/>
  <c r="M14" i="30" s="1"/>
  <c r="H14" i="30"/>
  <c r="O14" i="30" s="1"/>
  <c r="F15" i="30"/>
  <c r="M15" i="30" s="1"/>
  <c r="H15" i="30"/>
  <c r="O15" i="30" s="1"/>
  <c r="B16" i="30"/>
  <c r="F16" i="30"/>
  <c r="M16" i="30" s="1"/>
  <c r="H16" i="30"/>
  <c r="O16" i="30" s="1"/>
  <c r="F17" i="30"/>
  <c r="M17" i="30" s="1"/>
  <c r="H17" i="30"/>
  <c r="O17" i="30" s="1"/>
  <c r="B18" i="30"/>
  <c r="F18" i="30"/>
  <c r="M18" i="30" s="1"/>
  <c r="H18" i="30"/>
  <c r="O18" i="30" s="1"/>
  <c r="F19" i="30"/>
  <c r="M19" i="30" s="1"/>
  <c r="H19" i="30"/>
  <c r="O19" i="30" s="1"/>
  <c r="B20" i="30"/>
  <c r="F20" i="30"/>
  <c r="M20" i="30" s="1"/>
  <c r="H20" i="30"/>
  <c r="O20" i="30" s="1"/>
  <c r="F21" i="30"/>
  <c r="M21" i="30" s="1"/>
  <c r="H21" i="30"/>
  <c r="O21" i="30" s="1"/>
  <c r="B22" i="30"/>
  <c r="F22" i="30"/>
  <c r="M22" i="30" s="1"/>
  <c r="H22" i="30"/>
  <c r="O22" i="30" s="1"/>
  <c r="F23" i="30"/>
  <c r="M23" i="30" s="1"/>
  <c r="H23" i="30"/>
  <c r="O23" i="30" s="1"/>
  <c r="B24" i="30"/>
  <c r="F24" i="30"/>
  <c r="M24" i="30" s="1"/>
  <c r="H24" i="30"/>
  <c r="O24" i="30" s="1"/>
  <c r="B25" i="30"/>
  <c r="F25" i="30"/>
  <c r="M25" i="30" s="1"/>
  <c r="H25" i="30"/>
  <c r="O25" i="30" s="1"/>
  <c r="B26" i="30"/>
  <c r="F26" i="30"/>
  <c r="M26" i="30" s="1"/>
  <c r="H26" i="30"/>
  <c r="O26" i="30" s="1"/>
  <c r="B27" i="30"/>
  <c r="F27" i="30"/>
  <c r="M27" i="30" s="1"/>
  <c r="H27" i="30"/>
  <c r="O27" i="30" s="1"/>
  <c r="C28" i="30"/>
  <c r="F28" i="30"/>
  <c r="M28" i="30" s="1"/>
  <c r="H28" i="30"/>
  <c r="O28" i="30" s="1"/>
  <c r="B29" i="30"/>
  <c r="F29" i="30"/>
  <c r="M29" i="30" s="1"/>
  <c r="H29" i="30"/>
  <c r="O29" i="30" s="1"/>
  <c r="C30" i="30"/>
  <c r="F30" i="30"/>
  <c r="M30" i="30" s="1"/>
  <c r="H30" i="30"/>
  <c r="O30" i="30" s="1"/>
  <c r="B31" i="30"/>
  <c r="F31" i="30"/>
  <c r="M31" i="30" s="1"/>
  <c r="H31" i="30"/>
  <c r="O31" i="30" s="1"/>
  <c r="C32" i="30"/>
  <c r="F32" i="30"/>
  <c r="M32" i="30" s="1"/>
  <c r="H32" i="30"/>
  <c r="O32" i="30" s="1"/>
  <c r="B33" i="30"/>
  <c r="F33" i="30"/>
  <c r="M33" i="30" s="1"/>
  <c r="H33" i="30"/>
  <c r="O33" i="30" s="1"/>
  <c r="C34" i="30"/>
  <c r="F34" i="30"/>
  <c r="M34" i="30" s="1"/>
  <c r="H34" i="30"/>
  <c r="O34" i="30" s="1"/>
  <c r="B35" i="30"/>
  <c r="F35" i="30"/>
  <c r="M35" i="30" s="1"/>
  <c r="H35" i="30"/>
  <c r="O35" i="30" s="1"/>
  <c r="C36" i="30"/>
  <c r="F36" i="30"/>
  <c r="M36" i="30" s="1"/>
  <c r="H36" i="30"/>
  <c r="O36" i="30" s="1"/>
  <c r="B37" i="30"/>
  <c r="F37" i="30"/>
  <c r="M37" i="30" s="1"/>
  <c r="H37" i="30"/>
  <c r="O37" i="30" s="1"/>
  <c r="B38" i="30"/>
  <c r="F38" i="30"/>
  <c r="M38" i="30" s="1"/>
  <c r="H38" i="30"/>
  <c r="O38" i="30" s="1"/>
  <c r="B39" i="30"/>
  <c r="F39" i="30"/>
  <c r="M39" i="30" s="1"/>
  <c r="H39" i="30"/>
  <c r="O39" i="30" s="1"/>
  <c r="C40" i="30"/>
  <c r="F40" i="30"/>
  <c r="M40" i="30" s="1"/>
  <c r="H40" i="30"/>
  <c r="O40" i="30" s="1"/>
  <c r="B41" i="30"/>
  <c r="F41" i="30"/>
  <c r="M41" i="30" s="1"/>
  <c r="H41" i="30"/>
  <c r="O41" i="30" s="1"/>
  <c r="C42" i="30"/>
  <c r="F42" i="30"/>
  <c r="M42" i="30" s="1"/>
  <c r="H42" i="30"/>
  <c r="O42" i="30" s="1"/>
  <c r="B43" i="30"/>
  <c r="F43" i="30"/>
  <c r="M43" i="30" s="1"/>
  <c r="H43" i="30"/>
  <c r="O43" i="30" s="1"/>
  <c r="C44" i="30"/>
  <c r="F44" i="30"/>
  <c r="M44" i="30" s="1"/>
  <c r="H44" i="30"/>
  <c r="O44" i="30" s="1"/>
  <c r="B45" i="30"/>
  <c r="F45" i="30"/>
  <c r="M45" i="30" s="1"/>
  <c r="H45" i="30"/>
  <c r="O45" i="30" s="1"/>
  <c r="B46" i="30"/>
  <c r="F46" i="30"/>
  <c r="M46" i="30" s="1"/>
  <c r="H46" i="30"/>
  <c r="O46" i="30" s="1"/>
  <c r="B47" i="30"/>
  <c r="F47" i="30"/>
  <c r="M47" i="30" s="1"/>
  <c r="H47" i="30"/>
  <c r="O47" i="30" s="1"/>
  <c r="C48" i="30"/>
  <c r="F48" i="30"/>
  <c r="M48" i="30" s="1"/>
  <c r="H48" i="30"/>
  <c r="O48" i="30" s="1"/>
  <c r="B49" i="30"/>
  <c r="F49" i="30"/>
  <c r="M49" i="30" s="1"/>
  <c r="H49" i="30"/>
  <c r="O49" i="30" s="1"/>
  <c r="F50" i="30"/>
  <c r="M50" i="30" s="1"/>
  <c r="H50" i="30"/>
  <c r="O50" i="30" s="1"/>
  <c r="B51" i="30"/>
  <c r="F51" i="30"/>
  <c r="M51" i="30" s="1"/>
  <c r="H51" i="30"/>
  <c r="O51" i="30" s="1"/>
  <c r="C52" i="30"/>
  <c r="F52" i="30"/>
  <c r="M52" i="30" s="1"/>
  <c r="H52" i="30"/>
  <c r="O52" i="30" s="1"/>
  <c r="B53" i="30"/>
  <c r="F53" i="30"/>
  <c r="M53" i="30" s="1"/>
  <c r="H53" i="30"/>
  <c r="O53" i="30" s="1"/>
  <c r="B54" i="30"/>
  <c r="F54" i="30"/>
  <c r="M54" i="30" s="1"/>
  <c r="H54" i="30"/>
  <c r="O54" i="30" s="1"/>
  <c r="B55" i="30"/>
  <c r="F55" i="30"/>
  <c r="M55" i="30" s="1"/>
  <c r="H55" i="30"/>
  <c r="O55" i="30" s="1"/>
  <c r="C56" i="30"/>
  <c r="F56" i="30"/>
  <c r="M56" i="30" s="1"/>
  <c r="H56" i="30"/>
  <c r="O56" i="30" s="1"/>
  <c r="B57" i="30"/>
  <c r="F57" i="30"/>
  <c r="M57" i="30" s="1"/>
  <c r="H57" i="30"/>
  <c r="O57" i="30" s="1"/>
  <c r="C58" i="30"/>
  <c r="F58" i="30"/>
  <c r="M58" i="30" s="1"/>
  <c r="H58" i="30"/>
  <c r="O58" i="30" s="1"/>
  <c r="F59" i="30"/>
  <c r="M59" i="30" s="1"/>
  <c r="H59" i="30"/>
  <c r="O59" i="30" s="1"/>
  <c r="F60" i="30"/>
  <c r="M60" i="30" s="1"/>
  <c r="H60" i="30"/>
  <c r="O60" i="30" s="1"/>
  <c r="F61" i="30"/>
  <c r="M61" i="30" s="1"/>
  <c r="H61" i="30"/>
  <c r="O61" i="30" s="1"/>
  <c r="F62" i="30"/>
  <c r="M62" i="30" s="1"/>
  <c r="H62" i="30"/>
  <c r="O62" i="30" s="1"/>
  <c r="B63" i="30"/>
  <c r="F63" i="30"/>
  <c r="M63" i="30" s="1"/>
  <c r="H63" i="30"/>
  <c r="O63" i="30" s="1"/>
  <c r="F64" i="30"/>
  <c r="M64" i="30" s="1"/>
  <c r="H64" i="30"/>
  <c r="O64" i="30" s="1"/>
  <c r="B65" i="30"/>
  <c r="F65" i="30"/>
  <c r="M65" i="30" s="1"/>
  <c r="H65" i="30"/>
  <c r="O65" i="30" s="1"/>
  <c r="F66" i="30"/>
  <c r="M66" i="30" s="1"/>
  <c r="H66" i="30"/>
  <c r="O66" i="30" s="1"/>
  <c r="B67" i="30"/>
  <c r="F67" i="30"/>
  <c r="M67" i="30" s="1"/>
  <c r="H67" i="30"/>
  <c r="O67" i="30" s="1"/>
  <c r="F68" i="30"/>
  <c r="M68" i="30" s="1"/>
  <c r="H68" i="30"/>
  <c r="O68" i="30" s="1"/>
  <c r="B69" i="30"/>
  <c r="F69" i="30"/>
  <c r="M69" i="30" s="1"/>
  <c r="H69" i="30"/>
  <c r="O69" i="30" s="1"/>
  <c r="F70" i="30"/>
  <c r="M70" i="30" s="1"/>
  <c r="H70" i="30"/>
  <c r="O70" i="30" s="1"/>
  <c r="B71" i="30"/>
  <c r="F71" i="30"/>
  <c r="M71" i="30" s="1"/>
  <c r="H71" i="30"/>
  <c r="O71" i="30" s="1"/>
  <c r="F72" i="30"/>
  <c r="M72" i="30" s="1"/>
  <c r="H72" i="30"/>
  <c r="O72" i="30" s="1"/>
  <c r="B73" i="30"/>
  <c r="F73" i="30"/>
  <c r="M73" i="30" s="1"/>
  <c r="H73" i="30"/>
  <c r="O73" i="30" s="1"/>
  <c r="F74" i="30"/>
  <c r="M74" i="30" s="1"/>
  <c r="H74" i="30"/>
  <c r="O74" i="30" s="1"/>
  <c r="B75" i="30"/>
  <c r="F75" i="30"/>
  <c r="M75" i="30" s="1"/>
  <c r="H75" i="30"/>
  <c r="O75" i="30" s="1"/>
  <c r="F76" i="30"/>
  <c r="M76" i="30" s="1"/>
  <c r="H76" i="30"/>
  <c r="O76" i="30" s="1"/>
  <c r="B77" i="30"/>
  <c r="F77" i="30"/>
  <c r="M77" i="30" s="1"/>
  <c r="H77" i="30"/>
  <c r="O77" i="30" s="1"/>
  <c r="F78" i="30"/>
  <c r="M78" i="30" s="1"/>
  <c r="H78" i="30"/>
  <c r="O78" i="30" s="1"/>
  <c r="B79" i="30"/>
  <c r="F79" i="30"/>
  <c r="M79" i="30" s="1"/>
  <c r="H79" i="30"/>
  <c r="O79" i="30" s="1"/>
  <c r="F80" i="30"/>
  <c r="M80" i="30" s="1"/>
  <c r="H80" i="30"/>
  <c r="O80" i="30" s="1"/>
  <c r="B81" i="30"/>
  <c r="F81" i="30"/>
  <c r="M81" i="30" s="1"/>
  <c r="H81" i="30"/>
  <c r="O81" i="30" s="1"/>
  <c r="F82" i="30"/>
  <c r="M82" i="30" s="1"/>
  <c r="H82" i="30"/>
  <c r="O82" i="30" s="1"/>
  <c r="B83" i="30"/>
  <c r="F83" i="30"/>
  <c r="M83" i="30" s="1"/>
  <c r="H83" i="30"/>
  <c r="O83" i="30" s="1"/>
  <c r="F84" i="30"/>
  <c r="M84" i="30" s="1"/>
  <c r="H84" i="30"/>
  <c r="O84" i="30" s="1"/>
  <c r="B85" i="30"/>
  <c r="F85" i="30"/>
  <c r="M85" i="30" s="1"/>
  <c r="H85" i="30"/>
  <c r="O85" i="30" s="1"/>
  <c r="H86" i="30"/>
  <c r="O86" i="30" s="1"/>
  <c r="C87" i="30"/>
  <c r="H87" i="30"/>
  <c r="O87" i="30" s="1"/>
  <c r="H88" i="30"/>
  <c r="O88" i="30" s="1"/>
  <c r="B89" i="30"/>
  <c r="H89" i="30"/>
  <c r="O89" i="30" s="1"/>
  <c r="H90" i="30"/>
  <c r="O90" i="30" s="1"/>
  <c r="B91" i="30"/>
  <c r="H91" i="30"/>
  <c r="O91" i="30" s="1"/>
  <c r="H92" i="30"/>
  <c r="O92" i="30" s="1"/>
  <c r="B93" i="30"/>
  <c r="H93" i="30"/>
  <c r="O93" i="30" s="1"/>
  <c r="H94" i="30"/>
  <c r="O94" i="30" s="1"/>
  <c r="C95" i="30"/>
  <c r="H95" i="30"/>
  <c r="O95" i="30" s="1"/>
  <c r="H96" i="30"/>
  <c r="O96" i="30" s="1"/>
  <c r="B97" i="30"/>
  <c r="H97" i="30"/>
  <c r="O97" i="30" s="1"/>
  <c r="A2" i="29"/>
  <c r="B2" i="29" s="1"/>
  <c r="A3" i="29"/>
  <c r="B3" i="29" s="1"/>
  <c r="A4" i="29"/>
  <c r="C4" i="29" s="1"/>
  <c r="A5" i="29"/>
  <c r="B5" i="29" s="1"/>
  <c r="A6" i="29"/>
  <c r="B6" i="29" s="1"/>
  <c r="A7" i="29"/>
  <c r="B7" i="29" s="1"/>
  <c r="A8" i="29"/>
  <c r="C8" i="29" s="1"/>
  <c r="A9" i="29"/>
  <c r="B9" i="29" s="1"/>
  <c r="A10" i="29"/>
  <c r="B10" i="29" s="1"/>
  <c r="A11" i="29"/>
  <c r="B11" i="29" s="1"/>
  <c r="A12" i="29"/>
  <c r="B12" i="29" s="1"/>
  <c r="A13" i="29"/>
  <c r="B13" i="29" s="1"/>
  <c r="A14" i="29"/>
  <c r="B14" i="29" s="1"/>
  <c r="A15" i="29"/>
  <c r="B15" i="29" s="1"/>
  <c r="A16" i="29"/>
  <c r="B16" i="29" s="1"/>
  <c r="A17" i="29"/>
  <c r="B17" i="29" s="1"/>
  <c r="A18" i="29"/>
  <c r="B18" i="29" s="1"/>
  <c r="A19" i="29"/>
  <c r="B19" i="29" s="1"/>
  <c r="A20" i="29"/>
  <c r="B20" i="29" s="1"/>
  <c r="A21" i="29"/>
  <c r="B21" i="29" s="1"/>
  <c r="A22" i="29"/>
  <c r="B22" i="29" s="1"/>
  <c r="A23" i="29"/>
  <c r="B23" i="29" s="1"/>
  <c r="A24" i="29"/>
  <c r="B24" i="29" s="1"/>
  <c r="A25" i="29"/>
  <c r="B25" i="29" s="1"/>
  <c r="A26" i="29"/>
  <c r="C26" i="29" s="1"/>
  <c r="A27" i="29"/>
  <c r="B27" i="29" s="1"/>
  <c r="A28" i="29"/>
  <c r="B28" i="29" s="1"/>
  <c r="A29" i="29"/>
  <c r="B29" i="29" s="1"/>
  <c r="A30" i="29"/>
  <c r="B30" i="29" s="1"/>
  <c r="A31" i="29"/>
  <c r="B31" i="29" s="1"/>
  <c r="A32" i="29"/>
  <c r="B32" i="29" s="1"/>
  <c r="A33" i="29"/>
  <c r="C33" i="29" s="1"/>
  <c r="A34" i="29"/>
  <c r="C34" i="29" s="1"/>
  <c r="A35" i="29"/>
  <c r="C35" i="29" s="1"/>
  <c r="A36" i="29"/>
  <c r="C36" i="29" s="1"/>
  <c r="A37" i="29"/>
  <c r="C37" i="29" s="1"/>
  <c r="A38" i="29"/>
  <c r="C38" i="29" s="1"/>
  <c r="A39" i="29"/>
  <c r="C39" i="29" s="1"/>
  <c r="A40" i="29"/>
  <c r="C40" i="29" s="1"/>
  <c r="A41" i="29"/>
  <c r="C41" i="29" s="1"/>
  <c r="A42" i="29"/>
  <c r="C42" i="29" s="1"/>
  <c r="A43" i="29"/>
  <c r="C43" i="29" s="1"/>
  <c r="A44" i="29"/>
  <c r="C44" i="29" s="1"/>
  <c r="A45" i="29"/>
  <c r="C45" i="29" s="1"/>
  <c r="A46" i="29"/>
  <c r="C46" i="29" s="1"/>
  <c r="A47" i="29"/>
  <c r="C47" i="29" s="1"/>
  <c r="A48" i="29"/>
  <c r="C48" i="29" s="1"/>
  <c r="A49" i="29"/>
  <c r="B49" i="29" s="1"/>
  <c r="A50" i="29"/>
  <c r="B50" i="29" s="1"/>
  <c r="A51" i="29"/>
  <c r="B51" i="29" s="1"/>
  <c r="A52" i="29"/>
  <c r="B52" i="29" s="1"/>
  <c r="A53" i="29"/>
  <c r="B53" i="29" s="1"/>
  <c r="A54" i="29"/>
  <c r="B54" i="29" s="1"/>
  <c r="A55" i="29"/>
  <c r="B55" i="29" s="1"/>
  <c r="A56" i="29"/>
  <c r="B56" i="29" s="1"/>
  <c r="A57" i="29"/>
  <c r="B57" i="29" s="1"/>
  <c r="A58" i="29"/>
  <c r="B58" i="29" s="1"/>
  <c r="A59" i="29"/>
  <c r="B59" i="29" s="1"/>
  <c r="A60" i="29"/>
  <c r="B60" i="29" s="1"/>
  <c r="A61" i="29"/>
  <c r="C61" i="29" s="1"/>
  <c r="A62" i="29"/>
  <c r="C62" i="29" s="1"/>
  <c r="A63" i="29"/>
  <c r="C63" i="29" s="1"/>
  <c r="A64" i="29"/>
  <c r="C64" i="29" s="1"/>
  <c r="A65" i="29"/>
  <c r="C65" i="29" s="1"/>
  <c r="A66" i="29"/>
  <c r="C66" i="29" s="1"/>
  <c r="A67" i="29"/>
  <c r="C67" i="29" s="1"/>
  <c r="A68" i="29"/>
  <c r="C68" i="29" s="1"/>
  <c r="A69" i="29"/>
  <c r="C69" i="29" s="1"/>
  <c r="A70" i="29"/>
  <c r="C70" i="29" s="1"/>
  <c r="A71" i="29"/>
  <c r="C71" i="29" s="1"/>
  <c r="A72" i="29"/>
  <c r="B72" i="29" s="1"/>
  <c r="A73" i="29"/>
  <c r="B73" i="29" s="1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7" i="28"/>
  <c r="B78" i="28"/>
  <c r="B79" i="28"/>
  <c r="B80" i="28"/>
  <c r="B81" i="28"/>
  <c r="B82" i="28"/>
  <c r="B83" i="28"/>
  <c r="B84" i="28"/>
  <c r="B85" i="28"/>
  <c r="B86" i="28"/>
  <c r="C87" i="28"/>
  <c r="C88" i="28"/>
  <c r="C89" i="28"/>
  <c r="B90" i="28"/>
  <c r="C91" i="28"/>
  <c r="C92" i="28"/>
  <c r="C93" i="28"/>
  <c r="B94" i="28"/>
  <c r="C95" i="28"/>
  <c r="C96" i="28"/>
  <c r="C2" i="28"/>
  <c r="B3" i="28"/>
  <c r="B4" i="28"/>
  <c r="C6" i="28"/>
  <c r="B7" i="28"/>
  <c r="B8" i="28"/>
  <c r="C10" i="28"/>
  <c r="B11" i="28"/>
  <c r="C12" i="28"/>
  <c r="C14" i="28"/>
  <c r="B15" i="28"/>
  <c r="C16" i="28"/>
  <c r="C18" i="28"/>
  <c r="B19" i="28"/>
  <c r="C20" i="28"/>
  <c r="C22" i="28"/>
  <c r="B23" i="28"/>
  <c r="C24" i="28"/>
  <c r="C26" i="28"/>
  <c r="B27" i="28"/>
  <c r="C28" i="28"/>
  <c r="B29" i="28"/>
  <c r="C30" i="28"/>
  <c r="B31" i="28"/>
  <c r="B32" i="28"/>
  <c r="C34" i="28"/>
  <c r="B35" i="28"/>
  <c r="C36" i="28"/>
  <c r="C38" i="28"/>
  <c r="B39" i="28"/>
  <c r="B40" i="28"/>
  <c r="C42" i="28"/>
  <c r="B43" i="28"/>
  <c r="C44" i="28"/>
  <c r="C46" i="28"/>
  <c r="B47" i="28"/>
  <c r="C48" i="28"/>
  <c r="C50" i="28"/>
  <c r="B51" i="28"/>
  <c r="C52" i="28"/>
  <c r="B53" i="28"/>
  <c r="B54" i="28"/>
  <c r="C55" i="28"/>
  <c r="B56" i="28"/>
  <c r="C57" i="28"/>
  <c r="B58" i="28"/>
  <c r="C59" i="28"/>
  <c r="B60" i="28"/>
  <c r="C61" i="28"/>
  <c r="B86" i="27"/>
  <c r="B87" i="27"/>
  <c r="B88" i="27"/>
  <c r="C89" i="27"/>
  <c r="B90" i="27"/>
  <c r="B91" i="27"/>
  <c r="C92" i="27"/>
  <c r="C93" i="27"/>
  <c r="B94" i="27"/>
  <c r="B95" i="27"/>
  <c r="B96" i="27"/>
  <c r="B97" i="27"/>
  <c r="C2" i="27"/>
  <c r="B3" i="27"/>
  <c r="B4" i="27"/>
  <c r="C6" i="27"/>
  <c r="B7" i="27"/>
  <c r="B8" i="27"/>
  <c r="B11" i="27"/>
  <c r="B12" i="27"/>
  <c r="B15" i="27"/>
  <c r="B16" i="27"/>
  <c r="B19" i="27"/>
  <c r="B20" i="27"/>
  <c r="B23" i="27"/>
  <c r="B24" i="27"/>
  <c r="C25" i="27"/>
  <c r="B26" i="27"/>
  <c r="B27" i="27"/>
  <c r="B28" i="27"/>
  <c r="C29" i="27"/>
  <c r="B30" i="27"/>
  <c r="C31" i="27"/>
  <c r="B32" i="27"/>
  <c r="C33" i="27"/>
  <c r="B34" i="27"/>
  <c r="B35" i="27"/>
  <c r="B36" i="27"/>
  <c r="C37" i="27"/>
  <c r="B38" i="27"/>
  <c r="C39" i="27"/>
  <c r="B40" i="27"/>
  <c r="C41" i="27"/>
  <c r="B42" i="27"/>
  <c r="B43" i="27"/>
  <c r="B44" i="27"/>
  <c r="C45" i="27"/>
  <c r="B46" i="27"/>
  <c r="C47" i="27"/>
  <c r="B48" i="27"/>
  <c r="C49" i="27"/>
  <c r="B50" i="27"/>
  <c r="B51" i="27"/>
  <c r="B52" i="27"/>
  <c r="C53" i="27"/>
  <c r="B54" i="27"/>
  <c r="B56" i="27"/>
  <c r="C57" i="27"/>
  <c r="B58" i="27"/>
  <c r="B59" i="27"/>
  <c r="B60" i="27"/>
  <c r="C61" i="27"/>
  <c r="B62" i="27"/>
  <c r="B63" i="27"/>
  <c r="B64" i="27"/>
  <c r="C65" i="27"/>
  <c r="B66" i="27"/>
  <c r="B67" i="27"/>
  <c r="B68" i="27"/>
  <c r="C69" i="27"/>
  <c r="B70" i="27"/>
  <c r="C71" i="27"/>
  <c r="B72" i="27"/>
  <c r="C73" i="27"/>
  <c r="B74" i="27"/>
  <c r="B75" i="27"/>
  <c r="B76" i="27"/>
  <c r="C77" i="27"/>
  <c r="B78" i="27"/>
  <c r="C79" i="27"/>
  <c r="B80" i="27"/>
  <c r="C81" i="27"/>
  <c r="B82" i="27"/>
  <c r="B83" i="27"/>
  <c r="B84" i="27"/>
  <c r="C85" i="27"/>
  <c r="C97" i="66"/>
  <c r="C96" i="66"/>
  <c r="C95" i="66"/>
  <c r="C94" i="66"/>
  <c r="C93" i="66"/>
  <c r="C92" i="66"/>
  <c r="C91" i="66"/>
  <c r="C90" i="66"/>
  <c r="C89" i="66"/>
  <c r="C88" i="66"/>
  <c r="C87" i="66"/>
  <c r="C86" i="66"/>
  <c r="J85" i="66"/>
  <c r="M85" i="66" s="1"/>
  <c r="C85" i="66"/>
  <c r="J84" i="66"/>
  <c r="C84" i="66"/>
  <c r="J83" i="66"/>
  <c r="M83" i="66" s="1"/>
  <c r="C83" i="66"/>
  <c r="J82" i="66"/>
  <c r="C82" i="66"/>
  <c r="J81" i="66"/>
  <c r="M81" i="66" s="1"/>
  <c r="J80" i="66"/>
  <c r="J79" i="66"/>
  <c r="C79" i="66"/>
  <c r="J78" i="66"/>
  <c r="M78" i="66" s="1"/>
  <c r="C78" i="66"/>
  <c r="J77" i="66"/>
  <c r="C77" i="66"/>
  <c r="J76" i="66"/>
  <c r="M76" i="66" s="1"/>
  <c r="J75" i="66"/>
  <c r="C75" i="66"/>
  <c r="J74" i="66"/>
  <c r="C74" i="66"/>
  <c r="J73" i="66"/>
  <c r="C73" i="66"/>
  <c r="J72" i="66"/>
  <c r="C72" i="66"/>
  <c r="J71" i="66"/>
  <c r="J70" i="66"/>
  <c r="C70" i="66"/>
  <c r="J69" i="66"/>
  <c r="M69" i="66" s="1"/>
  <c r="C69" i="66"/>
  <c r="J68" i="66"/>
  <c r="C68" i="66"/>
  <c r="J67" i="66"/>
  <c r="M67" i="66" s="1"/>
  <c r="J66" i="66"/>
  <c r="J65" i="66"/>
  <c r="C65" i="66"/>
  <c r="J64" i="66"/>
  <c r="M64" i="66" s="1"/>
  <c r="J63" i="66"/>
  <c r="J62" i="66"/>
  <c r="J61" i="66"/>
  <c r="C61" i="66"/>
  <c r="J60" i="66"/>
  <c r="J59" i="66"/>
  <c r="C59" i="66"/>
  <c r="J58" i="66"/>
  <c r="M58" i="66" s="1"/>
  <c r="J57" i="66"/>
  <c r="C57" i="66"/>
  <c r="J56" i="66"/>
  <c r="J55" i="66"/>
  <c r="M55" i="66" s="1"/>
  <c r="C55" i="66"/>
  <c r="J54" i="66"/>
  <c r="J53" i="66"/>
  <c r="C53" i="66"/>
  <c r="J52" i="66"/>
  <c r="J51" i="66"/>
  <c r="C51" i="66"/>
  <c r="J50" i="66"/>
  <c r="M50" i="66" s="1"/>
  <c r="J49" i="66"/>
  <c r="C49" i="66"/>
  <c r="J48" i="66"/>
  <c r="J47" i="66"/>
  <c r="M47" i="66" s="1"/>
  <c r="C47" i="66"/>
  <c r="J46" i="66"/>
  <c r="J45" i="66"/>
  <c r="C45" i="66"/>
  <c r="J44" i="66"/>
  <c r="C44" i="66"/>
  <c r="J43" i="66"/>
  <c r="J42" i="66"/>
  <c r="M42" i="66" s="1"/>
  <c r="C42" i="66"/>
  <c r="J41" i="66"/>
  <c r="C41" i="66"/>
  <c r="J40" i="66"/>
  <c r="M40" i="66" s="1"/>
  <c r="J39" i="66"/>
  <c r="C39" i="66"/>
  <c r="J38" i="66"/>
  <c r="C38" i="66"/>
  <c r="J37" i="66"/>
  <c r="C37" i="66"/>
  <c r="J36" i="66"/>
  <c r="J35" i="66"/>
  <c r="M35" i="66" s="1"/>
  <c r="C35" i="66"/>
  <c r="J34" i="66"/>
  <c r="C34" i="66"/>
  <c r="J33" i="66"/>
  <c r="M33" i="66" s="1"/>
  <c r="C33" i="66"/>
  <c r="J32" i="66"/>
  <c r="J31" i="66"/>
  <c r="C31" i="66"/>
  <c r="J30" i="66"/>
  <c r="C30" i="66"/>
  <c r="J29" i="66"/>
  <c r="C29" i="66"/>
  <c r="J28" i="66"/>
  <c r="J27" i="66"/>
  <c r="C27" i="66"/>
  <c r="J26" i="66"/>
  <c r="M26" i="66" s="1"/>
  <c r="C26" i="66"/>
  <c r="J25" i="66"/>
  <c r="C25" i="66"/>
  <c r="J24" i="66"/>
  <c r="M24" i="66" s="1"/>
  <c r="C24" i="66"/>
  <c r="J23" i="66"/>
  <c r="J22" i="66"/>
  <c r="C22" i="66"/>
  <c r="J21" i="66"/>
  <c r="B21" i="66"/>
  <c r="J20" i="66"/>
  <c r="C20" i="66"/>
  <c r="J19" i="66"/>
  <c r="J18" i="66"/>
  <c r="C18" i="66"/>
  <c r="J17" i="66"/>
  <c r="M17" i="66" s="1"/>
  <c r="B17" i="66"/>
  <c r="J16" i="66"/>
  <c r="C16" i="66"/>
  <c r="J15" i="66"/>
  <c r="M15" i="66" s="1"/>
  <c r="J14" i="66"/>
  <c r="C14" i="66"/>
  <c r="J13" i="66"/>
  <c r="B13" i="66"/>
  <c r="J12" i="66"/>
  <c r="C12" i="66"/>
  <c r="J11" i="66"/>
  <c r="J10" i="66"/>
  <c r="M10" i="66" s="1"/>
  <c r="C10" i="66"/>
  <c r="J9" i="66"/>
  <c r="B9" i="66"/>
  <c r="J8" i="66"/>
  <c r="M8" i="66" s="1"/>
  <c r="C8" i="66"/>
  <c r="J7" i="66"/>
  <c r="J6" i="66"/>
  <c r="C6" i="66"/>
  <c r="J5" i="66"/>
  <c r="B5" i="66"/>
  <c r="J4" i="66"/>
  <c r="C4" i="66"/>
  <c r="J3" i="66"/>
  <c r="J2" i="66"/>
  <c r="C2" i="66"/>
  <c r="J1" i="66"/>
  <c r="O97" i="64"/>
  <c r="O96" i="64"/>
  <c r="C96" i="64"/>
  <c r="O95" i="64"/>
  <c r="O94" i="64"/>
  <c r="C94" i="64"/>
  <c r="O93" i="64"/>
  <c r="O92" i="64"/>
  <c r="C92" i="64"/>
  <c r="O91" i="64"/>
  <c r="B91" i="64"/>
  <c r="O90" i="64"/>
  <c r="C90" i="64"/>
  <c r="O89" i="64"/>
  <c r="B89" i="64"/>
  <c r="O88" i="64"/>
  <c r="C88" i="64"/>
  <c r="O87" i="64"/>
  <c r="B87" i="64"/>
  <c r="O86" i="64"/>
  <c r="C86" i="64"/>
  <c r="O85" i="64"/>
  <c r="M85" i="64"/>
  <c r="B85" i="64"/>
  <c r="O84" i="64"/>
  <c r="M84" i="64"/>
  <c r="C84" i="64"/>
  <c r="O83" i="64"/>
  <c r="M83" i="64"/>
  <c r="B83" i="64"/>
  <c r="O82" i="64"/>
  <c r="M82" i="64"/>
  <c r="C82" i="64"/>
  <c r="O81" i="64"/>
  <c r="M81" i="64"/>
  <c r="O80" i="64"/>
  <c r="M80" i="64"/>
  <c r="O79" i="64"/>
  <c r="M79" i="64"/>
  <c r="B79" i="64"/>
  <c r="O78" i="64"/>
  <c r="M78" i="64"/>
  <c r="B78" i="64"/>
  <c r="O77" i="64"/>
  <c r="M77" i="64"/>
  <c r="B77" i="64"/>
  <c r="O76" i="64"/>
  <c r="M76" i="64"/>
  <c r="B76" i="64"/>
  <c r="O75" i="64"/>
  <c r="M75" i="64"/>
  <c r="C75" i="64"/>
  <c r="O74" i="64"/>
  <c r="M74" i="64"/>
  <c r="B74" i="64"/>
  <c r="O73" i="64"/>
  <c r="M73" i="64"/>
  <c r="C73" i="64"/>
  <c r="O72" i="64"/>
  <c r="M72" i="64"/>
  <c r="B72" i="64"/>
  <c r="O71" i="64"/>
  <c r="M71" i="64"/>
  <c r="C71" i="64"/>
  <c r="O70" i="64"/>
  <c r="M70" i="64"/>
  <c r="O69" i="64"/>
  <c r="M69" i="64"/>
  <c r="C69" i="64"/>
  <c r="O68" i="64"/>
  <c r="M68" i="64"/>
  <c r="B68" i="64"/>
  <c r="O67" i="64"/>
  <c r="M67" i="64"/>
  <c r="C67" i="64"/>
  <c r="O66" i="64"/>
  <c r="M66" i="64"/>
  <c r="B66" i="64"/>
  <c r="O65" i="64"/>
  <c r="M65" i="64"/>
  <c r="C65" i="64"/>
  <c r="O64" i="64"/>
  <c r="M64" i="64"/>
  <c r="B64" i="64"/>
  <c r="O63" i="64"/>
  <c r="M63" i="64"/>
  <c r="C63" i="64"/>
  <c r="O62" i="64"/>
  <c r="M62" i="64"/>
  <c r="O61" i="64"/>
  <c r="M61" i="64"/>
  <c r="C61" i="64"/>
  <c r="O60" i="64"/>
  <c r="M60" i="64"/>
  <c r="B60" i="64"/>
  <c r="O59" i="64"/>
  <c r="M59" i="64"/>
  <c r="C59" i="64"/>
  <c r="O58" i="64"/>
  <c r="M58" i="64"/>
  <c r="B58" i="64"/>
  <c r="O57" i="64"/>
  <c r="M57" i="64"/>
  <c r="C57" i="64"/>
  <c r="O56" i="64"/>
  <c r="M56" i="64"/>
  <c r="B56" i="64"/>
  <c r="O55" i="64"/>
  <c r="M55" i="64"/>
  <c r="C55" i="64"/>
  <c r="O54" i="64"/>
  <c r="M54" i="64"/>
  <c r="O53" i="64"/>
  <c r="M53" i="64"/>
  <c r="B53" i="64"/>
  <c r="O52" i="64"/>
  <c r="M52" i="64"/>
  <c r="B52" i="64"/>
  <c r="O51" i="64"/>
  <c r="M51" i="64"/>
  <c r="B51" i="64"/>
  <c r="O50" i="64"/>
  <c r="M50" i="64"/>
  <c r="C50" i="64"/>
  <c r="O49" i="64"/>
  <c r="M49" i="64"/>
  <c r="B49" i="64"/>
  <c r="O48" i="64"/>
  <c r="M48" i="64"/>
  <c r="C48" i="64"/>
  <c r="O47" i="64"/>
  <c r="M47" i="64"/>
  <c r="B47" i="64"/>
  <c r="O46" i="64"/>
  <c r="M46" i="64"/>
  <c r="C46" i="64"/>
  <c r="O45" i="64"/>
  <c r="M45" i="64"/>
  <c r="B45" i="64"/>
  <c r="O44" i="64"/>
  <c r="M44" i="64"/>
  <c r="O43" i="64"/>
  <c r="M43" i="64"/>
  <c r="B43" i="64"/>
  <c r="O42" i="64"/>
  <c r="M42" i="64"/>
  <c r="O41" i="64"/>
  <c r="M41" i="64"/>
  <c r="B41" i="64"/>
  <c r="O40" i="64"/>
  <c r="M40" i="64"/>
  <c r="O39" i="64"/>
  <c r="M39" i="64"/>
  <c r="B39" i="64"/>
  <c r="O38" i="64"/>
  <c r="M38" i="64"/>
  <c r="O37" i="64"/>
  <c r="M37" i="64"/>
  <c r="B37" i="64"/>
  <c r="O36" i="64"/>
  <c r="M36" i="64"/>
  <c r="O35" i="64"/>
  <c r="M35" i="64"/>
  <c r="B35" i="64"/>
  <c r="O34" i="64"/>
  <c r="M34" i="64"/>
  <c r="O33" i="64"/>
  <c r="M33" i="64"/>
  <c r="B33" i="64"/>
  <c r="O32" i="64"/>
  <c r="M32" i="64"/>
  <c r="O31" i="64"/>
  <c r="M31" i="64"/>
  <c r="B31" i="64"/>
  <c r="O30" i="64"/>
  <c r="M30" i="64"/>
  <c r="O29" i="64"/>
  <c r="M29" i="64"/>
  <c r="O28" i="64"/>
  <c r="M28" i="64"/>
  <c r="O27" i="64"/>
  <c r="M27" i="64"/>
  <c r="O26" i="64"/>
  <c r="M26" i="64"/>
  <c r="O25" i="64"/>
  <c r="M25" i="64"/>
  <c r="B25" i="64"/>
  <c r="O24" i="64"/>
  <c r="M24" i="64"/>
  <c r="C24" i="64"/>
  <c r="O23" i="64"/>
  <c r="M23" i="64"/>
  <c r="B23" i="64"/>
  <c r="O22" i="64"/>
  <c r="M22" i="64"/>
  <c r="C22" i="64"/>
  <c r="O21" i="64"/>
  <c r="M21" i="64"/>
  <c r="B21" i="64"/>
  <c r="O20" i="64"/>
  <c r="M20" i="64"/>
  <c r="C20" i="64"/>
  <c r="O19" i="64"/>
  <c r="M19" i="64"/>
  <c r="O18" i="64"/>
  <c r="M18" i="64"/>
  <c r="C18" i="64"/>
  <c r="O17" i="64"/>
  <c r="M17" i="64"/>
  <c r="B17" i="64"/>
  <c r="O16" i="64"/>
  <c r="M16" i="64"/>
  <c r="C16" i="64"/>
  <c r="O15" i="64"/>
  <c r="M15" i="64"/>
  <c r="B15" i="64"/>
  <c r="O14" i="64"/>
  <c r="M14" i="64"/>
  <c r="C14" i="64"/>
  <c r="O13" i="64"/>
  <c r="M13" i="64"/>
  <c r="B13" i="64"/>
  <c r="O12" i="64"/>
  <c r="M12" i="64"/>
  <c r="C12" i="64"/>
  <c r="O11" i="64"/>
  <c r="M11" i="64"/>
  <c r="O10" i="64"/>
  <c r="M10" i="64"/>
  <c r="C10" i="64"/>
  <c r="O9" i="64"/>
  <c r="M9" i="64"/>
  <c r="B9" i="64"/>
  <c r="O8" i="64"/>
  <c r="M8" i="64"/>
  <c r="C8" i="64"/>
  <c r="O7" i="64"/>
  <c r="M7" i="64"/>
  <c r="B7" i="64"/>
  <c r="O6" i="64"/>
  <c r="M6" i="64"/>
  <c r="C6" i="64"/>
  <c r="O5" i="64"/>
  <c r="M5" i="64"/>
  <c r="B5" i="64"/>
  <c r="O4" i="64"/>
  <c r="M4" i="64"/>
  <c r="C4" i="64"/>
  <c r="O3" i="64"/>
  <c r="M3" i="64"/>
  <c r="O2" i="64"/>
  <c r="M2" i="64"/>
  <c r="C2" i="64"/>
  <c r="O1" i="64"/>
  <c r="N1" i="64"/>
  <c r="M1" i="64"/>
  <c r="B97" i="58"/>
  <c r="B96" i="58"/>
  <c r="C95" i="58"/>
  <c r="C92" i="58"/>
  <c r="C91" i="58"/>
  <c r="B89" i="58"/>
  <c r="C87" i="58"/>
  <c r="O85" i="58"/>
  <c r="B85" i="58"/>
  <c r="O84" i="58"/>
  <c r="C84" i="58"/>
  <c r="O83" i="58"/>
  <c r="O82" i="58"/>
  <c r="O81" i="58"/>
  <c r="B81" i="58"/>
  <c r="O80" i="58"/>
  <c r="O79" i="58"/>
  <c r="C79" i="58"/>
  <c r="O78" i="58"/>
  <c r="O77" i="58"/>
  <c r="C77" i="58"/>
  <c r="O76" i="58"/>
  <c r="B76" i="58"/>
  <c r="O75" i="58"/>
  <c r="O74" i="58"/>
  <c r="O73" i="58"/>
  <c r="B73" i="58"/>
  <c r="O72" i="58"/>
  <c r="B72" i="58"/>
  <c r="O71" i="58"/>
  <c r="C71" i="58"/>
  <c r="O70" i="58"/>
  <c r="B70" i="58"/>
  <c r="O69" i="58"/>
  <c r="C69" i="58"/>
  <c r="O68" i="58"/>
  <c r="B68" i="58"/>
  <c r="O67" i="58"/>
  <c r="O66" i="58"/>
  <c r="B66" i="58"/>
  <c r="O65" i="58"/>
  <c r="O64" i="58"/>
  <c r="C64" i="58"/>
  <c r="O63" i="58"/>
  <c r="B63" i="58"/>
  <c r="O62" i="58"/>
  <c r="C62" i="58"/>
  <c r="O61" i="58"/>
  <c r="O60" i="58"/>
  <c r="O59" i="58"/>
  <c r="B59" i="58"/>
  <c r="O58" i="58"/>
  <c r="O57" i="58"/>
  <c r="O56" i="58"/>
  <c r="C56" i="58"/>
  <c r="O55" i="58"/>
  <c r="B55" i="58"/>
  <c r="O54" i="58"/>
  <c r="C54" i="58"/>
  <c r="O53" i="58"/>
  <c r="O52" i="58"/>
  <c r="O51" i="58"/>
  <c r="B51" i="58"/>
  <c r="O50" i="58"/>
  <c r="C50" i="58"/>
  <c r="O49" i="58"/>
  <c r="O48" i="58"/>
  <c r="C48" i="58"/>
  <c r="O47" i="58"/>
  <c r="B47" i="58"/>
  <c r="O46" i="58"/>
  <c r="C46" i="58"/>
  <c r="O45" i="58"/>
  <c r="O44" i="58"/>
  <c r="C44" i="58"/>
  <c r="O43" i="58"/>
  <c r="O42" i="58"/>
  <c r="O41" i="58"/>
  <c r="B41" i="58"/>
  <c r="O40" i="58"/>
  <c r="C40" i="58"/>
  <c r="O39" i="58"/>
  <c r="B39" i="58"/>
  <c r="O38" i="58"/>
  <c r="B38" i="58"/>
  <c r="O37" i="58"/>
  <c r="O36" i="58"/>
  <c r="B36" i="58"/>
  <c r="O35" i="58"/>
  <c r="O34" i="58"/>
  <c r="C34" i="58"/>
  <c r="O33" i="58"/>
  <c r="B33" i="58"/>
  <c r="O32" i="58"/>
  <c r="C32" i="58"/>
  <c r="O31" i="58"/>
  <c r="O30" i="58"/>
  <c r="C30" i="58"/>
  <c r="O29" i="58"/>
  <c r="O28" i="58"/>
  <c r="B28" i="58"/>
  <c r="O27" i="58"/>
  <c r="O26" i="58"/>
  <c r="C26" i="58"/>
  <c r="O25" i="58"/>
  <c r="B25" i="58"/>
  <c r="O24" i="58"/>
  <c r="C24" i="58"/>
  <c r="O23" i="58"/>
  <c r="O22" i="58"/>
  <c r="C22" i="58"/>
  <c r="O21" i="58"/>
  <c r="O20" i="58"/>
  <c r="B20" i="58"/>
  <c r="O19" i="58"/>
  <c r="O18" i="58"/>
  <c r="C18" i="58"/>
  <c r="O17" i="58"/>
  <c r="B17" i="58"/>
  <c r="O16" i="58"/>
  <c r="O15" i="58"/>
  <c r="O14" i="58"/>
  <c r="C14" i="58"/>
  <c r="O13" i="58"/>
  <c r="B13" i="58"/>
  <c r="O12" i="58"/>
  <c r="C12" i="58"/>
  <c r="O11" i="58"/>
  <c r="B11" i="58"/>
  <c r="O10" i="58"/>
  <c r="C10" i="58"/>
  <c r="O9" i="58"/>
  <c r="O8" i="58"/>
  <c r="C8" i="58"/>
  <c r="O7" i="58"/>
  <c r="O6" i="58"/>
  <c r="O5" i="58"/>
  <c r="B5" i="58"/>
  <c r="O4" i="58"/>
  <c r="C4" i="58"/>
  <c r="O3" i="58"/>
  <c r="O2" i="58"/>
  <c r="B2" i="58"/>
  <c r="O1" i="58"/>
  <c r="BC2" i="39"/>
  <c r="BD2" i="39"/>
  <c r="BE2" i="39"/>
  <c r="BF2" i="39"/>
  <c r="BG2" i="39"/>
  <c r="F2" i="66" s="1"/>
  <c r="K2" i="66" s="1"/>
  <c r="BH2" i="39"/>
  <c r="BC3" i="39"/>
  <c r="BD3" i="39"/>
  <c r="BE3" i="39"/>
  <c r="BF3" i="39"/>
  <c r="BG3" i="39"/>
  <c r="F3" i="66" s="1"/>
  <c r="K3" i="66" s="1"/>
  <c r="BH3" i="39"/>
  <c r="BC4" i="39"/>
  <c r="BD4" i="39"/>
  <c r="BE4" i="39"/>
  <c r="BF4" i="39"/>
  <c r="BG4" i="39"/>
  <c r="F4" i="66" s="1"/>
  <c r="K4" i="66" s="1"/>
  <c r="BH4" i="39"/>
  <c r="BC5" i="39"/>
  <c r="BD5" i="39"/>
  <c r="BE5" i="39"/>
  <c r="BF5" i="39"/>
  <c r="BG5" i="39"/>
  <c r="F5" i="66" s="1"/>
  <c r="K5" i="66" s="1"/>
  <c r="BH5" i="39"/>
  <c r="BC6" i="39"/>
  <c r="BD6" i="39"/>
  <c r="BE6" i="39"/>
  <c r="BF6" i="39"/>
  <c r="BG6" i="39"/>
  <c r="F6" i="66" s="1"/>
  <c r="K6" i="66" s="1"/>
  <c r="BH6" i="39"/>
  <c r="BC7" i="39"/>
  <c r="BD7" i="39"/>
  <c r="BE7" i="39"/>
  <c r="BF7" i="39"/>
  <c r="BG7" i="39"/>
  <c r="F7" i="66" s="1"/>
  <c r="K7" i="66" s="1"/>
  <c r="BH7" i="39"/>
  <c r="BC8" i="39"/>
  <c r="BD8" i="39"/>
  <c r="BE8" i="39"/>
  <c r="BF8" i="39"/>
  <c r="BG8" i="39"/>
  <c r="F8" i="66" s="1"/>
  <c r="K8" i="66" s="1"/>
  <c r="BH8" i="39"/>
  <c r="BC9" i="39"/>
  <c r="BD9" i="39"/>
  <c r="BE9" i="39"/>
  <c r="BF9" i="39"/>
  <c r="BG9" i="39"/>
  <c r="F9" i="66" s="1"/>
  <c r="K9" i="66" s="1"/>
  <c r="BH9" i="39"/>
  <c r="BC10" i="39"/>
  <c r="BD10" i="39"/>
  <c r="BE10" i="39"/>
  <c r="BF10" i="39"/>
  <c r="BG10" i="39"/>
  <c r="F10" i="66" s="1"/>
  <c r="K10" i="66" s="1"/>
  <c r="BH10" i="39"/>
  <c r="BC11" i="39"/>
  <c r="BD11" i="39"/>
  <c r="BE11" i="39"/>
  <c r="BF11" i="39"/>
  <c r="BG11" i="39"/>
  <c r="F11" i="66" s="1"/>
  <c r="K11" i="66" s="1"/>
  <c r="BH11" i="39"/>
  <c r="BC12" i="39"/>
  <c r="BD12" i="39"/>
  <c r="BE12" i="39"/>
  <c r="BF12" i="39"/>
  <c r="BG12" i="39"/>
  <c r="F12" i="66" s="1"/>
  <c r="K12" i="66" s="1"/>
  <c r="BH12" i="39"/>
  <c r="BC13" i="39"/>
  <c r="BD13" i="39"/>
  <c r="BE13" i="39"/>
  <c r="BF13" i="39"/>
  <c r="BG13" i="39"/>
  <c r="F13" i="66" s="1"/>
  <c r="K13" i="66" s="1"/>
  <c r="BH13" i="39"/>
  <c r="BC14" i="39"/>
  <c r="BD14" i="39"/>
  <c r="BE14" i="39"/>
  <c r="BF14" i="39"/>
  <c r="BG14" i="39"/>
  <c r="F14" i="66" s="1"/>
  <c r="K14" i="66" s="1"/>
  <c r="BH14" i="39"/>
  <c r="BC15" i="39"/>
  <c r="BD15" i="39"/>
  <c r="BE15" i="39"/>
  <c r="BF15" i="39"/>
  <c r="BG15" i="39"/>
  <c r="F15" i="66" s="1"/>
  <c r="K15" i="66" s="1"/>
  <c r="BH15" i="39"/>
  <c r="BC16" i="39"/>
  <c r="BD16" i="39"/>
  <c r="BE16" i="39"/>
  <c r="BF16" i="39"/>
  <c r="BG16" i="39"/>
  <c r="F16" i="66" s="1"/>
  <c r="K16" i="66" s="1"/>
  <c r="BH16" i="39"/>
  <c r="BC17" i="39"/>
  <c r="BD17" i="39"/>
  <c r="BE17" i="39"/>
  <c r="BF17" i="39"/>
  <c r="BG17" i="39"/>
  <c r="F17" i="66" s="1"/>
  <c r="K17" i="66" s="1"/>
  <c r="BH17" i="39"/>
  <c r="BC18" i="39"/>
  <c r="BD18" i="39"/>
  <c r="BE18" i="39"/>
  <c r="BF18" i="39"/>
  <c r="BG18" i="39"/>
  <c r="F18" i="66" s="1"/>
  <c r="K18" i="66" s="1"/>
  <c r="BH18" i="39"/>
  <c r="BC19" i="39"/>
  <c r="BD19" i="39"/>
  <c r="BE19" i="39"/>
  <c r="BF19" i="39"/>
  <c r="BG19" i="39"/>
  <c r="F19" i="66" s="1"/>
  <c r="K19" i="66" s="1"/>
  <c r="BH19" i="39"/>
  <c r="BC20" i="39"/>
  <c r="BD20" i="39"/>
  <c r="BE20" i="39"/>
  <c r="BF20" i="39"/>
  <c r="BG20" i="39"/>
  <c r="F20" i="66" s="1"/>
  <c r="K20" i="66" s="1"/>
  <c r="BH20" i="39"/>
  <c r="BC21" i="39"/>
  <c r="BD21" i="39"/>
  <c r="BE21" i="39"/>
  <c r="BF21" i="39"/>
  <c r="BG21" i="39"/>
  <c r="F21" i="66" s="1"/>
  <c r="K21" i="66" s="1"/>
  <c r="BH21" i="39"/>
  <c r="BC22" i="39"/>
  <c r="BD22" i="39"/>
  <c r="BE22" i="39"/>
  <c r="BF22" i="39"/>
  <c r="BG22" i="39"/>
  <c r="F22" i="66" s="1"/>
  <c r="K22" i="66" s="1"/>
  <c r="BH22" i="39"/>
  <c r="BC23" i="39"/>
  <c r="BD23" i="39"/>
  <c r="BE23" i="39"/>
  <c r="BF23" i="39"/>
  <c r="BG23" i="39"/>
  <c r="F23" i="66" s="1"/>
  <c r="K23" i="66" s="1"/>
  <c r="BH23" i="39"/>
  <c r="BC24" i="39"/>
  <c r="BD24" i="39"/>
  <c r="BE24" i="39"/>
  <c r="BF24" i="39"/>
  <c r="BG24" i="39"/>
  <c r="F24" i="66" s="1"/>
  <c r="K24" i="66" s="1"/>
  <c r="BH24" i="39"/>
  <c r="BC25" i="39"/>
  <c r="BD25" i="39"/>
  <c r="BE25" i="39"/>
  <c r="BF25" i="39"/>
  <c r="BG25" i="39"/>
  <c r="F25" i="66" s="1"/>
  <c r="K25" i="66" s="1"/>
  <c r="BH25" i="39"/>
  <c r="BC26" i="39"/>
  <c r="BD26" i="39"/>
  <c r="BE26" i="39"/>
  <c r="BF26" i="39"/>
  <c r="BG26" i="39"/>
  <c r="F26" i="66" s="1"/>
  <c r="K26" i="66" s="1"/>
  <c r="BH26" i="39"/>
  <c r="BC27" i="39"/>
  <c r="BD27" i="39"/>
  <c r="BE27" i="39"/>
  <c r="BF27" i="39"/>
  <c r="BG27" i="39"/>
  <c r="F27" i="66" s="1"/>
  <c r="K27" i="66" s="1"/>
  <c r="BH27" i="39"/>
  <c r="BC28" i="39"/>
  <c r="BD28" i="39"/>
  <c r="BE28" i="39"/>
  <c r="BF28" i="39"/>
  <c r="BG28" i="39"/>
  <c r="F28" i="66" s="1"/>
  <c r="K28" i="66" s="1"/>
  <c r="BH28" i="39"/>
  <c r="BC29" i="39"/>
  <c r="BD29" i="39"/>
  <c r="BE29" i="39"/>
  <c r="BF29" i="39"/>
  <c r="BG29" i="39"/>
  <c r="F29" i="66" s="1"/>
  <c r="K29" i="66" s="1"/>
  <c r="BH29" i="39"/>
  <c r="BC30" i="39"/>
  <c r="BD30" i="39"/>
  <c r="BE30" i="39"/>
  <c r="BF30" i="39"/>
  <c r="BG30" i="39"/>
  <c r="F30" i="66" s="1"/>
  <c r="K30" i="66" s="1"/>
  <c r="BH30" i="39"/>
  <c r="BC31" i="39"/>
  <c r="BD31" i="39"/>
  <c r="BE31" i="39"/>
  <c r="BF31" i="39"/>
  <c r="BG31" i="39"/>
  <c r="F31" i="66" s="1"/>
  <c r="K31" i="66" s="1"/>
  <c r="BH31" i="39"/>
  <c r="BC32" i="39"/>
  <c r="BD32" i="39"/>
  <c r="BE32" i="39"/>
  <c r="BF32" i="39"/>
  <c r="BG32" i="39"/>
  <c r="F32" i="66" s="1"/>
  <c r="K32" i="66" s="1"/>
  <c r="BH32" i="39"/>
  <c r="BC33" i="39"/>
  <c r="BD33" i="39"/>
  <c r="BE33" i="39"/>
  <c r="BF33" i="39"/>
  <c r="BG33" i="39"/>
  <c r="F33" i="66" s="1"/>
  <c r="K33" i="66" s="1"/>
  <c r="BH33" i="39"/>
  <c r="BC34" i="39"/>
  <c r="BD34" i="39"/>
  <c r="BE34" i="39"/>
  <c r="BF34" i="39"/>
  <c r="BG34" i="39"/>
  <c r="F34" i="66" s="1"/>
  <c r="K34" i="66" s="1"/>
  <c r="BH34" i="39"/>
  <c r="BC35" i="39"/>
  <c r="BD35" i="39"/>
  <c r="BE35" i="39"/>
  <c r="BF35" i="39"/>
  <c r="BG35" i="39"/>
  <c r="F35" i="66" s="1"/>
  <c r="K35" i="66" s="1"/>
  <c r="BH35" i="39"/>
  <c r="BC36" i="39"/>
  <c r="BD36" i="39"/>
  <c r="BE36" i="39"/>
  <c r="BF36" i="39"/>
  <c r="BG36" i="39"/>
  <c r="F36" i="66" s="1"/>
  <c r="K36" i="66" s="1"/>
  <c r="BH36" i="39"/>
  <c r="BC37" i="39"/>
  <c r="BD37" i="39"/>
  <c r="BE37" i="39"/>
  <c r="BF37" i="39"/>
  <c r="BG37" i="39"/>
  <c r="F37" i="66" s="1"/>
  <c r="K37" i="66" s="1"/>
  <c r="BH37" i="39"/>
  <c r="BC38" i="39"/>
  <c r="BD38" i="39"/>
  <c r="BE38" i="39"/>
  <c r="BF38" i="39"/>
  <c r="BG38" i="39"/>
  <c r="F38" i="66" s="1"/>
  <c r="K38" i="66" s="1"/>
  <c r="BH38" i="39"/>
  <c r="BC39" i="39"/>
  <c r="BD39" i="39"/>
  <c r="BE39" i="39"/>
  <c r="BF39" i="39"/>
  <c r="BG39" i="39"/>
  <c r="F39" i="66" s="1"/>
  <c r="K39" i="66" s="1"/>
  <c r="BH39" i="39"/>
  <c r="BC40" i="39"/>
  <c r="BD40" i="39"/>
  <c r="BE40" i="39"/>
  <c r="BF40" i="39"/>
  <c r="BG40" i="39"/>
  <c r="F40" i="66" s="1"/>
  <c r="K40" i="66" s="1"/>
  <c r="BH40" i="39"/>
  <c r="BC41" i="39"/>
  <c r="BD41" i="39"/>
  <c r="BE41" i="39"/>
  <c r="BF41" i="39"/>
  <c r="BG41" i="39"/>
  <c r="F41" i="66" s="1"/>
  <c r="K41" i="66" s="1"/>
  <c r="BH41" i="39"/>
  <c r="BC42" i="39"/>
  <c r="BD42" i="39"/>
  <c r="BE42" i="39"/>
  <c r="BF42" i="39"/>
  <c r="BG42" i="39"/>
  <c r="F42" i="66" s="1"/>
  <c r="K42" i="66" s="1"/>
  <c r="BH42" i="39"/>
  <c r="BC43" i="39"/>
  <c r="BD43" i="39"/>
  <c r="BE43" i="39"/>
  <c r="BF43" i="39"/>
  <c r="BG43" i="39"/>
  <c r="F43" i="66" s="1"/>
  <c r="K43" i="66" s="1"/>
  <c r="BH43" i="39"/>
  <c r="BC44" i="39"/>
  <c r="BD44" i="39"/>
  <c r="BE44" i="39"/>
  <c r="BF44" i="39"/>
  <c r="BG44" i="39"/>
  <c r="F44" i="66" s="1"/>
  <c r="K44" i="66" s="1"/>
  <c r="BH44" i="39"/>
  <c r="BC45" i="39"/>
  <c r="BD45" i="39"/>
  <c r="BE45" i="39"/>
  <c r="BF45" i="39"/>
  <c r="BG45" i="39"/>
  <c r="F45" i="66" s="1"/>
  <c r="K45" i="66" s="1"/>
  <c r="BH45" i="39"/>
  <c r="BC46" i="39"/>
  <c r="BD46" i="39"/>
  <c r="BE46" i="39"/>
  <c r="BF46" i="39"/>
  <c r="BG46" i="39"/>
  <c r="F46" i="66" s="1"/>
  <c r="K46" i="66" s="1"/>
  <c r="BH46" i="39"/>
  <c r="BC47" i="39"/>
  <c r="BD47" i="39"/>
  <c r="BE47" i="39"/>
  <c r="BF47" i="39"/>
  <c r="BG47" i="39"/>
  <c r="F47" i="66" s="1"/>
  <c r="K47" i="66" s="1"/>
  <c r="BH47" i="39"/>
  <c r="BC48" i="39"/>
  <c r="BD48" i="39"/>
  <c r="BE48" i="39"/>
  <c r="BF48" i="39"/>
  <c r="BG48" i="39"/>
  <c r="F48" i="66" s="1"/>
  <c r="K48" i="66" s="1"/>
  <c r="BH48" i="39"/>
  <c r="BC49" i="39"/>
  <c r="BD49" i="39"/>
  <c r="BE49" i="39"/>
  <c r="BF49" i="39"/>
  <c r="BG49" i="39"/>
  <c r="F49" i="66" s="1"/>
  <c r="K49" i="66" s="1"/>
  <c r="BH49" i="39"/>
  <c r="BC50" i="39"/>
  <c r="BD50" i="39"/>
  <c r="BE50" i="39"/>
  <c r="BF50" i="39"/>
  <c r="BG50" i="39"/>
  <c r="F50" i="66" s="1"/>
  <c r="K50" i="66" s="1"/>
  <c r="BH50" i="39"/>
  <c r="BC51" i="39"/>
  <c r="BD51" i="39"/>
  <c r="BE51" i="39"/>
  <c r="BF51" i="39"/>
  <c r="BG51" i="39"/>
  <c r="F51" i="66" s="1"/>
  <c r="K51" i="66" s="1"/>
  <c r="BH51" i="39"/>
  <c r="BC52" i="39"/>
  <c r="BD52" i="39"/>
  <c r="BE52" i="39"/>
  <c r="BF52" i="39"/>
  <c r="BG52" i="39"/>
  <c r="F52" i="66" s="1"/>
  <c r="K52" i="66" s="1"/>
  <c r="BH52" i="39"/>
  <c r="BC53" i="39"/>
  <c r="BD53" i="39"/>
  <c r="BE53" i="39"/>
  <c r="BF53" i="39"/>
  <c r="BG53" i="39"/>
  <c r="F53" i="66" s="1"/>
  <c r="K53" i="66" s="1"/>
  <c r="BH53" i="39"/>
  <c r="BC54" i="39"/>
  <c r="BD54" i="39"/>
  <c r="BE54" i="39"/>
  <c r="BF54" i="39"/>
  <c r="BG54" i="39"/>
  <c r="F54" i="66" s="1"/>
  <c r="K54" i="66" s="1"/>
  <c r="BH54" i="39"/>
  <c r="BC55" i="39"/>
  <c r="BD55" i="39"/>
  <c r="BE55" i="39"/>
  <c r="BF55" i="39"/>
  <c r="BG55" i="39"/>
  <c r="F55" i="66" s="1"/>
  <c r="K55" i="66" s="1"/>
  <c r="BH55" i="39"/>
  <c r="BC56" i="39"/>
  <c r="BD56" i="39"/>
  <c r="BE56" i="39"/>
  <c r="BF56" i="39"/>
  <c r="BG56" i="39"/>
  <c r="F56" i="66" s="1"/>
  <c r="K56" i="66" s="1"/>
  <c r="BH56" i="39"/>
  <c r="BC57" i="39"/>
  <c r="BD57" i="39"/>
  <c r="BE57" i="39"/>
  <c r="BF57" i="39"/>
  <c r="BG57" i="39"/>
  <c r="F57" i="66" s="1"/>
  <c r="K57" i="66" s="1"/>
  <c r="BH57" i="39"/>
  <c r="BC58" i="39"/>
  <c r="BD58" i="39"/>
  <c r="BE58" i="39"/>
  <c r="BF58" i="39"/>
  <c r="BG58" i="39"/>
  <c r="F58" i="66" s="1"/>
  <c r="K58" i="66" s="1"/>
  <c r="BH58" i="39"/>
  <c r="BC59" i="39"/>
  <c r="BD59" i="39"/>
  <c r="BE59" i="39"/>
  <c r="BF59" i="39"/>
  <c r="BG59" i="39"/>
  <c r="F59" i="66" s="1"/>
  <c r="K59" i="66" s="1"/>
  <c r="BH59" i="39"/>
  <c r="BC60" i="39"/>
  <c r="BD60" i="39"/>
  <c r="BE60" i="39"/>
  <c r="BF60" i="39"/>
  <c r="BG60" i="39"/>
  <c r="F60" i="66" s="1"/>
  <c r="K60" i="66" s="1"/>
  <c r="BH60" i="39"/>
  <c r="BC61" i="39"/>
  <c r="BD61" i="39"/>
  <c r="BE61" i="39"/>
  <c r="BF61" i="39"/>
  <c r="BG61" i="39"/>
  <c r="F61" i="66" s="1"/>
  <c r="K61" i="66" s="1"/>
  <c r="BH61" i="39"/>
  <c r="BC62" i="39"/>
  <c r="BD62" i="39"/>
  <c r="BE62" i="39"/>
  <c r="BF62" i="39"/>
  <c r="BG62" i="39"/>
  <c r="F62" i="66" s="1"/>
  <c r="K62" i="66" s="1"/>
  <c r="BH62" i="39"/>
  <c r="BC63" i="39"/>
  <c r="BD63" i="39"/>
  <c r="BE63" i="39"/>
  <c r="BF63" i="39"/>
  <c r="BG63" i="39"/>
  <c r="F63" i="66" s="1"/>
  <c r="K63" i="66" s="1"/>
  <c r="BH63" i="39"/>
  <c r="BC64" i="39"/>
  <c r="BD64" i="39"/>
  <c r="BE64" i="39"/>
  <c r="BF64" i="39"/>
  <c r="BG64" i="39"/>
  <c r="F64" i="66" s="1"/>
  <c r="K64" i="66" s="1"/>
  <c r="BH64" i="39"/>
  <c r="BC65" i="39"/>
  <c r="BD65" i="39"/>
  <c r="BE65" i="39"/>
  <c r="BF65" i="39"/>
  <c r="BG65" i="39"/>
  <c r="F65" i="66" s="1"/>
  <c r="K65" i="66" s="1"/>
  <c r="BH65" i="39"/>
  <c r="BC66" i="39"/>
  <c r="BD66" i="39"/>
  <c r="BE66" i="39"/>
  <c r="BF66" i="39"/>
  <c r="BG66" i="39"/>
  <c r="F66" i="66" s="1"/>
  <c r="K66" i="66" s="1"/>
  <c r="BH66" i="39"/>
  <c r="BC67" i="39"/>
  <c r="BD67" i="39"/>
  <c r="BE67" i="39"/>
  <c r="BF67" i="39"/>
  <c r="BG67" i="39"/>
  <c r="F67" i="66" s="1"/>
  <c r="K67" i="66" s="1"/>
  <c r="BH67" i="39"/>
  <c r="BC68" i="39"/>
  <c r="BD68" i="39"/>
  <c r="BE68" i="39"/>
  <c r="BF68" i="39"/>
  <c r="BG68" i="39"/>
  <c r="F68" i="66" s="1"/>
  <c r="K68" i="66" s="1"/>
  <c r="BH68" i="39"/>
  <c r="BC69" i="39"/>
  <c r="BD69" i="39"/>
  <c r="BE69" i="39"/>
  <c r="BF69" i="39"/>
  <c r="BG69" i="39"/>
  <c r="F69" i="66" s="1"/>
  <c r="K69" i="66" s="1"/>
  <c r="BH69" i="39"/>
  <c r="BC70" i="39"/>
  <c r="BD70" i="39"/>
  <c r="BE70" i="39"/>
  <c r="BF70" i="39"/>
  <c r="BG70" i="39"/>
  <c r="F70" i="66" s="1"/>
  <c r="K70" i="66" s="1"/>
  <c r="BH70" i="39"/>
  <c r="BC71" i="39"/>
  <c r="BD71" i="39"/>
  <c r="BE71" i="39"/>
  <c r="BF71" i="39"/>
  <c r="BG71" i="39"/>
  <c r="F71" i="66" s="1"/>
  <c r="K71" i="66" s="1"/>
  <c r="BH71" i="39"/>
  <c r="BC72" i="39"/>
  <c r="BD72" i="39"/>
  <c r="BE72" i="39"/>
  <c r="BF72" i="39"/>
  <c r="BG72" i="39"/>
  <c r="F72" i="66" s="1"/>
  <c r="K72" i="66" s="1"/>
  <c r="BH72" i="39"/>
  <c r="BC73" i="39"/>
  <c r="BD73" i="39"/>
  <c r="BE73" i="39"/>
  <c r="BF73" i="39"/>
  <c r="BG73" i="39"/>
  <c r="F73" i="66" s="1"/>
  <c r="K73" i="66" s="1"/>
  <c r="BH73" i="39"/>
  <c r="BC74" i="39"/>
  <c r="BD74" i="39"/>
  <c r="BE74" i="39"/>
  <c r="BF74" i="39"/>
  <c r="BG74" i="39"/>
  <c r="F74" i="66" s="1"/>
  <c r="K74" i="66" s="1"/>
  <c r="BH74" i="39"/>
  <c r="BC75" i="39"/>
  <c r="BD75" i="39"/>
  <c r="BE75" i="39"/>
  <c r="BF75" i="39"/>
  <c r="BG75" i="39"/>
  <c r="F75" i="66" s="1"/>
  <c r="K75" i="66" s="1"/>
  <c r="BH75" i="39"/>
  <c r="BC76" i="39"/>
  <c r="BD76" i="39"/>
  <c r="BE76" i="39"/>
  <c r="BF76" i="39"/>
  <c r="BG76" i="39"/>
  <c r="F76" i="66" s="1"/>
  <c r="K76" i="66" s="1"/>
  <c r="BH76" i="39"/>
  <c r="BC77" i="39"/>
  <c r="BD77" i="39"/>
  <c r="BE77" i="39"/>
  <c r="BF77" i="39"/>
  <c r="BG77" i="39"/>
  <c r="F77" i="66" s="1"/>
  <c r="K77" i="66" s="1"/>
  <c r="BH77" i="39"/>
  <c r="BC78" i="39"/>
  <c r="BD78" i="39"/>
  <c r="BE78" i="39"/>
  <c r="BF78" i="39"/>
  <c r="BG78" i="39"/>
  <c r="F78" i="66" s="1"/>
  <c r="K78" i="66" s="1"/>
  <c r="BH78" i="39"/>
  <c r="BC79" i="39"/>
  <c r="BD79" i="39"/>
  <c r="BE79" i="39"/>
  <c r="BF79" i="39"/>
  <c r="BG79" i="39"/>
  <c r="F79" i="66" s="1"/>
  <c r="K79" i="66" s="1"/>
  <c r="BH79" i="39"/>
  <c r="BC80" i="39"/>
  <c r="BD80" i="39"/>
  <c r="BE80" i="39"/>
  <c r="BF80" i="39"/>
  <c r="BG80" i="39"/>
  <c r="F80" i="66" s="1"/>
  <c r="K80" i="66" s="1"/>
  <c r="BH80" i="39"/>
  <c r="BC81" i="39"/>
  <c r="BD81" i="39"/>
  <c r="BE81" i="39"/>
  <c r="BF81" i="39"/>
  <c r="BG81" i="39"/>
  <c r="F81" i="66" s="1"/>
  <c r="K81" i="66" s="1"/>
  <c r="BH81" i="39"/>
  <c r="BC82" i="39"/>
  <c r="BD82" i="39"/>
  <c r="BE82" i="39"/>
  <c r="BF82" i="39"/>
  <c r="BG82" i="39"/>
  <c r="F82" i="66" s="1"/>
  <c r="K82" i="66" s="1"/>
  <c r="BH82" i="39"/>
  <c r="BC83" i="39"/>
  <c r="BD83" i="39"/>
  <c r="BE83" i="39"/>
  <c r="BF83" i="39"/>
  <c r="BG83" i="39"/>
  <c r="F83" i="66" s="1"/>
  <c r="K83" i="66" s="1"/>
  <c r="BH83" i="39"/>
  <c r="BC84" i="39"/>
  <c r="BD84" i="39"/>
  <c r="BE84" i="39"/>
  <c r="BF84" i="39"/>
  <c r="BG84" i="39"/>
  <c r="F84" i="66" s="1"/>
  <c r="K84" i="66" s="1"/>
  <c r="BH84" i="39"/>
  <c r="BC85" i="39"/>
  <c r="BD85" i="39"/>
  <c r="BE85" i="39"/>
  <c r="BF85" i="39"/>
  <c r="BG85" i="39"/>
  <c r="F85" i="66" s="1"/>
  <c r="K85" i="66" s="1"/>
  <c r="BH85" i="39"/>
  <c r="M4" i="66" l="1"/>
  <c r="M6" i="66"/>
  <c r="M20" i="66"/>
  <c r="M22" i="66"/>
  <c r="M36" i="66"/>
  <c r="M38" i="66"/>
  <c r="M48" i="66"/>
  <c r="M56" i="66"/>
  <c r="M72" i="66"/>
  <c r="M74" i="66"/>
  <c r="M13" i="66"/>
  <c r="M31" i="66"/>
  <c r="M45" i="66"/>
  <c r="M61" i="66"/>
  <c r="M2" i="66"/>
  <c r="M7" i="66"/>
  <c r="M9" i="66"/>
  <c r="M16" i="66"/>
  <c r="M18" i="66"/>
  <c r="M23" i="66"/>
  <c r="M25" i="66"/>
  <c r="M27" i="66"/>
  <c r="M32" i="66"/>
  <c r="M34" i="66"/>
  <c r="M41" i="66"/>
  <c r="M46" i="66"/>
  <c r="M51" i="66"/>
  <c r="M54" i="66"/>
  <c r="M59" i="66"/>
  <c r="M62" i="66"/>
  <c r="M65" i="66"/>
  <c r="M68" i="66"/>
  <c r="M70" i="66"/>
  <c r="M77" i="66"/>
  <c r="M79" i="66"/>
  <c r="M82" i="66"/>
  <c r="M84" i="66"/>
  <c r="M11" i="66"/>
  <c r="M29" i="66"/>
  <c r="M43" i="66"/>
  <c r="M53" i="66"/>
  <c r="M3" i="66"/>
  <c r="M5" i="66"/>
  <c r="M12" i="66"/>
  <c r="M14" i="66"/>
  <c r="M19" i="66"/>
  <c r="M21" i="66"/>
  <c r="M28" i="66"/>
  <c r="M30" i="66"/>
  <c r="M37" i="66"/>
  <c r="M39" i="66"/>
  <c r="M44" i="66"/>
  <c r="M49" i="66"/>
  <c r="M52" i="66"/>
  <c r="M57" i="66"/>
  <c r="M60" i="66"/>
  <c r="M63" i="66"/>
  <c r="M66" i="66"/>
  <c r="M71" i="66"/>
  <c r="M73" i="66"/>
  <c r="M75" i="66"/>
  <c r="M80" i="66"/>
  <c r="C95" i="29"/>
  <c r="A143" i="29"/>
  <c r="C93" i="29"/>
  <c r="A141" i="29"/>
  <c r="C91" i="29"/>
  <c r="A139" i="29"/>
  <c r="C89" i="29"/>
  <c r="A137" i="29"/>
  <c r="C87" i="29"/>
  <c r="A135" i="29"/>
  <c r="C94" i="29"/>
  <c r="A142" i="29"/>
  <c r="C92" i="29"/>
  <c r="A140" i="29"/>
  <c r="C90" i="29"/>
  <c r="A138" i="29"/>
  <c r="C88" i="29"/>
  <c r="A136" i="29"/>
  <c r="C86" i="29"/>
  <c r="A134" i="29"/>
  <c r="E9" i="67"/>
  <c r="E14" i="67"/>
  <c r="E10" i="67"/>
  <c r="E11" i="67"/>
  <c r="E13" i="67"/>
  <c r="E8" i="67"/>
  <c r="E12" i="67"/>
  <c r="C83" i="29"/>
  <c r="A131" i="29"/>
  <c r="B75" i="29"/>
  <c r="A123" i="29"/>
  <c r="M132" i="30"/>
  <c r="M125" i="30"/>
  <c r="M124" i="30"/>
  <c r="C84" i="29"/>
  <c r="A132" i="29"/>
  <c r="C80" i="29"/>
  <c r="A128" i="29"/>
  <c r="B76" i="29"/>
  <c r="A124" i="29"/>
  <c r="M127" i="30"/>
  <c r="M126" i="30"/>
  <c r="C85" i="29"/>
  <c r="A133" i="29"/>
  <c r="C81" i="29"/>
  <c r="A129" i="29"/>
  <c r="B77" i="29"/>
  <c r="A125" i="29"/>
  <c r="M129" i="30"/>
  <c r="M128" i="30"/>
  <c r="C79" i="29"/>
  <c r="A127" i="29"/>
  <c r="M133" i="30"/>
  <c r="C82" i="29"/>
  <c r="A130" i="29"/>
  <c r="C78" i="29"/>
  <c r="A126" i="29"/>
  <c r="B74" i="29"/>
  <c r="A122" i="29"/>
  <c r="M131" i="30"/>
  <c r="M130" i="30"/>
  <c r="M123" i="30"/>
  <c r="M122" i="30"/>
  <c r="B6" i="35"/>
  <c r="B7" i="35" s="1"/>
  <c r="B8" i="35" s="1"/>
  <c r="B9" i="35" s="1"/>
  <c r="B10" i="35" s="1"/>
  <c r="B11" i="35" s="1"/>
  <c r="B12" i="35" s="1"/>
  <c r="B13" i="35" s="1"/>
  <c r="Z9" i="35"/>
  <c r="Z10" i="35" s="1"/>
  <c r="Z11" i="35" s="1"/>
  <c r="Z12" i="35" s="1"/>
  <c r="Z13" i="35" s="1"/>
  <c r="Z14" i="35" s="1"/>
  <c r="H9" i="35"/>
  <c r="H10" i="35" s="1"/>
  <c r="H11" i="35" s="1"/>
  <c r="H12" i="35" s="1"/>
  <c r="H13" i="35" s="1"/>
  <c r="H14" i="35" s="1"/>
  <c r="N6" i="35"/>
  <c r="N7" i="35" s="1"/>
  <c r="N8" i="35" s="1"/>
  <c r="N9" i="35" s="1"/>
  <c r="N10" i="35" s="1"/>
  <c r="N11" i="35" s="1"/>
  <c r="N12" i="35" s="1"/>
  <c r="N13" i="35" s="1"/>
  <c r="N14" i="35" s="1"/>
  <c r="F85" i="31"/>
  <c r="K85" i="31" s="1"/>
  <c r="F83" i="31"/>
  <c r="K83" i="31" s="1"/>
  <c r="F81" i="31"/>
  <c r="K81" i="31" s="1"/>
  <c r="F79" i="31"/>
  <c r="K79" i="31" s="1"/>
  <c r="F77" i="31"/>
  <c r="K77" i="31" s="1"/>
  <c r="F75" i="31"/>
  <c r="K75" i="31" s="1"/>
  <c r="F73" i="31"/>
  <c r="K73" i="31" s="1"/>
  <c r="F71" i="31"/>
  <c r="K71" i="31" s="1"/>
  <c r="F69" i="31"/>
  <c r="K69" i="31" s="1"/>
  <c r="F67" i="31"/>
  <c r="K67" i="31" s="1"/>
  <c r="F65" i="31"/>
  <c r="K65" i="31" s="1"/>
  <c r="F63" i="31"/>
  <c r="K63" i="31" s="1"/>
  <c r="F61" i="31"/>
  <c r="K61" i="31" s="1"/>
  <c r="F59" i="31"/>
  <c r="K59" i="31" s="1"/>
  <c r="F57" i="31"/>
  <c r="K57" i="31" s="1"/>
  <c r="F55" i="31"/>
  <c r="K55" i="31" s="1"/>
  <c r="F53" i="31"/>
  <c r="K53" i="31" s="1"/>
  <c r="F51" i="31"/>
  <c r="K51" i="31" s="1"/>
  <c r="F49" i="31"/>
  <c r="K49" i="31" s="1"/>
  <c r="F47" i="31"/>
  <c r="K47" i="31" s="1"/>
  <c r="F45" i="31"/>
  <c r="K45" i="31" s="1"/>
  <c r="F43" i="31"/>
  <c r="K43" i="31" s="1"/>
  <c r="F41" i="31"/>
  <c r="K41" i="31" s="1"/>
  <c r="F39" i="31"/>
  <c r="K39" i="31" s="1"/>
  <c r="F37" i="31"/>
  <c r="K37" i="31" s="1"/>
  <c r="F35" i="31"/>
  <c r="K35" i="31" s="1"/>
  <c r="F33" i="31"/>
  <c r="K33" i="31" s="1"/>
  <c r="F31" i="31"/>
  <c r="K31" i="31" s="1"/>
  <c r="F29" i="31"/>
  <c r="K29" i="31" s="1"/>
  <c r="F27" i="31"/>
  <c r="K27" i="31" s="1"/>
  <c r="F25" i="31"/>
  <c r="K25" i="31" s="1"/>
  <c r="F23" i="31"/>
  <c r="K23" i="31" s="1"/>
  <c r="F21" i="31"/>
  <c r="K21" i="31" s="1"/>
  <c r="F19" i="31"/>
  <c r="K19" i="31" s="1"/>
  <c r="F17" i="31"/>
  <c r="K17" i="31" s="1"/>
  <c r="F13" i="31"/>
  <c r="K13" i="31" s="1"/>
  <c r="F7" i="31"/>
  <c r="K7" i="31" s="1"/>
  <c r="F3" i="31"/>
  <c r="K3" i="31" s="1"/>
  <c r="F84" i="31"/>
  <c r="K84" i="31" s="1"/>
  <c r="F82" i="31"/>
  <c r="K82" i="31" s="1"/>
  <c r="F80" i="31"/>
  <c r="K80" i="31" s="1"/>
  <c r="F78" i="31"/>
  <c r="K78" i="31" s="1"/>
  <c r="F76" i="31"/>
  <c r="K76" i="31" s="1"/>
  <c r="F74" i="31"/>
  <c r="K74" i="31" s="1"/>
  <c r="F72" i="31"/>
  <c r="K72" i="31" s="1"/>
  <c r="F70" i="31"/>
  <c r="K70" i="31" s="1"/>
  <c r="F68" i="31"/>
  <c r="K68" i="31" s="1"/>
  <c r="F66" i="31"/>
  <c r="K66" i="31" s="1"/>
  <c r="F64" i="31"/>
  <c r="K64" i="31" s="1"/>
  <c r="F62" i="31"/>
  <c r="K62" i="31" s="1"/>
  <c r="F60" i="31"/>
  <c r="K60" i="31" s="1"/>
  <c r="F58" i="31"/>
  <c r="K58" i="31" s="1"/>
  <c r="F56" i="31"/>
  <c r="K56" i="31" s="1"/>
  <c r="F54" i="31"/>
  <c r="K54" i="31" s="1"/>
  <c r="F52" i="31"/>
  <c r="K52" i="31" s="1"/>
  <c r="F50" i="31"/>
  <c r="K50" i="31" s="1"/>
  <c r="F48" i="31"/>
  <c r="K48" i="31" s="1"/>
  <c r="F46" i="31"/>
  <c r="K46" i="31" s="1"/>
  <c r="F44" i="31"/>
  <c r="K44" i="31" s="1"/>
  <c r="F42" i="31"/>
  <c r="K42" i="31" s="1"/>
  <c r="F40" i="31"/>
  <c r="K40" i="31" s="1"/>
  <c r="F38" i="31"/>
  <c r="K38" i="31" s="1"/>
  <c r="F36" i="31"/>
  <c r="K36" i="31" s="1"/>
  <c r="F34" i="31"/>
  <c r="K34" i="31" s="1"/>
  <c r="F32" i="31"/>
  <c r="K32" i="31" s="1"/>
  <c r="F30" i="31"/>
  <c r="K30" i="31" s="1"/>
  <c r="F28" i="31"/>
  <c r="K28" i="31" s="1"/>
  <c r="F26" i="31"/>
  <c r="K26" i="31" s="1"/>
  <c r="F24" i="31"/>
  <c r="K24" i="31" s="1"/>
  <c r="F22" i="31"/>
  <c r="K22" i="31" s="1"/>
  <c r="F20" i="31"/>
  <c r="K20" i="31" s="1"/>
  <c r="F18" i="31"/>
  <c r="K18" i="31" s="1"/>
  <c r="F16" i="31"/>
  <c r="K16" i="31" s="1"/>
  <c r="F14" i="31"/>
  <c r="K14" i="31" s="1"/>
  <c r="F12" i="31"/>
  <c r="K12" i="31" s="1"/>
  <c r="F10" i="31"/>
  <c r="K10" i="31" s="1"/>
  <c r="F8" i="31"/>
  <c r="K8" i="31" s="1"/>
  <c r="F6" i="31"/>
  <c r="K6" i="31" s="1"/>
  <c r="F4" i="31"/>
  <c r="K4" i="31" s="1"/>
  <c r="F2" i="31"/>
  <c r="K2" i="31" s="1"/>
  <c r="M2" i="31" s="1"/>
  <c r="F15" i="31"/>
  <c r="K15" i="31" s="1"/>
  <c r="F11" i="31"/>
  <c r="K11" i="31" s="1"/>
  <c r="F9" i="31"/>
  <c r="K9" i="31" s="1"/>
  <c r="F5" i="31"/>
  <c r="K5" i="31" s="1"/>
  <c r="F15" i="67"/>
  <c r="T6" i="35"/>
  <c r="C86" i="31"/>
  <c r="B48" i="31"/>
  <c r="B3" i="31"/>
  <c r="B41" i="31"/>
  <c r="B40" i="31"/>
  <c r="B11" i="31"/>
  <c r="B54" i="31"/>
  <c r="C53" i="31"/>
  <c r="B49" i="31"/>
  <c r="B46" i="31"/>
  <c r="C59" i="31"/>
  <c r="B58" i="31"/>
  <c r="B57" i="31"/>
  <c r="C82" i="31"/>
  <c r="B61" i="31"/>
  <c r="B38" i="31"/>
  <c r="C37" i="31"/>
  <c r="C45" i="31"/>
  <c r="C92" i="31"/>
  <c r="C78" i="31"/>
  <c r="C70" i="31"/>
  <c r="B65" i="31"/>
  <c r="B15" i="31"/>
  <c r="B14" i="31"/>
  <c r="C13" i="31"/>
  <c r="C90" i="31"/>
  <c r="B7" i="31"/>
  <c r="C43" i="31"/>
  <c r="C34" i="31"/>
  <c r="C33" i="31"/>
  <c r="C30" i="31"/>
  <c r="C28" i="31"/>
  <c r="C26" i="31"/>
  <c r="C24" i="31"/>
  <c r="C22" i="31"/>
  <c r="C20" i="31"/>
  <c r="C18" i="31"/>
  <c r="C17" i="31"/>
  <c r="C96" i="31"/>
  <c r="C74" i="31"/>
  <c r="B62" i="31"/>
  <c r="C51" i="31"/>
  <c r="B50" i="31"/>
  <c r="B42" i="31"/>
  <c r="B16" i="31"/>
  <c r="C80" i="31"/>
  <c r="C72" i="31"/>
  <c r="B56" i="31"/>
  <c r="C9" i="31"/>
  <c r="C5" i="31"/>
  <c r="C94" i="31"/>
  <c r="C63" i="31"/>
  <c r="C55" i="31"/>
  <c r="C47" i="31"/>
  <c r="C39" i="31"/>
  <c r="C32" i="31"/>
  <c r="C88" i="31"/>
  <c r="C84" i="31"/>
  <c r="C76" i="31"/>
  <c r="C68" i="31"/>
  <c r="B60" i="31"/>
  <c r="B52" i="31"/>
  <c r="B44" i="31"/>
  <c r="C35" i="31"/>
  <c r="C31" i="31"/>
  <c r="B97" i="31"/>
  <c r="C97" i="31"/>
  <c r="B91" i="31"/>
  <c r="C91" i="31"/>
  <c r="B87" i="31"/>
  <c r="C87" i="31"/>
  <c r="C66" i="31"/>
  <c r="B66" i="31"/>
  <c r="B93" i="31"/>
  <c r="C93" i="31"/>
  <c r="B95" i="31"/>
  <c r="C95" i="31"/>
  <c r="B89" i="31"/>
  <c r="C89" i="31"/>
  <c r="B85" i="31"/>
  <c r="C85" i="31"/>
  <c r="B83" i="31"/>
  <c r="C83" i="31"/>
  <c r="B81" i="31"/>
  <c r="C81" i="31"/>
  <c r="B79" i="31"/>
  <c r="C79" i="31"/>
  <c r="B77" i="31"/>
  <c r="C77" i="31"/>
  <c r="B75" i="31"/>
  <c r="C75" i="31"/>
  <c r="B73" i="31"/>
  <c r="C73" i="31"/>
  <c r="B71" i="31"/>
  <c r="C71" i="31"/>
  <c r="B69" i="31"/>
  <c r="C69" i="31"/>
  <c r="B67" i="31"/>
  <c r="C67" i="31"/>
  <c r="B36" i="31"/>
  <c r="C36" i="31"/>
  <c r="B12" i="31"/>
  <c r="C12" i="31"/>
  <c r="B64" i="31"/>
  <c r="B29" i="31"/>
  <c r="C29" i="31"/>
  <c r="B27" i="31"/>
  <c r="C27" i="31"/>
  <c r="B25" i="31"/>
  <c r="C25" i="31"/>
  <c r="B23" i="31"/>
  <c r="C23" i="31"/>
  <c r="B21" i="31"/>
  <c r="C21" i="31"/>
  <c r="B19" i="31"/>
  <c r="C19" i="31"/>
  <c r="C10" i="31"/>
  <c r="C8" i="31"/>
  <c r="C6" i="31"/>
  <c r="C4" i="31"/>
  <c r="C2" i="31"/>
  <c r="C69" i="30"/>
  <c r="C65" i="30"/>
  <c r="C38" i="30"/>
  <c r="C79" i="30"/>
  <c r="B7" i="30"/>
  <c r="C60" i="30"/>
  <c r="B56" i="30"/>
  <c r="B48" i="30"/>
  <c r="B40" i="30"/>
  <c r="C91" i="30"/>
  <c r="B87" i="30"/>
  <c r="C71" i="30"/>
  <c r="C22" i="30"/>
  <c r="C85" i="30"/>
  <c r="C77" i="30"/>
  <c r="B36" i="30"/>
  <c r="C18" i="30"/>
  <c r="C97" i="30"/>
  <c r="B95" i="30"/>
  <c r="C89" i="30"/>
  <c r="C81" i="30"/>
  <c r="C73" i="30"/>
  <c r="B60" i="30"/>
  <c r="B52" i="30"/>
  <c r="C14" i="30"/>
  <c r="C83" i="30"/>
  <c r="C75" i="30"/>
  <c r="B44" i="30"/>
  <c r="B5" i="30"/>
  <c r="B4" i="30"/>
  <c r="C63" i="30"/>
  <c r="B58" i="30"/>
  <c r="B50" i="30"/>
  <c r="B42" i="30"/>
  <c r="B34" i="30"/>
  <c r="B32" i="30"/>
  <c r="C31" i="30"/>
  <c r="B30" i="30"/>
  <c r="C29" i="30"/>
  <c r="B28" i="30"/>
  <c r="C27" i="30"/>
  <c r="C26" i="30"/>
  <c r="C25" i="30"/>
  <c r="C24" i="30"/>
  <c r="C16" i="30"/>
  <c r="C10" i="30"/>
  <c r="C9" i="30"/>
  <c r="B8" i="30"/>
  <c r="C93" i="30"/>
  <c r="C54" i="30"/>
  <c r="C46" i="30"/>
  <c r="C3" i="30"/>
  <c r="C67" i="30"/>
  <c r="C20" i="30"/>
  <c r="C12" i="30"/>
  <c r="C50" i="30"/>
  <c r="B74" i="30"/>
  <c r="C74" i="30"/>
  <c r="B70" i="30"/>
  <c r="C70" i="30"/>
  <c r="B62" i="30"/>
  <c r="C62" i="30"/>
  <c r="B92" i="30"/>
  <c r="C92" i="30"/>
  <c r="B64" i="30"/>
  <c r="C64" i="30"/>
  <c r="B94" i="30"/>
  <c r="C94" i="30"/>
  <c r="B86" i="30"/>
  <c r="C86" i="30"/>
  <c r="B84" i="30"/>
  <c r="C84" i="30"/>
  <c r="B82" i="30"/>
  <c r="C82" i="30"/>
  <c r="B80" i="30"/>
  <c r="C80" i="30"/>
  <c r="B78" i="30"/>
  <c r="C78" i="30"/>
  <c r="B76" i="30"/>
  <c r="C76" i="30"/>
  <c r="B72" i="30"/>
  <c r="C72" i="30"/>
  <c r="B90" i="30"/>
  <c r="C90" i="30"/>
  <c r="B66" i="30"/>
  <c r="C66" i="30"/>
  <c r="B61" i="30"/>
  <c r="C61" i="30"/>
  <c r="B96" i="30"/>
  <c r="C96" i="30"/>
  <c r="B88" i="30"/>
  <c r="C88" i="30"/>
  <c r="B68" i="30"/>
  <c r="C68" i="30"/>
  <c r="B59" i="30"/>
  <c r="C59" i="30"/>
  <c r="B23" i="30"/>
  <c r="C23" i="30"/>
  <c r="B15" i="30"/>
  <c r="C15" i="30"/>
  <c r="C57" i="30"/>
  <c r="C55" i="30"/>
  <c r="C53" i="30"/>
  <c r="C51" i="30"/>
  <c r="C49" i="30"/>
  <c r="C47" i="30"/>
  <c r="C45" i="30"/>
  <c r="C43" i="30"/>
  <c r="C41" i="30"/>
  <c r="C39" i="30"/>
  <c r="C37" i="30"/>
  <c r="C35" i="30"/>
  <c r="C33" i="30"/>
  <c r="B17" i="30"/>
  <c r="C17" i="30"/>
  <c r="C2" i="30"/>
  <c r="B2" i="30"/>
  <c r="B19" i="30"/>
  <c r="C19" i="30"/>
  <c r="B11" i="30"/>
  <c r="C11" i="30"/>
  <c r="B21" i="30"/>
  <c r="C21" i="30"/>
  <c r="B13" i="30"/>
  <c r="C13" i="30"/>
  <c r="B6" i="30"/>
  <c r="C30" i="29"/>
  <c r="C11" i="29"/>
  <c r="B93" i="29"/>
  <c r="C32" i="29"/>
  <c r="B87" i="29"/>
  <c r="B26" i="29"/>
  <c r="C3" i="29"/>
  <c r="C2" i="29"/>
  <c r="C22" i="29"/>
  <c r="B4" i="29"/>
  <c r="C21" i="29"/>
  <c r="C15" i="29"/>
  <c r="B95" i="29"/>
  <c r="C14" i="29"/>
  <c r="B8" i="29"/>
  <c r="C7" i="29"/>
  <c r="C10" i="29"/>
  <c r="C6" i="29"/>
  <c r="B91" i="29"/>
  <c r="C28" i="29"/>
  <c r="C19" i="29"/>
  <c r="B89" i="29"/>
  <c r="B85" i="29"/>
  <c r="B83" i="29"/>
  <c r="B81" i="29"/>
  <c r="B79" i="29"/>
  <c r="B64" i="29"/>
  <c r="B63" i="29"/>
  <c r="B43" i="29"/>
  <c r="B42" i="29"/>
  <c r="B39" i="29"/>
  <c r="B38" i="29"/>
  <c r="B35" i="29"/>
  <c r="B34" i="29"/>
  <c r="C18" i="29"/>
  <c r="C72" i="29"/>
  <c r="B62" i="29"/>
  <c r="C31" i="29"/>
  <c r="C29" i="29"/>
  <c r="C27" i="29"/>
  <c r="C25" i="29"/>
  <c r="C17" i="29"/>
  <c r="C13" i="29"/>
  <c r="C9" i="29"/>
  <c r="C5" i="29"/>
  <c r="B92" i="29"/>
  <c r="B88" i="29"/>
  <c r="B84" i="29"/>
  <c r="B80" i="29"/>
  <c r="B61" i="29"/>
  <c r="B41" i="29"/>
  <c r="B37" i="29"/>
  <c r="B33" i="29"/>
  <c r="C24" i="29"/>
  <c r="C20" i="29"/>
  <c r="C16" i="29"/>
  <c r="C12" i="29"/>
  <c r="B44" i="29"/>
  <c r="B40" i="29"/>
  <c r="B36" i="29"/>
  <c r="C23" i="29"/>
  <c r="B94" i="29"/>
  <c r="B90" i="29"/>
  <c r="B86" i="29"/>
  <c r="B82" i="29"/>
  <c r="B78" i="29"/>
  <c r="C77" i="29"/>
  <c r="C76" i="29"/>
  <c r="C75" i="29"/>
  <c r="C74" i="29"/>
  <c r="C73" i="29"/>
  <c r="B71" i="29"/>
  <c r="B70" i="29"/>
  <c r="B69" i="29"/>
  <c r="B68" i="29"/>
  <c r="B67" i="29"/>
  <c r="B66" i="29"/>
  <c r="B65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B48" i="29"/>
  <c r="B47" i="29"/>
  <c r="B46" i="29"/>
  <c r="B45" i="29"/>
  <c r="C75" i="28"/>
  <c r="C81" i="28"/>
  <c r="B93" i="28"/>
  <c r="C67" i="28"/>
  <c r="B89" i="28"/>
  <c r="C77" i="28"/>
  <c r="C85" i="28"/>
  <c r="C69" i="28"/>
  <c r="C83" i="28"/>
  <c r="C73" i="28"/>
  <c r="C65" i="28"/>
  <c r="C79" i="28"/>
  <c r="C71" i="28"/>
  <c r="C94" i="28"/>
  <c r="C90" i="28"/>
  <c r="C86" i="28"/>
  <c r="C82" i="28"/>
  <c r="C78" i="28"/>
  <c r="C74" i="28"/>
  <c r="C70" i="28"/>
  <c r="C66" i="28"/>
  <c r="B95" i="28"/>
  <c r="B91" i="28"/>
  <c r="B87" i="28"/>
  <c r="C84" i="28"/>
  <c r="C80" i="28"/>
  <c r="C76" i="28"/>
  <c r="C72" i="28"/>
  <c r="C68" i="28"/>
  <c r="B96" i="28"/>
  <c r="B92" i="28"/>
  <c r="B88" i="28"/>
  <c r="C64" i="28"/>
  <c r="C63" i="28"/>
  <c r="C62" i="28"/>
  <c r="B38" i="28"/>
  <c r="B57" i="28"/>
  <c r="C4" i="28"/>
  <c r="C56" i="28"/>
  <c r="B28" i="28"/>
  <c r="C39" i="28"/>
  <c r="C32" i="28"/>
  <c r="B16" i="28"/>
  <c r="B61" i="28"/>
  <c r="B59" i="28"/>
  <c r="C51" i="28"/>
  <c r="B24" i="28"/>
  <c r="C60" i="28"/>
  <c r="B55" i="28"/>
  <c r="B52" i="28"/>
  <c r="B50" i="28"/>
  <c r="B44" i="28"/>
  <c r="B36" i="28"/>
  <c r="C31" i="28"/>
  <c r="C29" i="28"/>
  <c r="B20" i="28"/>
  <c r="C15" i="28"/>
  <c r="B30" i="28"/>
  <c r="B14" i="28"/>
  <c r="C8" i="28"/>
  <c r="B48" i="28"/>
  <c r="B46" i="28"/>
  <c r="C43" i="28"/>
  <c r="B34" i="28"/>
  <c r="C27" i="28"/>
  <c r="B22" i="28"/>
  <c r="C19" i="28"/>
  <c r="B12" i="28"/>
  <c r="B10" i="28"/>
  <c r="B6" i="28"/>
  <c r="B2" i="28"/>
  <c r="C53" i="28"/>
  <c r="C40" i="28"/>
  <c r="C58" i="28"/>
  <c r="C54" i="28"/>
  <c r="C47" i="28"/>
  <c r="B42" i="28"/>
  <c r="C35" i="28"/>
  <c r="B26" i="28"/>
  <c r="C23" i="28"/>
  <c r="B18" i="28"/>
  <c r="C11" i="28"/>
  <c r="C7" i="28"/>
  <c r="C3" i="28"/>
  <c r="B45" i="28"/>
  <c r="C45" i="28"/>
  <c r="B49" i="28"/>
  <c r="C49" i="28"/>
  <c r="B21" i="28"/>
  <c r="C21" i="28"/>
  <c r="B41" i="28"/>
  <c r="C41" i="28"/>
  <c r="B37" i="28"/>
  <c r="C37" i="28"/>
  <c r="B33" i="28"/>
  <c r="C33" i="28"/>
  <c r="B25" i="28"/>
  <c r="C25" i="28"/>
  <c r="B9" i="28"/>
  <c r="C9" i="28"/>
  <c r="B5" i="28"/>
  <c r="C5" i="28"/>
  <c r="B13" i="28"/>
  <c r="C13" i="28"/>
  <c r="B17" i="28"/>
  <c r="C17" i="28"/>
  <c r="C55" i="27"/>
  <c r="B55" i="27"/>
  <c r="B47" i="27"/>
  <c r="B79" i="27"/>
  <c r="B31" i="27"/>
  <c r="B92" i="27"/>
  <c r="B89" i="27"/>
  <c r="C88" i="27"/>
  <c r="B71" i="27"/>
  <c r="B39" i="27"/>
  <c r="C8" i="27"/>
  <c r="B93" i="27"/>
  <c r="C63" i="27"/>
  <c r="C96" i="27"/>
  <c r="C19" i="27"/>
  <c r="C74" i="27"/>
  <c r="C58" i="27"/>
  <c r="C42" i="27"/>
  <c r="C26" i="27"/>
  <c r="B73" i="27"/>
  <c r="C72" i="27"/>
  <c r="B57" i="27"/>
  <c r="C56" i="27"/>
  <c r="B41" i="27"/>
  <c r="C40" i="27"/>
  <c r="B25" i="27"/>
  <c r="C24" i="27"/>
  <c r="C23" i="27"/>
  <c r="C12" i="27"/>
  <c r="C97" i="27"/>
  <c r="C82" i="27"/>
  <c r="C66" i="27"/>
  <c r="C50" i="27"/>
  <c r="C34" i="27"/>
  <c r="B81" i="27"/>
  <c r="C80" i="27"/>
  <c r="B65" i="27"/>
  <c r="C64" i="27"/>
  <c r="B49" i="27"/>
  <c r="C48" i="27"/>
  <c r="B33" i="27"/>
  <c r="C32" i="27"/>
  <c r="C78" i="27"/>
  <c r="C70" i="27"/>
  <c r="C62" i="27"/>
  <c r="C54" i="27"/>
  <c r="C46" i="27"/>
  <c r="C38" i="27"/>
  <c r="C30" i="27"/>
  <c r="C11" i="27"/>
  <c r="C7" i="27"/>
  <c r="C4" i="27"/>
  <c r="C94" i="27"/>
  <c r="C90" i="27"/>
  <c r="C86" i="27"/>
  <c r="B85" i="27"/>
  <c r="C84" i="27"/>
  <c r="C83" i="27"/>
  <c r="B77" i="27"/>
  <c r="C76" i="27"/>
  <c r="C75" i="27"/>
  <c r="B69" i="27"/>
  <c r="C68" i="27"/>
  <c r="C67" i="27"/>
  <c r="B61" i="27"/>
  <c r="C60" i="27"/>
  <c r="C59" i="27"/>
  <c r="B53" i="27"/>
  <c r="C52" i="27"/>
  <c r="C51" i="27"/>
  <c r="B45" i="27"/>
  <c r="C44" i="27"/>
  <c r="C43" i="27"/>
  <c r="B37" i="27"/>
  <c r="C36" i="27"/>
  <c r="C35" i="27"/>
  <c r="B29" i="27"/>
  <c r="C28" i="27"/>
  <c r="C27" i="27"/>
  <c r="C16" i="27"/>
  <c r="C15" i="27"/>
  <c r="B6" i="27"/>
  <c r="C3" i="27"/>
  <c r="C95" i="27"/>
  <c r="C91" i="27"/>
  <c r="C87" i="27"/>
  <c r="C20" i="27"/>
  <c r="B2" i="27"/>
  <c r="B5" i="27"/>
  <c r="C5" i="27"/>
  <c r="C22" i="27"/>
  <c r="B22" i="27"/>
  <c r="B21" i="27"/>
  <c r="C21" i="27"/>
  <c r="C14" i="27"/>
  <c r="B14" i="27"/>
  <c r="B13" i="27"/>
  <c r="C13" i="27"/>
  <c r="C18" i="27"/>
  <c r="B18" i="27"/>
  <c r="B17" i="27"/>
  <c r="C17" i="27"/>
  <c r="C10" i="27"/>
  <c r="B10" i="27"/>
  <c r="B9" i="27"/>
  <c r="C9" i="27"/>
  <c r="B26" i="66"/>
  <c r="B10" i="66"/>
  <c r="B73" i="66"/>
  <c r="B39" i="66"/>
  <c r="B77" i="66"/>
  <c r="C9" i="66"/>
  <c r="B12" i="66"/>
  <c r="B31" i="66"/>
  <c r="C5" i="66"/>
  <c r="B8" i="66"/>
  <c r="B18" i="66"/>
  <c r="B44" i="66"/>
  <c r="B6" i="66"/>
  <c r="C17" i="66"/>
  <c r="B20" i="66"/>
  <c r="B35" i="66"/>
  <c r="B4" i="66"/>
  <c r="C13" i="66"/>
  <c r="B16" i="66"/>
  <c r="B22" i="66"/>
  <c r="B33" i="66"/>
  <c r="B41" i="66"/>
  <c r="B68" i="66"/>
  <c r="B72" i="66"/>
  <c r="B75" i="66"/>
  <c r="B2" i="66"/>
  <c r="B14" i="66"/>
  <c r="C21" i="66"/>
  <c r="B24" i="66"/>
  <c r="B29" i="66"/>
  <c r="B37" i="66"/>
  <c r="B79" i="66"/>
  <c r="C7" i="66"/>
  <c r="B7" i="66"/>
  <c r="C23" i="66"/>
  <c r="B23" i="66"/>
  <c r="C48" i="66"/>
  <c r="B48" i="66"/>
  <c r="C52" i="66"/>
  <c r="B52" i="66"/>
  <c r="C58" i="66"/>
  <c r="B58" i="66"/>
  <c r="C60" i="66"/>
  <c r="B60" i="66"/>
  <c r="C64" i="66"/>
  <c r="B64" i="66"/>
  <c r="C11" i="66"/>
  <c r="B11" i="66"/>
  <c r="C43" i="66"/>
  <c r="B43" i="66"/>
  <c r="C76" i="66"/>
  <c r="B76" i="66"/>
  <c r="C19" i="66"/>
  <c r="B19" i="66"/>
  <c r="C28" i="66"/>
  <c r="B28" i="66"/>
  <c r="C36" i="66"/>
  <c r="B36" i="66"/>
  <c r="C46" i="66"/>
  <c r="B46" i="66"/>
  <c r="C50" i="66"/>
  <c r="B50" i="66"/>
  <c r="C54" i="66"/>
  <c r="B54" i="66"/>
  <c r="C56" i="66"/>
  <c r="B56" i="66"/>
  <c r="C62" i="66"/>
  <c r="B62" i="66"/>
  <c r="C3" i="66"/>
  <c r="B3" i="66"/>
  <c r="C15" i="66"/>
  <c r="B15" i="66"/>
  <c r="C32" i="66"/>
  <c r="B32" i="66"/>
  <c r="C40" i="66"/>
  <c r="B40" i="66"/>
  <c r="C66" i="66"/>
  <c r="B66" i="66"/>
  <c r="B25" i="66"/>
  <c r="B27" i="66"/>
  <c r="B30" i="66"/>
  <c r="B34" i="66"/>
  <c r="B38" i="66"/>
  <c r="B42" i="66"/>
  <c r="B45" i="66"/>
  <c r="B47" i="66"/>
  <c r="B49" i="66"/>
  <c r="B51" i="66"/>
  <c r="B53" i="66"/>
  <c r="B55" i="66"/>
  <c r="B57" i="66"/>
  <c r="B59" i="66"/>
  <c r="B61" i="66"/>
  <c r="B70" i="66"/>
  <c r="B74" i="66"/>
  <c r="B78" i="66"/>
  <c r="C67" i="66"/>
  <c r="B67" i="66"/>
  <c r="C71" i="66"/>
  <c r="B71" i="66"/>
  <c r="C63" i="66"/>
  <c r="B63" i="66"/>
  <c r="B65" i="66"/>
  <c r="B69" i="66"/>
  <c r="C80" i="66"/>
  <c r="B80" i="66"/>
  <c r="C81" i="66"/>
  <c r="B81" i="66"/>
  <c r="B82" i="66"/>
  <c r="B83" i="66"/>
  <c r="B84" i="66"/>
  <c r="B85" i="66"/>
  <c r="B86" i="66"/>
  <c r="B87" i="66"/>
  <c r="B88" i="66"/>
  <c r="B89" i="66"/>
  <c r="B90" i="66"/>
  <c r="B91" i="66"/>
  <c r="B92" i="66"/>
  <c r="B93" i="66"/>
  <c r="B94" i="66"/>
  <c r="B95" i="66"/>
  <c r="B96" i="66"/>
  <c r="B97" i="66"/>
  <c r="C91" i="64"/>
  <c r="B46" i="64"/>
  <c r="C74" i="64"/>
  <c r="C66" i="64"/>
  <c r="C9" i="64"/>
  <c r="C21" i="64"/>
  <c r="C25" i="64"/>
  <c r="C58" i="64"/>
  <c r="C23" i="64"/>
  <c r="B50" i="64"/>
  <c r="C68" i="64"/>
  <c r="C72" i="64"/>
  <c r="C89" i="64"/>
  <c r="C5" i="64"/>
  <c r="C17" i="64"/>
  <c r="C60" i="64"/>
  <c r="C79" i="64"/>
  <c r="C85" i="64"/>
  <c r="C40" i="64"/>
  <c r="B40" i="64"/>
  <c r="B95" i="64"/>
  <c r="C95" i="64"/>
  <c r="C28" i="64"/>
  <c r="B28" i="64"/>
  <c r="B62" i="64"/>
  <c r="C62" i="64"/>
  <c r="C26" i="64"/>
  <c r="B26" i="64"/>
  <c r="B11" i="64"/>
  <c r="C11" i="64"/>
  <c r="C30" i="64"/>
  <c r="B30" i="64"/>
  <c r="C34" i="64"/>
  <c r="B34" i="64"/>
  <c r="C38" i="64"/>
  <c r="B38" i="64"/>
  <c r="C42" i="64"/>
  <c r="B42" i="64"/>
  <c r="B93" i="64"/>
  <c r="C93" i="64"/>
  <c r="B97" i="64"/>
  <c r="C97" i="64"/>
  <c r="B3" i="64"/>
  <c r="C3" i="64"/>
  <c r="C32" i="64"/>
  <c r="B32" i="64"/>
  <c r="C36" i="64"/>
  <c r="B36" i="64"/>
  <c r="C44" i="64"/>
  <c r="B44" i="64"/>
  <c r="B19" i="64"/>
  <c r="C19" i="64"/>
  <c r="B54" i="64"/>
  <c r="C54" i="64"/>
  <c r="B70" i="64"/>
  <c r="C70" i="64"/>
  <c r="B81" i="64"/>
  <c r="C81" i="64"/>
  <c r="C13" i="64"/>
  <c r="B48" i="64"/>
  <c r="C56" i="64"/>
  <c r="C64" i="64"/>
  <c r="C83" i="64"/>
  <c r="C87" i="64"/>
  <c r="C7" i="64"/>
  <c r="C15" i="64"/>
  <c r="B2" i="64"/>
  <c r="B4" i="64"/>
  <c r="B6" i="64"/>
  <c r="B8" i="64"/>
  <c r="B10" i="64"/>
  <c r="B12" i="64"/>
  <c r="B14" i="64"/>
  <c r="B16" i="64"/>
  <c r="B18" i="64"/>
  <c r="B20" i="64"/>
  <c r="B22" i="64"/>
  <c r="B24" i="64"/>
  <c r="B27" i="64"/>
  <c r="C27" i="64"/>
  <c r="B29" i="64"/>
  <c r="C29" i="64"/>
  <c r="C31" i="64"/>
  <c r="C33" i="64"/>
  <c r="C35" i="64"/>
  <c r="C37" i="64"/>
  <c r="C39" i="64"/>
  <c r="C41" i="64"/>
  <c r="C43" i="64"/>
  <c r="C45" i="64"/>
  <c r="C47" i="64"/>
  <c r="C49" i="64"/>
  <c r="C51" i="64"/>
  <c r="C52" i="64"/>
  <c r="C53" i="64"/>
  <c r="B55" i="64"/>
  <c r="B57" i="64"/>
  <c r="B59" i="64"/>
  <c r="B61" i="64"/>
  <c r="B63" i="64"/>
  <c r="B65" i="64"/>
  <c r="B67" i="64"/>
  <c r="B69" i="64"/>
  <c r="B71" i="64"/>
  <c r="B73" i="64"/>
  <c r="B75" i="64"/>
  <c r="C76" i="64"/>
  <c r="C77" i="64"/>
  <c r="C78" i="64"/>
  <c r="C80" i="64"/>
  <c r="B80" i="64"/>
  <c r="B82" i="64"/>
  <c r="B84" i="64"/>
  <c r="B86" i="64"/>
  <c r="B88" i="64"/>
  <c r="B90" i="64"/>
  <c r="B92" i="64"/>
  <c r="B94" i="64"/>
  <c r="B96" i="64"/>
  <c r="C20" i="58"/>
  <c r="C25" i="58"/>
  <c r="B54" i="58"/>
  <c r="B84" i="58"/>
  <c r="B8" i="58"/>
  <c r="C33" i="58"/>
  <c r="B44" i="58"/>
  <c r="B79" i="58"/>
  <c r="B18" i="58"/>
  <c r="B24" i="58"/>
  <c r="C28" i="58"/>
  <c r="C38" i="58"/>
  <c r="B62" i="58"/>
  <c r="C76" i="58"/>
  <c r="C81" i="58"/>
  <c r="C96" i="58"/>
  <c r="C17" i="58"/>
  <c r="B64" i="58"/>
  <c r="C70" i="58"/>
  <c r="BI10" i="39"/>
  <c r="BI6" i="39"/>
  <c r="BI2" i="39"/>
  <c r="C2" i="58"/>
  <c r="B14" i="58"/>
  <c r="C36" i="58"/>
  <c r="B56" i="58"/>
  <c r="C68" i="58"/>
  <c r="C73" i="58"/>
  <c r="B77" i="58"/>
  <c r="C3" i="58"/>
  <c r="B3" i="58"/>
  <c r="B9" i="58"/>
  <c r="C9" i="58"/>
  <c r="C16" i="58"/>
  <c r="B16" i="58"/>
  <c r="B37" i="58"/>
  <c r="C37" i="58"/>
  <c r="B45" i="58"/>
  <c r="C45" i="58"/>
  <c r="C67" i="58"/>
  <c r="B67" i="58"/>
  <c r="C83" i="58"/>
  <c r="B83" i="58"/>
  <c r="BI53" i="39"/>
  <c r="BI51" i="39"/>
  <c r="BI49" i="39"/>
  <c r="BI47" i="39"/>
  <c r="BI45" i="39"/>
  <c r="BI43" i="39"/>
  <c r="BI41" i="39"/>
  <c r="BI39" i="39"/>
  <c r="BI37" i="39"/>
  <c r="BI35" i="39"/>
  <c r="BI33" i="39"/>
  <c r="BI31" i="39"/>
  <c r="BI29" i="39"/>
  <c r="BI27" i="39"/>
  <c r="BI25" i="39"/>
  <c r="BI23" i="39"/>
  <c r="BI21" i="39"/>
  <c r="BI19" i="39"/>
  <c r="BI17" i="39"/>
  <c r="BI15" i="39"/>
  <c r="C5" i="58"/>
  <c r="C6" i="58"/>
  <c r="B6" i="58"/>
  <c r="B12" i="58"/>
  <c r="B29" i="58"/>
  <c r="C29" i="58"/>
  <c r="B34" i="58"/>
  <c r="C41" i="58"/>
  <c r="C42" i="58"/>
  <c r="B42" i="58"/>
  <c r="B48" i="58"/>
  <c r="C58" i="58"/>
  <c r="B58" i="58"/>
  <c r="C75" i="58"/>
  <c r="B75" i="58"/>
  <c r="C97" i="58"/>
  <c r="B21" i="58"/>
  <c r="C21" i="58"/>
  <c r="B26" i="58"/>
  <c r="B32" i="58"/>
  <c r="C59" i="58"/>
  <c r="C60" i="58"/>
  <c r="B60" i="58"/>
  <c r="B71" i="58"/>
  <c r="C88" i="58"/>
  <c r="B88" i="58"/>
  <c r="B93" i="58"/>
  <c r="C93" i="58"/>
  <c r="BI84" i="39"/>
  <c r="BI82" i="39"/>
  <c r="BI80" i="39"/>
  <c r="BI78" i="39"/>
  <c r="BI76" i="39"/>
  <c r="BI74" i="39"/>
  <c r="BI72" i="39"/>
  <c r="BI70" i="39"/>
  <c r="BI68" i="39"/>
  <c r="BI66" i="39"/>
  <c r="BI64" i="39"/>
  <c r="BI62" i="39"/>
  <c r="BI60" i="39"/>
  <c r="BI58" i="39"/>
  <c r="BI56" i="39"/>
  <c r="BI54" i="39"/>
  <c r="BI52" i="39"/>
  <c r="BI50" i="39"/>
  <c r="BI48" i="39"/>
  <c r="BI46" i="39"/>
  <c r="BI44" i="39"/>
  <c r="BI42" i="39"/>
  <c r="BI40" i="39"/>
  <c r="BI38" i="39"/>
  <c r="BI36" i="39"/>
  <c r="BI34" i="39"/>
  <c r="BI32" i="39"/>
  <c r="BI30" i="39"/>
  <c r="BI28" i="39"/>
  <c r="BI26" i="39"/>
  <c r="BI24" i="39"/>
  <c r="BI22" i="39"/>
  <c r="BI20" i="39"/>
  <c r="BI18" i="39"/>
  <c r="BI16" i="39"/>
  <c r="BI14" i="39"/>
  <c r="C51" i="58"/>
  <c r="C52" i="58"/>
  <c r="B52" i="58"/>
  <c r="B69" i="58"/>
  <c r="C80" i="58"/>
  <c r="B80" i="58"/>
  <c r="B92" i="58"/>
  <c r="BI13" i="39"/>
  <c r="BI11" i="39"/>
  <c r="BI9" i="39"/>
  <c r="BI7" i="39"/>
  <c r="BI5" i="39"/>
  <c r="BI3" i="39"/>
  <c r="B4" i="58"/>
  <c r="B10" i="58"/>
  <c r="C13" i="58"/>
  <c r="B22" i="58"/>
  <c r="B30" i="58"/>
  <c r="B40" i="58"/>
  <c r="B46" i="58"/>
  <c r="B50" i="58"/>
  <c r="C55" i="58"/>
  <c r="C63" i="58"/>
  <c r="C85" i="58"/>
  <c r="C89" i="58"/>
  <c r="C19" i="58"/>
  <c r="B19" i="58"/>
  <c r="C27" i="58"/>
  <c r="B27" i="58"/>
  <c r="C53" i="58"/>
  <c r="B53" i="58"/>
  <c r="B7" i="58"/>
  <c r="C7" i="58"/>
  <c r="C35" i="58"/>
  <c r="B35" i="58"/>
  <c r="B43" i="58"/>
  <c r="C43" i="58"/>
  <c r="C61" i="58"/>
  <c r="B61" i="58"/>
  <c r="C23" i="58"/>
  <c r="B23" i="58"/>
  <c r="C31" i="58"/>
  <c r="B31" i="58"/>
  <c r="C11" i="58"/>
  <c r="C15" i="58"/>
  <c r="B15" i="58"/>
  <c r="C57" i="58"/>
  <c r="B57" i="58"/>
  <c r="C65" i="58"/>
  <c r="B65" i="58"/>
  <c r="C74" i="58"/>
  <c r="B74" i="58"/>
  <c r="C39" i="58"/>
  <c r="C47" i="58"/>
  <c r="C49" i="58"/>
  <c r="B49" i="58"/>
  <c r="C78" i="58"/>
  <c r="B78" i="58"/>
  <c r="C66" i="58"/>
  <c r="C72" i="58"/>
  <c r="C82" i="58"/>
  <c r="B82" i="58"/>
  <c r="C86" i="58"/>
  <c r="B86" i="58"/>
  <c r="B87" i="58"/>
  <c r="C90" i="58"/>
  <c r="B90" i="58"/>
  <c r="B91" i="58"/>
  <c r="C94" i="58"/>
  <c r="B94" i="58"/>
  <c r="B95" i="58"/>
  <c r="BI85" i="39"/>
  <c r="BI83" i="39"/>
  <c r="BI81" i="39"/>
  <c r="BI79" i="39"/>
  <c r="BI77" i="39"/>
  <c r="BI75" i="39"/>
  <c r="BI73" i="39"/>
  <c r="BI71" i="39"/>
  <c r="BI69" i="39"/>
  <c r="BI67" i="39"/>
  <c r="BI65" i="39"/>
  <c r="BI63" i="39"/>
  <c r="BI61" i="39"/>
  <c r="BI59" i="39"/>
  <c r="BI57" i="39"/>
  <c r="BI55" i="39"/>
  <c r="BI12" i="39"/>
  <c r="BI8" i="39"/>
  <c r="BI4" i="39"/>
  <c r="BF87" i="39"/>
  <c r="N2" i="66" l="1"/>
  <c r="O2" i="66"/>
  <c r="X12" i="26"/>
  <c r="X13" i="26"/>
  <c r="B134" i="29"/>
  <c r="C134" i="29"/>
  <c r="B138" i="29"/>
  <c r="C138" i="29"/>
  <c r="B142" i="29"/>
  <c r="C142" i="29"/>
  <c r="B137" i="29"/>
  <c r="C137" i="29"/>
  <c r="B141" i="29"/>
  <c r="C141" i="29"/>
  <c r="B136" i="29"/>
  <c r="C136" i="29"/>
  <c r="B140" i="29"/>
  <c r="C140" i="29"/>
  <c r="B135" i="29"/>
  <c r="C135" i="29"/>
  <c r="B139" i="29"/>
  <c r="C139" i="29"/>
  <c r="B143" i="29"/>
  <c r="C143" i="29"/>
  <c r="B14" i="35"/>
  <c r="B122" i="29"/>
  <c r="C122" i="29"/>
  <c r="B130" i="29"/>
  <c r="C130" i="29"/>
  <c r="C127" i="29"/>
  <c r="B127" i="29"/>
  <c r="B129" i="29"/>
  <c r="C129" i="29"/>
  <c r="C124" i="29"/>
  <c r="B124" i="29"/>
  <c r="C132" i="29"/>
  <c r="B132" i="29"/>
  <c r="B123" i="29"/>
  <c r="C123" i="29"/>
  <c r="B126" i="29"/>
  <c r="C126" i="29"/>
  <c r="B125" i="29"/>
  <c r="C125" i="29"/>
  <c r="B133" i="29"/>
  <c r="C133" i="29"/>
  <c r="C128" i="29"/>
  <c r="B128" i="29"/>
  <c r="C131" i="29"/>
  <c r="B131" i="29"/>
  <c r="D21" i="68"/>
  <c r="D19" i="68"/>
  <c r="D18" i="68"/>
  <c r="D20" i="68"/>
  <c r="D22" i="36"/>
  <c r="D22" i="68"/>
  <c r="D27" i="67"/>
  <c r="D21" i="36"/>
  <c r="D19" i="36"/>
  <c r="D18" i="36"/>
  <c r="D26" i="67"/>
  <c r="D20" i="36"/>
  <c r="T7" i="35"/>
  <c r="BC86" i="39"/>
  <c r="BE86" i="39"/>
  <c r="BF86" i="39"/>
  <c r="BE90" i="39"/>
  <c r="BH93" i="39"/>
  <c r="BE97" i="39"/>
  <c r="BD96" i="39"/>
  <c r="BG89" i="39"/>
  <c r="F89" i="66" s="1"/>
  <c r="K89" i="66" s="1"/>
  <c r="BD93" i="39"/>
  <c r="BG96" i="39"/>
  <c r="F96" i="66" s="1"/>
  <c r="K96" i="66" s="1"/>
  <c r="BD94" i="39"/>
  <c r="BC89" i="39"/>
  <c r="BF92" i="39"/>
  <c r="BC96" i="39"/>
  <c r="BE87" i="39"/>
  <c r="BE88" i="39"/>
  <c r="BD89" i="39"/>
  <c r="BC90" i="39"/>
  <c r="BG86" i="39"/>
  <c r="F86" i="66" s="1"/>
  <c r="K86" i="66" s="1"/>
  <c r="BD90" i="39"/>
  <c r="BG87" i="39"/>
  <c r="F87" i="66" s="1"/>
  <c r="K87" i="66" s="1"/>
  <c r="BD91" i="39"/>
  <c r="BG94" i="39"/>
  <c r="F94" i="66" s="1"/>
  <c r="K94" i="66" s="1"/>
  <c r="BD88" i="39"/>
  <c r="BC87" i="39"/>
  <c r="BI87" i="39" s="1"/>
  <c r="BF90" i="39"/>
  <c r="BC94" i="39"/>
  <c r="BG97" i="39"/>
  <c r="F97" i="66" s="1"/>
  <c r="K97" i="66" s="1"/>
  <c r="BH96" i="39"/>
  <c r="BH89" i="39"/>
  <c r="BE93" i="39"/>
  <c r="BC97" i="39"/>
  <c r="BC91" i="39"/>
  <c r="BH91" i="39"/>
  <c r="BG92" i="39"/>
  <c r="F92" i="66" s="1"/>
  <c r="K92" i="66" s="1"/>
  <c r="BG93" i="39"/>
  <c r="F93" i="66" s="1"/>
  <c r="K93" i="66" s="1"/>
  <c r="BD86" i="39"/>
  <c r="BH92" i="39"/>
  <c r="BF88" i="39"/>
  <c r="BC92" i="39"/>
  <c r="BG95" i="39"/>
  <c r="F95" i="66" s="1"/>
  <c r="K95" i="66" s="1"/>
  <c r="BH90" i="39"/>
  <c r="BH87" i="39"/>
  <c r="BE91" i="39"/>
  <c r="BC95" i="39"/>
  <c r="BH88" i="39"/>
  <c r="BD87" i="39"/>
  <c r="BG90" i="39"/>
  <c r="F90" i="66" s="1"/>
  <c r="K90" i="66" s="1"/>
  <c r="BE94" i="39"/>
  <c r="BH97" i="39"/>
  <c r="BF94" i="39"/>
  <c r="BE95" i="39"/>
  <c r="BE96" i="39"/>
  <c r="BD97" i="39"/>
  <c r="BH86" i="39"/>
  <c r="BF95" i="39"/>
  <c r="BE89" i="39"/>
  <c r="BC93" i="39"/>
  <c r="BF96" i="39"/>
  <c r="BF93" i="39"/>
  <c r="BG88" i="39"/>
  <c r="F88" i="66" s="1"/>
  <c r="K88" i="66" s="1"/>
  <c r="BE92" i="39"/>
  <c r="BH95" i="39"/>
  <c r="BF91" i="39"/>
  <c r="BC88" i="39"/>
  <c r="BG91" i="39"/>
  <c r="F91" i="66" s="1"/>
  <c r="K91" i="66" s="1"/>
  <c r="BD95" i="39"/>
  <c r="BF89" i="39"/>
  <c r="BD92" i="39"/>
  <c r="BH94" i="39"/>
  <c r="BF97" i="39"/>
  <c r="BI92" i="39" l="1"/>
  <c r="BI94" i="39"/>
  <c r="BI93" i="39"/>
  <c r="BI90" i="39"/>
  <c r="BI91" i="39"/>
  <c r="K127" i="31"/>
  <c r="K131" i="31"/>
  <c r="K128" i="31"/>
  <c r="K132" i="31"/>
  <c r="K126" i="31"/>
  <c r="K124" i="31"/>
  <c r="K129" i="31"/>
  <c r="K123" i="31"/>
  <c r="K125" i="31"/>
  <c r="K130" i="31"/>
  <c r="O132" i="30"/>
  <c r="O124" i="30"/>
  <c r="O126" i="30"/>
  <c r="O122" i="30"/>
  <c r="O133" i="30"/>
  <c r="O125" i="30"/>
  <c r="O127" i="30"/>
  <c r="O128" i="30"/>
  <c r="O129" i="30"/>
  <c r="O131" i="30"/>
  <c r="O123" i="30"/>
  <c r="O130" i="30"/>
  <c r="K122" i="31"/>
  <c r="F92" i="31"/>
  <c r="K92" i="31" s="1"/>
  <c r="F94" i="31"/>
  <c r="K94" i="31" s="1"/>
  <c r="F91" i="31"/>
  <c r="K91" i="31" s="1"/>
  <c r="F96" i="31"/>
  <c r="K96" i="31" s="1"/>
  <c r="F90" i="31"/>
  <c r="K90" i="31" s="1"/>
  <c r="F93" i="31"/>
  <c r="K93" i="31" s="1"/>
  <c r="F97" i="31"/>
  <c r="K97" i="31" s="1"/>
  <c r="F89" i="31"/>
  <c r="K89" i="31" s="1"/>
  <c r="F86" i="31"/>
  <c r="K86" i="31" s="1"/>
  <c r="BI88" i="39"/>
  <c r="F88" i="31"/>
  <c r="K88" i="31" s="1"/>
  <c r="F95" i="31"/>
  <c r="K95" i="31" s="1"/>
  <c r="F87" i="31"/>
  <c r="K87" i="31" s="1"/>
  <c r="T8" i="35"/>
  <c r="BI95" i="39"/>
  <c r="BI86" i="39"/>
  <c r="BI97" i="39"/>
  <c r="BI96" i="39"/>
  <c r="BI89" i="39"/>
  <c r="H135" i="30" l="1"/>
  <c r="O135" i="30" s="1"/>
  <c r="H139" i="30"/>
  <c r="O139" i="30" s="1"/>
  <c r="H138" i="30"/>
  <c r="O138" i="30" s="1"/>
  <c r="H143" i="30"/>
  <c r="O143" i="30" s="1"/>
  <c r="H137" i="30"/>
  <c r="O137" i="30" s="1"/>
  <c r="H136" i="30"/>
  <c r="O136" i="30" s="1"/>
  <c r="H141" i="30"/>
  <c r="O141" i="30" s="1"/>
  <c r="H145" i="30"/>
  <c r="O145" i="30" s="1"/>
  <c r="H144" i="30"/>
  <c r="O144" i="30" s="1"/>
  <c r="H142" i="30"/>
  <c r="O142" i="30" s="1"/>
  <c r="H140" i="30"/>
  <c r="O140" i="30" s="1"/>
  <c r="H134" i="30"/>
  <c r="O134" i="30" s="1"/>
  <c r="T9" i="35"/>
  <c r="T10" i="35" l="1"/>
  <c r="T11" i="35" l="1"/>
  <c r="T12" i="35" s="1"/>
  <c r="T13" i="35" s="1"/>
  <c r="T14" i="35" l="1"/>
  <c r="D17" i="68"/>
  <c r="D17" i="36"/>
  <c r="D16" i="36" l="1"/>
  <c r="D16" i="68"/>
  <c r="D28" i="67" l="1"/>
  <c r="B86" i="47" l="1"/>
  <c r="C87" i="47"/>
  <c r="C88" i="47"/>
  <c r="C89" i="47"/>
  <c r="B90" i="47"/>
  <c r="B91" i="47"/>
  <c r="C92" i="47"/>
  <c r="C93" i="47"/>
  <c r="B94" i="47"/>
  <c r="B95" i="47"/>
  <c r="C96" i="47"/>
  <c r="C97" i="47"/>
  <c r="C85" i="47"/>
  <c r="C84" i="47"/>
  <c r="C82" i="47"/>
  <c r="C80" i="47"/>
  <c r="C78" i="47"/>
  <c r="C76" i="47"/>
  <c r="C74" i="47"/>
  <c r="C72" i="47"/>
  <c r="C70" i="47"/>
  <c r="C68" i="47"/>
  <c r="C66" i="47"/>
  <c r="C64" i="47"/>
  <c r="C62" i="47"/>
  <c r="C61" i="47"/>
  <c r="B59" i="47"/>
  <c r="B57" i="47"/>
  <c r="B56" i="47"/>
  <c r="B55" i="47"/>
  <c r="B53" i="47"/>
  <c r="B52" i="47"/>
  <c r="B51" i="47"/>
  <c r="B49" i="47"/>
  <c r="B48" i="47"/>
  <c r="B47" i="47"/>
  <c r="B45" i="47"/>
  <c r="B44" i="47"/>
  <c r="B43" i="47"/>
  <c r="B41" i="47"/>
  <c r="B40" i="47"/>
  <c r="B39" i="47"/>
  <c r="B37" i="47"/>
  <c r="B36" i="47"/>
  <c r="B35" i="47"/>
  <c r="B33" i="47"/>
  <c r="B32" i="47"/>
  <c r="B31" i="47"/>
  <c r="B29" i="47"/>
  <c r="B28" i="47"/>
  <c r="B27" i="47"/>
  <c r="B25" i="47"/>
  <c r="B24" i="47"/>
  <c r="B23" i="47"/>
  <c r="B21" i="47"/>
  <c r="B20" i="47"/>
  <c r="B19" i="47"/>
  <c r="B17" i="47"/>
  <c r="B14" i="47"/>
  <c r="B13" i="47"/>
  <c r="U1" i="41"/>
  <c r="R1" i="41"/>
  <c r="Q1" i="41"/>
  <c r="CC15" i="39"/>
  <c r="CC27" i="39" s="1"/>
  <c r="CC39" i="39" s="1"/>
  <c r="CC51" i="39" s="1"/>
  <c r="CC16" i="39"/>
  <c r="CC28" i="39" s="1"/>
  <c r="CC40" i="39" s="1"/>
  <c r="CC52" i="39" s="1"/>
  <c r="CC64" i="39" s="1"/>
  <c r="CC76" i="39" s="1"/>
  <c r="CC88" i="39" s="1"/>
  <c r="CC100" i="39" s="1"/>
  <c r="CC112" i="39" s="1"/>
  <c r="CC17" i="39"/>
  <c r="CC18" i="39"/>
  <c r="CC30" i="39" s="1"/>
  <c r="CC42" i="39" s="1"/>
  <c r="CC54" i="39" s="1"/>
  <c r="CC66" i="39" s="1"/>
  <c r="CC78" i="39" s="1"/>
  <c r="CC90" i="39" s="1"/>
  <c r="CC102" i="39" s="1"/>
  <c r="CC114" i="39" s="1"/>
  <c r="CC19" i="39"/>
  <c r="CC31" i="39" s="1"/>
  <c r="CC20" i="39"/>
  <c r="CC32" i="39" s="1"/>
  <c r="CC44" i="39" s="1"/>
  <c r="CC56" i="39" s="1"/>
  <c r="CC68" i="39" s="1"/>
  <c r="CC80" i="39" s="1"/>
  <c r="CC92" i="39" s="1"/>
  <c r="CC104" i="39" s="1"/>
  <c r="CC116" i="39" s="1"/>
  <c r="CC22" i="39"/>
  <c r="CC34" i="39" s="1"/>
  <c r="CC46" i="39" s="1"/>
  <c r="CC58" i="39" s="1"/>
  <c r="CC70" i="39" s="1"/>
  <c r="CC82" i="39" s="1"/>
  <c r="CC94" i="39" s="1"/>
  <c r="CC106" i="39" s="1"/>
  <c r="CC118" i="39" s="1"/>
  <c r="CC23" i="39"/>
  <c r="CC35" i="39" s="1"/>
  <c r="CC47" i="39" s="1"/>
  <c r="CC24" i="39"/>
  <c r="CC36" i="39" s="1"/>
  <c r="CC48" i="39" s="1"/>
  <c r="CC60" i="39" s="1"/>
  <c r="CC72" i="39" s="1"/>
  <c r="CC84" i="39" s="1"/>
  <c r="CC96" i="39" s="1"/>
  <c r="CC108" i="39" s="1"/>
  <c r="CC120" i="39" s="1"/>
  <c r="CC25" i="39"/>
  <c r="CC37" i="39" s="1"/>
  <c r="CC49" i="39" s="1"/>
  <c r="CC14" i="39"/>
  <c r="CC26" i="39" s="1"/>
  <c r="CC38" i="39" s="1"/>
  <c r="CC50" i="39" s="1"/>
  <c r="CC62" i="39" s="1"/>
  <c r="CC74" i="39" s="1"/>
  <c r="CC86" i="39" s="1"/>
  <c r="CC98" i="39" s="1"/>
  <c r="CC110" i="39" s="1"/>
  <c r="R2" i="41"/>
  <c r="R3" i="41"/>
  <c r="R4" i="41"/>
  <c r="R5" i="41"/>
  <c r="R6" i="41"/>
  <c r="R7" i="41"/>
  <c r="R8" i="41"/>
  <c r="R9" i="41"/>
  <c r="R10" i="41"/>
  <c r="R11" i="41"/>
  <c r="R12" i="41"/>
  <c r="R13" i="41"/>
  <c r="R14" i="41"/>
  <c r="R15" i="41"/>
  <c r="R16" i="41"/>
  <c r="R17" i="41"/>
  <c r="R18" i="41"/>
  <c r="R19" i="41"/>
  <c r="R20" i="41"/>
  <c r="R21" i="41"/>
  <c r="R22" i="41"/>
  <c r="R23" i="41"/>
  <c r="R24" i="41"/>
  <c r="R25" i="41"/>
  <c r="R26" i="41"/>
  <c r="R27" i="41"/>
  <c r="R28" i="41"/>
  <c r="R29" i="41"/>
  <c r="R30" i="41"/>
  <c r="R31" i="41"/>
  <c r="R32" i="41"/>
  <c r="R33" i="41"/>
  <c r="R34" i="41"/>
  <c r="R35" i="41"/>
  <c r="R36" i="41"/>
  <c r="R37" i="41"/>
  <c r="R38" i="41"/>
  <c r="R39" i="41"/>
  <c r="R40" i="41"/>
  <c r="R41" i="41"/>
  <c r="R42" i="41"/>
  <c r="R43" i="41"/>
  <c r="R44" i="41"/>
  <c r="R45" i="41"/>
  <c r="R46" i="41"/>
  <c r="R47" i="41"/>
  <c r="R48" i="41"/>
  <c r="R49" i="41"/>
  <c r="R50" i="41"/>
  <c r="R51" i="41"/>
  <c r="R52" i="41"/>
  <c r="R53" i="41"/>
  <c r="R54" i="41"/>
  <c r="R55" i="41"/>
  <c r="R56" i="41"/>
  <c r="R57" i="41"/>
  <c r="R58" i="41"/>
  <c r="R59" i="41"/>
  <c r="R60" i="41"/>
  <c r="R61" i="41"/>
  <c r="R62" i="41"/>
  <c r="R63" i="41"/>
  <c r="R64" i="41"/>
  <c r="R65" i="41"/>
  <c r="R66" i="41"/>
  <c r="R67" i="41"/>
  <c r="R68" i="41"/>
  <c r="R69" i="41"/>
  <c r="R70" i="41"/>
  <c r="R71" i="41"/>
  <c r="R72" i="41"/>
  <c r="R73" i="41"/>
  <c r="R74" i="41"/>
  <c r="R75" i="41"/>
  <c r="R76" i="41"/>
  <c r="R77" i="41"/>
  <c r="R78" i="41"/>
  <c r="R79" i="41"/>
  <c r="R80" i="41"/>
  <c r="R81" i="41"/>
  <c r="R82" i="41"/>
  <c r="R83" i="41"/>
  <c r="R84" i="41"/>
  <c r="R85" i="41"/>
  <c r="R86" i="41"/>
  <c r="R87" i="41"/>
  <c r="R88" i="41"/>
  <c r="R89" i="41"/>
  <c r="R90" i="41"/>
  <c r="R91" i="41"/>
  <c r="R92" i="41"/>
  <c r="R93" i="41"/>
  <c r="R94" i="41"/>
  <c r="R95" i="41"/>
  <c r="R96" i="41"/>
  <c r="R97" i="41"/>
  <c r="S1" i="41"/>
  <c r="S2" i="41"/>
  <c r="S3" i="41"/>
  <c r="S4" i="41"/>
  <c r="S5" i="41"/>
  <c r="S6" i="41"/>
  <c r="S7" i="41"/>
  <c r="S8" i="41"/>
  <c r="S9" i="41"/>
  <c r="S10" i="41"/>
  <c r="S11" i="41"/>
  <c r="S12" i="41"/>
  <c r="S13" i="41"/>
  <c r="S14" i="41"/>
  <c r="S15" i="41"/>
  <c r="S16" i="41"/>
  <c r="S17" i="41"/>
  <c r="S18" i="41"/>
  <c r="S19" i="41"/>
  <c r="S20" i="41"/>
  <c r="S21" i="41"/>
  <c r="S22" i="41"/>
  <c r="S23" i="41"/>
  <c r="S24" i="41"/>
  <c r="S25" i="41"/>
  <c r="S26" i="41"/>
  <c r="S27" i="41"/>
  <c r="S28" i="41"/>
  <c r="S29" i="41"/>
  <c r="S30" i="41"/>
  <c r="S31" i="41"/>
  <c r="S32" i="41"/>
  <c r="S33" i="41"/>
  <c r="S34" i="41"/>
  <c r="S35" i="41"/>
  <c r="S36" i="41"/>
  <c r="S37" i="41"/>
  <c r="S38" i="41"/>
  <c r="S39" i="41"/>
  <c r="S40" i="41"/>
  <c r="S41" i="41"/>
  <c r="S42" i="41"/>
  <c r="S43" i="41"/>
  <c r="S44" i="41"/>
  <c r="S45" i="41"/>
  <c r="S46" i="41"/>
  <c r="S47" i="41"/>
  <c r="S48" i="41"/>
  <c r="S49" i="41"/>
  <c r="S50" i="41"/>
  <c r="S51" i="41"/>
  <c r="S52" i="41"/>
  <c r="S53" i="41"/>
  <c r="S54" i="41"/>
  <c r="S55" i="41"/>
  <c r="S56" i="41"/>
  <c r="S57" i="41"/>
  <c r="S58" i="41"/>
  <c r="S59" i="41"/>
  <c r="S60" i="41"/>
  <c r="S61" i="41"/>
  <c r="S62" i="41"/>
  <c r="S63" i="41"/>
  <c r="S64" i="41"/>
  <c r="S65" i="41"/>
  <c r="S66" i="41"/>
  <c r="S67" i="41"/>
  <c r="S68" i="41"/>
  <c r="S69" i="41"/>
  <c r="S70" i="41"/>
  <c r="S71" i="41"/>
  <c r="S72" i="41"/>
  <c r="S73" i="41"/>
  <c r="S74" i="41"/>
  <c r="S75" i="41"/>
  <c r="S76" i="41"/>
  <c r="S77" i="41"/>
  <c r="S78" i="41"/>
  <c r="S79" i="41"/>
  <c r="S80" i="41"/>
  <c r="S81" i="41"/>
  <c r="S82" i="41"/>
  <c r="S83" i="41"/>
  <c r="S84" i="41"/>
  <c r="S85" i="41"/>
  <c r="T1" i="41"/>
  <c r="B97" i="41"/>
  <c r="C96" i="41"/>
  <c r="C95" i="41"/>
  <c r="C94" i="41"/>
  <c r="C93" i="41"/>
  <c r="C92" i="41"/>
  <c r="C91" i="41"/>
  <c r="B90" i="41"/>
  <c r="C89" i="41"/>
  <c r="B88" i="41"/>
  <c r="C87" i="41"/>
  <c r="B86" i="41"/>
  <c r="C85" i="41"/>
  <c r="B84" i="41"/>
  <c r="C83" i="41"/>
  <c r="B82" i="41"/>
  <c r="C81" i="41"/>
  <c r="B80" i="41"/>
  <c r="C79" i="41"/>
  <c r="B78" i="41"/>
  <c r="C77" i="41"/>
  <c r="C76" i="41"/>
  <c r="C75" i="41"/>
  <c r="B74" i="41"/>
  <c r="C73" i="41"/>
  <c r="C72" i="41"/>
  <c r="C71" i="41"/>
  <c r="C70" i="41"/>
  <c r="C69" i="41"/>
  <c r="C68" i="41"/>
  <c r="C67" i="41"/>
  <c r="B66" i="41"/>
  <c r="C65" i="41"/>
  <c r="C64" i="41"/>
  <c r="C63" i="41"/>
  <c r="C62" i="41"/>
  <c r="B61" i="41"/>
  <c r="B59" i="41"/>
  <c r="B57" i="41"/>
  <c r="B55" i="41"/>
  <c r="B53" i="41"/>
  <c r="B51" i="41"/>
  <c r="B49" i="41"/>
  <c r="B47" i="41"/>
  <c r="B45" i="41"/>
  <c r="B43" i="41"/>
  <c r="B41" i="41"/>
  <c r="B39" i="41"/>
  <c r="C37" i="41"/>
  <c r="B35" i="41"/>
  <c r="C33" i="41"/>
  <c r="C32" i="41"/>
  <c r="C31" i="41"/>
  <c r="C30" i="41"/>
  <c r="B29" i="41"/>
  <c r="C28" i="41"/>
  <c r="B27" i="41"/>
  <c r="C26" i="41"/>
  <c r="B25" i="41"/>
  <c r="C24" i="41"/>
  <c r="C22" i="41"/>
  <c r="C20" i="41"/>
  <c r="C18" i="41"/>
  <c r="B16" i="41"/>
  <c r="C14" i="41"/>
  <c r="C12" i="41"/>
  <c r="C10" i="41"/>
  <c r="B8" i="41"/>
  <c r="C6" i="41"/>
  <c r="C4" i="41"/>
  <c r="C2" i="41"/>
  <c r="CF97" i="39"/>
  <c r="BA97" i="39"/>
  <c r="AZ97" i="39"/>
  <c r="AY97" i="39"/>
  <c r="AX97" i="39"/>
  <c r="AW97" i="39"/>
  <c r="AV97" i="39"/>
  <c r="AU97" i="39"/>
  <c r="AT97" i="39"/>
  <c r="AS97" i="39"/>
  <c r="AR97" i="39"/>
  <c r="AQ97" i="39"/>
  <c r="AP97" i="39"/>
  <c r="AO97" i="39"/>
  <c r="AN97" i="39"/>
  <c r="AM97" i="39"/>
  <c r="AL97" i="39"/>
  <c r="AK97" i="39"/>
  <c r="AJ97" i="39"/>
  <c r="AI97" i="39"/>
  <c r="I97" i="58"/>
  <c r="Q97" i="58" s="1"/>
  <c r="B97" i="39"/>
  <c r="CF96" i="39"/>
  <c r="G96" i="29" s="1"/>
  <c r="O96" i="29" s="1"/>
  <c r="BA96" i="39"/>
  <c r="AZ96" i="39"/>
  <c r="AY96" i="39"/>
  <c r="AX96" i="39"/>
  <c r="AW96" i="39"/>
  <c r="AV96" i="39"/>
  <c r="AU96" i="39"/>
  <c r="AT96" i="39"/>
  <c r="AS96" i="39"/>
  <c r="AR96" i="39"/>
  <c r="AQ96" i="39"/>
  <c r="AP96" i="39"/>
  <c r="AO96" i="39"/>
  <c r="AN96" i="39"/>
  <c r="AM96" i="39"/>
  <c r="AL96" i="39"/>
  <c r="AK96" i="39"/>
  <c r="AJ96" i="39"/>
  <c r="AI96" i="39"/>
  <c r="I96" i="58"/>
  <c r="Q96" i="58" s="1"/>
  <c r="B96" i="39"/>
  <c r="CF95" i="39"/>
  <c r="BA95" i="39"/>
  <c r="AZ95" i="39"/>
  <c r="AY95" i="39"/>
  <c r="AX95" i="39"/>
  <c r="AW95" i="39"/>
  <c r="AV95" i="39"/>
  <c r="AU95" i="39"/>
  <c r="AT95" i="39"/>
  <c r="AS95" i="39"/>
  <c r="AR95" i="39"/>
  <c r="AQ95" i="39"/>
  <c r="AP95" i="39"/>
  <c r="AO95" i="39"/>
  <c r="AN95" i="39"/>
  <c r="AM95" i="39"/>
  <c r="AL95" i="39"/>
  <c r="AK95" i="39"/>
  <c r="AJ95" i="39"/>
  <c r="AI95" i="39"/>
  <c r="I95" i="58"/>
  <c r="Q95" i="58" s="1"/>
  <c r="B95" i="39"/>
  <c r="CF94" i="39"/>
  <c r="BA94" i="39"/>
  <c r="AZ94" i="39"/>
  <c r="AY94" i="39"/>
  <c r="AX94" i="39"/>
  <c r="AW94" i="39"/>
  <c r="AV94" i="39"/>
  <c r="AU94" i="39"/>
  <c r="AT94" i="39"/>
  <c r="AS94" i="39"/>
  <c r="AR94" i="39"/>
  <c r="AQ94" i="39"/>
  <c r="AP94" i="39"/>
  <c r="AO94" i="39"/>
  <c r="AN94" i="39"/>
  <c r="AM94" i="39"/>
  <c r="AL94" i="39"/>
  <c r="AK94" i="39"/>
  <c r="AJ94" i="39"/>
  <c r="AI94" i="39"/>
  <c r="I94" i="58"/>
  <c r="Q94" i="58" s="1"/>
  <c r="B94" i="39"/>
  <c r="CF93" i="39"/>
  <c r="BA93" i="39"/>
  <c r="AZ93" i="39"/>
  <c r="AY93" i="39"/>
  <c r="AX93" i="39"/>
  <c r="AW93" i="39"/>
  <c r="AV93" i="39"/>
  <c r="AU93" i="39"/>
  <c r="AT93" i="39"/>
  <c r="AS93" i="39"/>
  <c r="AR93" i="39"/>
  <c r="AQ93" i="39"/>
  <c r="AP93" i="39"/>
  <c r="AO93" i="39"/>
  <c r="AN93" i="39"/>
  <c r="AM93" i="39"/>
  <c r="AL93" i="39"/>
  <c r="AK93" i="39"/>
  <c r="AJ93" i="39"/>
  <c r="AI93" i="39"/>
  <c r="I93" i="58"/>
  <c r="Q93" i="58" s="1"/>
  <c r="B93" i="39"/>
  <c r="CF92" i="39"/>
  <c r="BA92" i="39"/>
  <c r="AZ92" i="39"/>
  <c r="AY92" i="39"/>
  <c r="AX92" i="39"/>
  <c r="AW92" i="39"/>
  <c r="AV92" i="39"/>
  <c r="AU92" i="39"/>
  <c r="AT92" i="39"/>
  <c r="AS92" i="39"/>
  <c r="AR92" i="39"/>
  <c r="AQ92" i="39"/>
  <c r="AP92" i="39"/>
  <c r="AO92" i="39"/>
  <c r="AN92" i="39"/>
  <c r="AM92" i="39"/>
  <c r="AL92" i="39"/>
  <c r="AK92" i="39"/>
  <c r="AJ92" i="39"/>
  <c r="AI92" i="39"/>
  <c r="I92" i="58"/>
  <c r="Q92" i="58" s="1"/>
  <c r="B92" i="39"/>
  <c r="CF91" i="39"/>
  <c r="BA91" i="39"/>
  <c r="AZ91" i="39"/>
  <c r="AY91" i="39"/>
  <c r="AX91" i="39"/>
  <c r="AW91" i="39"/>
  <c r="AV91" i="39"/>
  <c r="AU91" i="39"/>
  <c r="AT91" i="39"/>
  <c r="AS91" i="39"/>
  <c r="AR91" i="39"/>
  <c r="AQ91" i="39"/>
  <c r="AP91" i="39"/>
  <c r="AO91" i="39"/>
  <c r="AN91" i="39"/>
  <c r="AM91" i="39"/>
  <c r="AL91" i="39"/>
  <c r="AK91" i="39"/>
  <c r="AJ91" i="39"/>
  <c r="AI91" i="39"/>
  <c r="I91" i="58"/>
  <c r="Q91" i="58" s="1"/>
  <c r="B91" i="39"/>
  <c r="CF90" i="39"/>
  <c r="BA90" i="39"/>
  <c r="AZ90" i="39"/>
  <c r="AY90" i="39"/>
  <c r="AX90" i="39"/>
  <c r="AW90" i="39"/>
  <c r="AV90" i="39"/>
  <c r="AU90" i="39"/>
  <c r="AT90" i="39"/>
  <c r="AS90" i="39"/>
  <c r="AR90" i="39"/>
  <c r="AQ90" i="39"/>
  <c r="AP90" i="39"/>
  <c r="AO90" i="39"/>
  <c r="AN90" i="39"/>
  <c r="AM90" i="39"/>
  <c r="AL90" i="39"/>
  <c r="AK90" i="39"/>
  <c r="AJ90" i="39"/>
  <c r="AI90" i="39"/>
  <c r="B90" i="39"/>
  <c r="CF89" i="39"/>
  <c r="BA89" i="39"/>
  <c r="AZ89" i="39"/>
  <c r="AY89" i="39"/>
  <c r="AX89" i="39"/>
  <c r="AW89" i="39"/>
  <c r="AV89" i="39"/>
  <c r="AU89" i="39"/>
  <c r="AT89" i="39"/>
  <c r="AS89" i="39"/>
  <c r="AR89" i="39"/>
  <c r="AQ89" i="39"/>
  <c r="AP89" i="39"/>
  <c r="AO89" i="39"/>
  <c r="AN89" i="39"/>
  <c r="AM89" i="39"/>
  <c r="AL89" i="39"/>
  <c r="AK89" i="39"/>
  <c r="AJ89" i="39"/>
  <c r="AI89" i="39"/>
  <c r="B89" i="39"/>
  <c r="CF88" i="39"/>
  <c r="BA88" i="39"/>
  <c r="AZ88" i="39"/>
  <c r="AY88" i="39"/>
  <c r="AX88" i="39"/>
  <c r="AW88" i="39"/>
  <c r="AV88" i="39"/>
  <c r="AU88" i="39"/>
  <c r="AT88" i="39"/>
  <c r="AS88" i="39"/>
  <c r="AR88" i="39"/>
  <c r="AQ88" i="39"/>
  <c r="AP88" i="39"/>
  <c r="AO88" i="39"/>
  <c r="AN88" i="39"/>
  <c r="AM88" i="39"/>
  <c r="AL88" i="39"/>
  <c r="AK88" i="39"/>
  <c r="AJ88" i="39"/>
  <c r="AI88" i="39"/>
  <c r="B88" i="39"/>
  <c r="CF87" i="39"/>
  <c r="BA87" i="39"/>
  <c r="AZ87" i="39"/>
  <c r="AY87" i="39"/>
  <c r="AX87" i="39"/>
  <c r="AW87" i="39"/>
  <c r="AV87" i="39"/>
  <c r="AU87" i="39"/>
  <c r="AT87" i="39"/>
  <c r="AS87" i="39"/>
  <c r="AR87" i="39"/>
  <c r="AQ87" i="39"/>
  <c r="AP87" i="39"/>
  <c r="AO87" i="39"/>
  <c r="AN87" i="39"/>
  <c r="AM87" i="39"/>
  <c r="AL87" i="39"/>
  <c r="AK87" i="39"/>
  <c r="AJ87" i="39"/>
  <c r="AI87" i="39"/>
  <c r="B87" i="39"/>
  <c r="CF86" i="39"/>
  <c r="BA86" i="39"/>
  <c r="AZ86" i="39"/>
  <c r="AY86" i="39"/>
  <c r="AX86" i="39"/>
  <c r="AW86" i="39"/>
  <c r="AV86" i="39"/>
  <c r="AU86" i="39"/>
  <c r="AT86" i="39"/>
  <c r="AS86" i="39"/>
  <c r="AR86" i="39"/>
  <c r="AQ86" i="39"/>
  <c r="AP86" i="39"/>
  <c r="AO86" i="39"/>
  <c r="AN86" i="39"/>
  <c r="AM86" i="39"/>
  <c r="AL86" i="39"/>
  <c r="AK86" i="39"/>
  <c r="AJ86" i="39"/>
  <c r="AI86" i="39"/>
  <c r="B86" i="39"/>
  <c r="BB85" i="39"/>
  <c r="BA85" i="39"/>
  <c r="AZ85" i="39"/>
  <c r="AY85" i="39"/>
  <c r="AX85" i="39"/>
  <c r="AW85" i="39"/>
  <c r="AV85" i="39"/>
  <c r="AU85" i="39"/>
  <c r="AT85" i="39"/>
  <c r="AS85" i="39"/>
  <c r="AR85" i="39"/>
  <c r="AQ85" i="39"/>
  <c r="AP85" i="39"/>
  <c r="AO85" i="39"/>
  <c r="AN85" i="39"/>
  <c r="AM85" i="39"/>
  <c r="AL85" i="39"/>
  <c r="AK85" i="39"/>
  <c r="AJ85" i="39"/>
  <c r="AI85" i="39"/>
  <c r="B85" i="39"/>
  <c r="BB84" i="39"/>
  <c r="BA84" i="39"/>
  <c r="AZ84" i="39"/>
  <c r="AY84" i="39"/>
  <c r="AX84" i="39"/>
  <c r="AW84" i="39"/>
  <c r="AV84" i="39"/>
  <c r="AU84" i="39"/>
  <c r="AT84" i="39"/>
  <c r="AS84" i="39"/>
  <c r="AR84" i="39"/>
  <c r="AQ84" i="39"/>
  <c r="AP84" i="39"/>
  <c r="AO84" i="39"/>
  <c r="AN84" i="39"/>
  <c r="AM84" i="39"/>
  <c r="AL84" i="39"/>
  <c r="AK84" i="39"/>
  <c r="AJ84" i="39"/>
  <c r="AI84" i="39"/>
  <c r="B84" i="39"/>
  <c r="BB83" i="39"/>
  <c r="BA83" i="39"/>
  <c r="AZ83" i="39"/>
  <c r="AY83" i="39"/>
  <c r="AX83" i="39"/>
  <c r="AW83" i="39"/>
  <c r="AV83" i="39"/>
  <c r="AU83" i="39"/>
  <c r="AT83" i="39"/>
  <c r="AS83" i="39"/>
  <c r="AR83" i="39"/>
  <c r="AQ83" i="39"/>
  <c r="AP83" i="39"/>
  <c r="AO83" i="39"/>
  <c r="AN83" i="39"/>
  <c r="AM83" i="39"/>
  <c r="AL83" i="39"/>
  <c r="AK83" i="39"/>
  <c r="AJ83" i="39"/>
  <c r="AI83" i="39"/>
  <c r="B83" i="39"/>
  <c r="BB82" i="39"/>
  <c r="BA82" i="39"/>
  <c r="AZ82" i="39"/>
  <c r="AY82" i="39"/>
  <c r="AX82" i="39"/>
  <c r="AW82" i="39"/>
  <c r="AV82" i="39"/>
  <c r="AU82" i="39"/>
  <c r="AT82" i="39"/>
  <c r="AS82" i="39"/>
  <c r="AR82" i="39"/>
  <c r="AQ82" i="39"/>
  <c r="AP82" i="39"/>
  <c r="AO82" i="39"/>
  <c r="AN82" i="39"/>
  <c r="AM82" i="39"/>
  <c r="AL82" i="39"/>
  <c r="AK82" i="39"/>
  <c r="AJ82" i="39"/>
  <c r="AI82" i="39"/>
  <c r="B82" i="39"/>
  <c r="BB81" i="39"/>
  <c r="BA81" i="39"/>
  <c r="AZ81" i="39"/>
  <c r="AY81" i="39"/>
  <c r="AX81" i="39"/>
  <c r="AW81" i="39"/>
  <c r="AV81" i="39"/>
  <c r="AU81" i="39"/>
  <c r="AT81" i="39"/>
  <c r="AS81" i="39"/>
  <c r="AR81" i="39"/>
  <c r="AQ81" i="39"/>
  <c r="AP81" i="39"/>
  <c r="AO81" i="39"/>
  <c r="AN81" i="39"/>
  <c r="AM81" i="39"/>
  <c r="AL81" i="39"/>
  <c r="AK81" i="39"/>
  <c r="AJ81" i="39"/>
  <c r="AI81" i="39"/>
  <c r="B81" i="39"/>
  <c r="BB80" i="39"/>
  <c r="BA80" i="39"/>
  <c r="AZ80" i="39"/>
  <c r="AY80" i="39"/>
  <c r="AX80" i="39"/>
  <c r="AW80" i="39"/>
  <c r="AV80" i="39"/>
  <c r="AU80" i="39"/>
  <c r="AT80" i="39"/>
  <c r="AS80" i="39"/>
  <c r="AR80" i="39"/>
  <c r="AQ80" i="39"/>
  <c r="AP80" i="39"/>
  <c r="AO80" i="39"/>
  <c r="AN80" i="39"/>
  <c r="AM80" i="39"/>
  <c r="AL80" i="39"/>
  <c r="AK80" i="39"/>
  <c r="AJ80" i="39"/>
  <c r="AI80" i="39"/>
  <c r="B80" i="39"/>
  <c r="BB79" i="39"/>
  <c r="BA79" i="39"/>
  <c r="AZ79" i="39"/>
  <c r="AY79" i="39"/>
  <c r="AX79" i="39"/>
  <c r="AW79" i="39"/>
  <c r="AV79" i="39"/>
  <c r="AU79" i="39"/>
  <c r="AT79" i="39"/>
  <c r="AS79" i="39"/>
  <c r="AR79" i="39"/>
  <c r="AQ79" i="39"/>
  <c r="AP79" i="39"/>
  <c r="AO79" i="39"/>
  <c r="AN79" i="39"/>
  <c r="AM79" i="39"/>
  <c r="AL79" i="39"/>
  <c r="AK79" i="39"/>
  <c r="AJ79" i="39"/>
  <c r="AI79" i="39"/>
  <c r="B79" i="39"/>
  <c r="BB78" i="39"/>
  <c r="BA78" i="39"/>
  <c r="AZ78" i="39"/>
  <c r="AY78" i="39"/>
  <c r="AX78" i="39"/>
  <c r="AW78" i="39"/>
  <c r="AV78" i="39"/>
  <c r="AU78" i="39"/>
  <c r="AT78" i="39"/>
  <c r="AS78" i="39"/>
  <c r="AR78" i="39"/>
  <c r="AQ78" i="39"/>
  <c r="AP78" i="39"/>
  <c r="AO78" i="39"/>
  <c r="AN78" i="39"/>
  <c r="AM78" i="39"/>
  <c r="AL78" i="39"/>
  <c r="AK78" i="39"/>
  <c r="AJ78" i="39"/>
  <c r="AI78" i="39"/>
  <c r="B78" i="39"/>
  <c r="BB77" i="39"/>
  <c r="BA77" i="39"/>
  <c r="AZ77" i="39"/>
  <c r="AY77" i="39"/>
  <c r="AX77" i="39"/>
  <c r="AW77" i="39"/>
  <c r="AV77" i="39"/>
  <c r="AU77" i="39"/>
  <c r="AT77" i="39"/>
  <c r="AS77" i="39"/>
  <c r="AR77" i="39"/>
  <c r="AQ77" i="39"/>
  <c r="AP77" i="39"/>
  <c r="AO77" i="39"/>
  <c r="AN77" i="39"/>
  <c r="AM77" i="39"/>
  <c r="AL77" i="39"/>
  <c r="AK77" i="39"/>
  <c r="AJ77" i="39"/>
  <c r="AI77" i="39"/>
  <c r="B77" i="39"/>
  <c r="BB76" i="39"/>
  <c r="BA76" i="39"/>
  <c r="AZ76" i="39"/>
  <c r="AY76" i="39"/>
  <c r="AX76" i="39"/>
  <c r="AW76" i="39"/>
  <c r="AV76" i="39"/>
  <c r="AU76" i="39"/>
  <c r="AT76" i="39"/>
  <c r="AS76" i="39"/>
  <c r="AR76" i="39"/>
  <c r="AQ76" i="39"/>
  <c r="AP76" i="39"/>
  <c r="AO76" i="39"/>
  <c r="AN76" i="39"/>
  <c r="AM76" i="39"/>
  <c r="AL76" i="39"/>
  <c r="AK76" i="39"/>
  <c r="AJ76" i="39"/>
  <c r="AI76" i="39"/>
  <c r="B76" i="39"/>
  <c r="BB75" i="39"/>
  <c r="BA75" i="39"/>
  <c r="AZ75" i="39"/>
  <c r="AY75" i="39"/>
  <c r="AX75" i="39"/>
  <c r="AW75" i="39"/>
  <c r="AV75" i="39"/>
  <c r="AU75" i="39"/>
  <c r="AT75" i="39"/>
  <c r="AS75" i="39"/>
  <c r="AR75" i="39"/>
  <c r="AQ75" i="39"/>
  <c r="AP75" i="39"/>
  <c r="AO75" i="39"/>
  <c r="AN75" i="39"/>
  <c r="AM75" i="39"/>
  <c r="AL75" i="39"/>
  <c r="AK75" i="39"/>
  <c r="AJ75" i="39"/>
  <c r="AI75" i="39"/>
  <c r="B75" i="39"/>
  <c r="BB74" i="39"/>
  <c r="BA74" i="39"/>
  <c r="AZ74" i="39"/>
  <c r="AY74" i="39"/>
  <c r="AX74" i="39"/>
  <c r="AW74" i="39"/>
  <c r="AV74" i="39"/>
  <c r="AU74" i="39"/>
  <c r="AT74" i="39"/>
  <c r="AS74" i="39"/>
  <c r="AR74" i="39"/>
  <c r="AQ74" i="39"/>
  <c r="AP74" i="39"/>
  <c r="AO74" i="39"/>
  <c r="AN74" i="39"/>
  <c r="AM74" i="39"/>
  <c r="AL74" i="39"/>
  <c r="AK74" i="39"/>
  <c r="AJ74" i="39"/>
  <c r="AI74" i="39"/>
  <c r="B74" i="39"/>
  <c r="BB73" i="39"/>
  <c r="BA73" i="39"/>
  <c r="AZ73" i="39"/>
  <c r="AY73" i="39"/>
  <c r="AX73" i="39"/>
  <c r="AW73" i="39"/>
  <c r="AV73" i="39"/>
  <c r="AU73" i="39"/>
  <c r="AT73" i="39"/>
  <c r="AS73" i="39"/>
  <c r="AR73" i="39"/>
  <c r="AQ73" i="39"/>
  <c r="AP73" i="39"/>
  <c r="AO73" i="39"/>
  <c r="AN73" i="39"/>
  <c r="AM73" i="39"/>
  <c r="AL73" i="39"/>
  <c r="AK73" i="39"/>
  <c r="AJ73" i="39"/>
  <c r="AI73" i="39"/>
  <c r="B73" i="39"/>
  <c r="BB72" i="39"/>
  <c r="BA72" i="39"/>
  <c r="AZ72" i="39"/>
  <c r="AY72" i="39"/>
  <c r="AX72" i="39"/>
  <c r="AW72" i="39"/>
  <c r="AV72" i="39"/>
  <c r="AU72" i="39"/>
  <c r="AT72" i="39"/>
  <c r="AS72" i="39"/>
  <c r="AR72" i="39"/>
  <c r="AQ72" i="39"/>
  <c r="AP72" i="39"/>
  <c r="AO72" i="39"/>
  <c r="AN72" i="39"/>
  <c r="AM72" i="39"/>
  <c r="AL72" i="39"/>
  <c r="AK72" i="39"/>
  <c r="AJ72" i="39"/>
  <c r="AI72" i="39"/>
  <c r="B72" i="39"/>
  <c r="BB71" i="39"/>
  <c r="BA71" i="39"/>
  <c r="AZ71" i="39"/>
  <c r="AY71" i="39"/>
  <c r="AX71" i="39"/>
  <c r="AW71" i="39"/>
  <c r="AV71" i="39"/>
  <c r="AU71" i="39"/>
  <c r="AT71" i="39"/>
  <c r="AS71" i="39"/>
  <c r="AR71" i="39"/>
  <c r="AQ71" i="39"/>
  <c r="AP71" i="39"/>
  <c r="AO71" i="39"/>
  <c r="AN71" i="39"/>
  <c r="AM71" i="39"/>
  <c r="AL71" i="39"/>
  <c r="AK71" i="39"/>
  <c r="AJ71" i="39"/>
  <c r="AI71" i="39"/>
  <c r="B71" i="39"/>
  <c r="BB70" i="39"/>
  <c r="BA70" i="39"/>
  <c r="AZ70" i="39"/>
  <c r="AY70" i="39"/>
  <c r="AX70" i="39"/>
  <c r="AW70" i="39"/>
  <c r="AV70" i="39"/>
  <c r="AU70" i="39"/>
  <c r="AT70" i="39"/>
  <c r="AS70" i="39"/>
  <c r="AR70" i="39"/>
  <c r="AQ70" i="39"/>
  <c r="AP70" i="39"/>
  <c r="AO70" i="39"/>
  <c r="AN70" i="39"/>
  <c r="AM70" i="39"/>
  <c r="AL70" i="39"/>
  <c r="AK70" i="39"/>
  <c r="AJ70" i="39"/>
  <c r="AI70" i="39"/>
  <c r="B70" i="39"/>
  <c r="BB69" i="39"/>
  <c r="BA69" i="39"/>
  <c r="AZ69" i="39"/>
  <c r="AY69" i="39"/>
  <c r="AX69" i="39"/>
  <c r="AW69" i="39"/>
  <c r="AV69" i="39"/>
  <c r="AU69" i="39"/>
  <c r="AT69" i="39"/>
  <c r="AS69" i="39"/>
  <c r="AR69" i="39"/>
  <c r="AQ69" i="39"/>
  <c r="AP69" i="39"/>
  <c r="AO69" i="39"/>
  <c r="AN69" i="39"/>
  <c r="AM69" i="39"/>
  <c r="AL69" i="39"/>
  <c r="AK69" i="39"/>
  <c r="AJ69" i="39"/>
  <c r="AI69" i="39"/>
  <c r="B69" i="39"/>
  <c r="BB68" i="39"/>
  <c r="BA68" i="39"/>
  <c r="AZ68" i="39"/>
  <c r="AY68" i="39"/>
  <c r="AX68" i="39"/>
  <c r="AW68" i="39"/>
  <c r="AV68" i="39"/>
  <c r="AU68" i="39"/>
  <c r="AT68" i="39"/>
  <c r="AS68" i="39"/>
  <c r="AR68" i="39"/>
  <c r="AQ68" i="39"/>
  <c r="AP68" i="39"/>
  <c r="AO68" i="39"/>
  <c r="AN68" i="39"/>
  <c r="AM68" i="39"/>
  <c r="AL68" i="39"/>
  <c r="AK68" i="39"/>
  <c r="AJ68" i="39"/>
  <c r="AI68" i="39"/>
  <c r="B68" i="39"/>
  <c r="BB67" i="39"/>
  <c r="BA67" i="39"/>
  <c r="AZ67" i="39"/>
  <c r="AY67" i="39"/>
  <c r="AX67" i="39"/>
  <c r="AW67" i="39"/>
  <c r="AV67" i="39"/>
  <c r="AU67" i="39"/>
  <c r="AT67" i="39"/>
  <c r="AS67" i="39"/>
  <c r="AR67" i="39"/>
  <c r="AQ67" i="39"/>
  <c r="AP67" i="39"/>
  <c r="AO67" i="39"/>
  <c r="AN67" i="39"/>
  <c r="AM67" i="39"/>
  <c r="AL67" i="39"/>
  <c r="AK67" i="39"/>
  <c r="AJ67" i="39"/>
  <c r="AI67" i="39"/>
  <c r="B67" i="39"/>
  <c r="BB66" i="39"/>
  <c r="BA66" i="39"/>
  <c r="AZ66" i="39"/>
  <c r="AY66" i="39"/>
  <c r="AX66" i="39"/>
  <c r="AW66" i="39"/>
  <c r="AV66" i="39"/>
  <c r="AU66" i="39"/>
  <c r="AT66" i="39"/>
  <c r="AS66" i="39"/>
  <c r="AR66" i="39"/>
  <c r="AQ66" i="39"/>
  <c r="AP66" i="39"/>
  <c r="AO66" i="39"/>
  <c r="AN66" i="39"/>
  <c r="AM66" i="39"/>
  <c r="AL66" i="39"/>
  <c r="AK66" i="39"/>
  <c r="AJ66" i="39"/>
  <c r="AI66" i="39"/>
  <c r="B66" i="39"/>
  <c r="BB65" i="39"/>
  <c r="BA65" i="39"/>
  <c r="AZ65" i="39"/>
  <c r="AY65" i="39"/>
  <c r="AX65" i="39"/>
  <c r="AW65" i="39"/>
  <c r="AV65" i="39"/>
  <c r="AU65" i="39"/>
  <c r="AT65" i="39"/>
  <c r="AS65" i="39"/>
  <c r="AR65" i="39"/>
  <c r="AQ65" i="39"/>
  <c r="AP65" i="39"/>
  <c r="AO65" i="39"/>
  <c r="AN65" i="39"/>
  <c r="AM65" i="39"/>
  <c r="AL65" i="39"/>
  <c r="AK65" i="39"/>
  <c r="AJ65" i="39"/>
  <c r="AI65" i="39"/>
  <c r="B65" i="39"/>
  <c r="BB64" i="39"/>
  <c r="BA64" i="39"/>
  <c r="AZ64" i="39"/>
  <c r="AY64" i="39"/>
  <c r="AX64" i="39"/>
  <c r="AW64" i="39"/>
  <c r="AV64" i="39"/>
  <c r="AU64" i="39"/>
  <c r="AT64" i="39"/>
  <c r="AS64" i="39"/>
  <c r="AR64" i="39"/>
  <c r="AQ64" i="39"/>
  <c r="AP64" i="39"/>
  <c r="AO64" i="39"/>
  <c r="AN64" i="39"/>
  <c r="AM64" i="39"/>
  <c r="AL64" i="39"/>
  <c r="AK64" i="39"/>
  <c r="AJ64" i="39"/>
  <c r="AI64" i="39"/>
  <c r="B64" i="39"/>
  <c r="BB63" i="39"/>
  <c r="BA63" i="39"/>
  <c r="AZ63" i="39"/>
  <c r="AY63" i="39"/>
  <c r="AX63" i="39"/>
  <c r="AW63" i="39"/>
  <c r="AV63" i="39"/>
  <c r="AU63" i="39"/>
  <c r="AT63" i="39"/>
  <c r="AS63" i="39"/>
  <c r="AR63" i="39"/>
  <c r="AQ63" i="39"/>
  <c r="AP63" i="39"/>
  <c r="AO63" i="39"/>
  <c r="AN63" i="39"/>
  <c r="AM63" i="39"/>
  <c r="AL63" i="39"/>
  <c r="AK63" i="39"/>
  <c r="AJ63" i="39"/>
  <c r="AI63" i="39"/>
  <c r="B63" i="39"/>
  <c r="BB62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B62" i="39"/>
  <c r="BB61" i="39"/>
  <c r="BA61" i="39"/>
  <c r="AZ61" i="39"/>
  <c r="AY61" i="39"/>
  <c r="AX61" i="39"/>
  <c r="AW61" i="39"/>
  <c r="AV61" i="39"/>
  <c r="AU61" i="39"/>
  <c r="AT61" i="39"/>
  <c r="AS61" i="39"/>
  <c r="AR61" i="39"/>
  <c r="AQ61" i="39"/>
  <c r="AP61" i="39"/>
  <c r="AO61" i="39"/>
  <c r="AN61" i="39"/>
  <c r="AM61" i="39"/>
  <c r="AL61" i="39"/>
  <c r="AK61" i="39"/>
  <c r="AJ61" i="39"/>
  <c r="AI61" i="39"/>
  <c r="B61" i="39"/>
  <c r="BB60" i="39"/>
  <c r="BA60" i="39"/>
  <c r="AZ60" i="39"/>
  <c r="AY60" i="39"/>
  <c r="AX60" i="39"/>
  <c r="AW60" i="39"/>
  <c r="AV60" i="39"/>
  <c r="AU60" i="39"/>
  <c r="AT60" i="39"/>
  <c r="AS60" i="39"/>
  <c r="AR60" i="39"/>
  <c r="AQ60" i="39"/>
  <c r="AP60" i="39"/>
  <c r="AO60" i="39"/>
  <c r="AN60" i="39"/>
  <c r="AM60" i="39"/>
  <c r="AL60" i="39"/>
  <c r="AK60" i="39"/>
  <c r="AJ60" i="39"/>
  <c r="AI60" i="39"/>
  <c r="B60" i="39"/>
  <c r="BB59" i="39"/>
  <c r="BA59" i="39"/>
  <c r="AZ59" i="39"/>
  <c r="AY59" i="39"/>
  <c r="AX59" i="39"/>
  <c r="AW59" i="39"/>
  <c r="AV59" i="39"/>
  <c r="AU59" i="39"/>
  <c r="AT59" i="39"/>
  <c r="AS59" i="39"/>
  <c r="AR59" i="39"/>
  <c r="AQ59" i="39"/>
  <c r="AP59" i="39"/>
  <c r="AO59" i="39"/>
  <c r="AN59" i="39"/>
  <c r="AM59" i="39"/>
  <c r="AL59" i="39"/>
  <c r="AK59" i="39"/>
  <c r="AJ59" i="39"/>
  <c r="AI59" i="39"/>
  <c r="B59" i="39"/>
  <c r="BB58" i="39"/>
  <c r="BA58" i="39"/>
  <c r="AZ58" i="39"/>
  <c r="AY58" i="39"/>
  <c r="AX58" i="39"/>
  <c r="AW58" i="39"/>
  <c r="AV58" i="39"/>
  <c r="AU58" i="39"/>
  <c r="AT58" i="39"/>
  <c r="AS58" i="39"/>
  <c r="AR58" i="39"/>
  <c r="AQ58" i="39"/>
  <c r="AP58" i="39"/>
  <c r="AO58" i="39"/>
  <c r="AN58" i="39"/>
  <c r="AM58" i="39"/>
  <c r="AL58" i="39"/>
  <c r="AK58" i="39"/>
  <c r="AJ58" i="39"/>
  <c r="AI58" i="39"/>
  <c r="B58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B57" i="39"/>
  <c r="BB56" i="39"/>
  <c r="BA56" i="39"/>
  <c r="AZ56" i="39"/>
  <c r="AY56" i="39"/>
  <c r="AX56" i="39"/>
  <c r="AW56" i="39"/>
  <c r="AV56" i="39"/>
  <c r="AU56" i="39"/>
  <c r="AT56" i="39"/>
  <c r="AS56" i="39"/>
  <c r="AR56" i="39"/>
  <c r="AQ56" i="39"/>
  <c r="AP56" i="39"/>
  <c r="AO56" i="39"/>
  <c r="AN56" i="39"/>
  <c r="AM56" i="39"/>
  <c r="AL56" i="39"/>
  <c r="AK56" i="39"/>
  <c r="AJ56" i="39"/>
  <c r="AI56" i="39"/>
  <c r="B56" i="39"/>
  <c r="BB55" i="39"/>
  <c r="BA55" i="39"/>
  <c r="AZ55" i="39"/>
  <c r="AY55" i="39"/>
  <c r="AX55" i="39"/>
  <c r="AW55" i="39"/>
  <c r="AV55" i="39"/>
  <c r="AU55" i="39"/>
  <c r="AT55" i="39"/>
  <c r="AS55" i="39"/>
  <c r="AR55" i="39"/>
  <c r="AQ55" i="39"/>
  <c r="AP55" i="39"/>
  <c r="AO55" i="39"/>
  <c r="AN55" i="39"/>
  <c r="AM55" i="39"/>
  <c r="AL55" i="39"/>
  <c r="AK55" i="39"/>
  <c r="AJ55" i="39"/>
  <c r="AI55" i="39"/>
  <c r="B55" i="39"/>
  <c r="BB54" i="39"/>
  <c r="BA54" i="39"/>
  <c r="AZ54" i="39"/>
  <c r="AY54" i="39"/>
  <c r="AX54" i="39"/>
  <c r="AW54" i="39"/>
  <c r="AV54" i="39"/>
  <c r="AU54" i="39"/>
  <c r="AT54" i="39"/>
  <c r="AS54" i="39"/>
  <c r="AR54" i="39"/>
  <c r="AQ54" i="39"/>
  <c r="AP54" i="39"/>
  <c r="AO54" i="39"/>
  <c r="AN54" i="39"/>
  <c r="AM54" i="39"/>
  <c r="AL54" i="39"/>
  <c r="AK54" i="39"/>
  <c r="AJ54" i="39"/>
  <c r="AI54" i="39"/>
  <c r="B54" i="39"/>
  <c r="BB53" i="39"/>
  <c r="BA53" i="39"/>
  <c r="AZ53" i="39"/>
  <c r="AY53" i="39"/>
  <c r="AX53" i="39"/>
  <c r="AW53" i="39"/>
  <c r="AV53" i="39"/>
  <c r="AU53" i="39"/>
  <c r="AT53" i="39"/>
  <c r="AS53" i="39"/>
  <c r="AR53" i="39"/>
  <c r="AQ53" i="39"/>
  <c r="AP53" i="39"/>
  <c r="AO53" i="39"/>
  <c r="AN53" i="39"/>
  <c r="AM53" i="39"/>
  <c r="AL53" i="39"/>
  <c r="AK53" i="39"/>
  <c r="AJ53" i="39"/>
  <c r="AI53" i="39"/>
  <c r="B53" i="39"/>
  <c r="BB52" i="39"/>
  <c r="BA52" i="39"/>
  <c r="AZ52" i="39"/>
  <c r="AY52" i="39"/>
  <c r="AX52" i="39"/>
  <c r="AW52" i="39"/>
  <c r="AV52" i="39"/>
  <c r="AU52" i="39"/>
  <c r="AT52" i="39"/>
  <c r="AS52" i="39"/>
  <c r="AR52" i="39"/>
  <c r="AQ52" i="39"/>
  <c r="AP52" i="39"/>
  <c r="AO52" i="39"/>
  <c r="AN52" i="39"/>
  <c r="AM52" i="39"/>
  <c r="AL52" i="39"/>
  <c r="AK52" i="39"/>
  <c r="AJ52" i="39"/>
  <c r="AI52" i="39"/>
  <c r="B52" i="39"/>
  <c r="BB51" i="39"/>
  <c r="BA51" i="39"/>
  <c r="AZ51" i="39"/>
  <c r="AY51" i="39"/>
  <c r="AX51" i="39"/>
  <c r="AW51" i="39"/>
  <c r="AV51" i="39"/>
  <c r="AU51" i="39"/>
  <c r="AT51" i="39"/>
  <c r="AS51" i="39"/>
  <c r="AR51" i="39"/>
  <c r="AQ51" i="39"/>
  <c r="AP51" i="39"/>
  <c r="AO51" i="39"/>
  <c r="AN51" i="39"/>
  <c r="AM51" i="39"/>
  <c r="AL51" i="39"/>
  <c r="AK51" i="39"/>
  <c r="AJ51" i="39"/>
  <c r="AI51" i="39"/>
  <c r="B51" i="39"/>
  <c r="BB50" i="39"/>
  <c r="BA50" i="39"/>
  <c r="AZ50" i="39"/>
  <c r="AY50" i="39"/>
  <c r="AX50" i="39"/>
  <c r="AW50" i="39"/>
  <c r="AV50" i="39"/>
  <c r="AU50" i="39"/>
  <c r="AT50" i="39"/>
  <c r="AS50" i="39"/>
  <c r="AR50" i="39"/>
  <c r="AQ50" i="39"/>
  <c r="AP50" i="39"/>
  <c r="AO50" i="39"/>
  <c r="AN50" i="39"/>
  <c r="AM50" i="39"/>
  <c r="AL50" i="39"/>
  <c r="AK50" i="39"/>
  <c r="AJ50" i="39"/>
  <c r="AI50" i="39"/>
  <c r="B50" i="39"/>
  <c r="BB49" i="39"/>
  <c r="BA49" i="39"/>
  <c r="AZ49" i="39"/>
  <c r="AY49" i="39"/>
  <c r="AX49" i="39"/>
  <c r="AW49" i="39"/>
  <c r="AV49" i="39"/>
  <c r="AU49" i="39"/>
  <c r="AT49" i="39"/>
  <c r="AS49" i="39"/>
  <c r="AR49" i="39"/>
  <c r="AQ49" i="39"/>
  <c r="AP49" i="39"/>
  <c r="AO49" i="39"/>
  <c r="AN49" i="39"/>
  <c r="AM49" i="39"/>
  <c r="AL49" i="39"/>
  <c r="AK49" i="39"/>
  <c r="AJ49" i="39"/>
  <c r="AI49" i="39"/>
  <c r="B49" i="39"/>
  <c r="BB48" i="39"/>
  <c r="BA48" i="39"/>
  <c r="AZ48" i="39"/>
  <c r="AY48" i="39"/>
  <c r="AX48" i="39"/>
  <c r="AW48" i="39"/>
  <c r="AV48" i="39"/>
  <c r="AU48" i="39"/>
  <c r="AT48" i="39"/>
  <c r="AS48" i="39"/>
  <c r="AR48" i="39"/>
  <c r="AQ48" i="39"/>
  <c r="AP48" i="39"/>
  <c r="AO48" i="39"/>
  <c r="AN48" i="39"/>
  <c r="AM48" i="39"/>
  <c r="AL48" i="39"/>
  <c r="AK48" i="39"/>
  <c r="AJ48" i="39"/>
  <c r="AI48" i="39"/>
  <c r="B48" i="39"/>
  <c r="BB47" i="39"/>
  <c r="BA47" i="39"/>
  <c r="AZ47" i="39"/>
  <c r="AY47" i="39"/>
  <c r="AX47" i="39"/>
  <c r="AW47" i="39"/>
  <c r="AV47" i="39"/>
  <c r="AU47" i="39"/>
  <c r="AT47" i="39"/>
  <c r="AS47" i="39"/>
  <c r="AR47" i="39"/>
  <c r="AQ47" i="39"/>
  <c r="AP47" i="39"/>
  <c r="AO47" i="39"/>
  <c r="AN47" i="39"/>
  <c r="AM47" i="39"/>
  <c r="AL47" i="39"/>
  <c r="AK47" i="39"/>
  <c r="AJ47" i="39"/>
  <c r="AI47" i="39"/>
  <c r="B47" i="39"/>
  <c r="BB46" i="39"/>
  <c r="BA46" i="39"/>
  <c r="AZ46" i="39"/>
  <c r="AY46" i="39"/>
  <c r="AX46" i="39"/>
  <c r="AW46" i="39"/>
  <c r="AV46" i="39"/>
  <c r="AU46" i="39"/>
  <c r="AT46" i="39"/>
  <c r="AS46" i="39"/>
  <c r="AR46" i="39"/>
  <c r="AQ46" i="39"/>
  <c r="AP46" i="39"/>
  <c r="AO46" i="39"/>
  <c r="AN46" i="39"/>
  <c r="AM46" i="39"/>
  <c r="AL46" i="39"/>
  <c r="AK46" i="39"/>
  <c r="AJ46" i="39"/>
  <c r="AI46" i="39"/>
  <c r="B46" i="39"/>
  <c r="BB45" i="39"/>
  <c r="BA45" i="39"/>
  <c r="AZ45" i="39"/>
  <c r="AY45" i="39"/>
  <c r="AX45" i="39"/>
  <c r="AW45" i="39"/>
  <c r="AV45" i="39"/>
  <c r="AU45" i="39"/>
  <c r="AT45" i="39"/>
  <c r="AS45" i="39"/>
  <c r="AR45" i="39"/>
  <c r="AQ45" i="39"/>
  <c r="AP45" i="39"/>
  <c r="AO45" i="39"/>
  <c r="AN45" i="39"/>
  <c r="AM45" i="39"/>
  <c r="AL45" i="39"/>
  <c r="AK45" i="39"/>
  <c r="AJ45" i="39"/>
  <c r="AI45" i="39"/>
  <c r="B45" i="39"/>
  <c r="BB44" i="39"/>
  <c r="BA44" i="39"/>
  <c r="AZ44" i="39"/>
  <c r="AY44" i="39"/>
  <c r="AX44" i="39"/>
  <c r="AW44" i="39"/>
  <c r="AV44" i="39"/>
  <c r="AU44" i="39"/>
  <c r="AT44" i="39"/>
  <c r="AS44" i="39"/>
  <c r="AR44" i="39"/>
  <c r="AQ44" i="39"/>
  <c r="AP44" i="39"/>
  <c r="AO44" i="39"/>
  <c r="AN44" i="39"/>
  <c r="AM44" i="39"/>
  <c r="AL44" i="39"/>
  <c r="AK44" i="39"/>
  <c r="AJ44" i="39"/>
  <c r="AI44" i="39"/>
  <c r="B44" i="39"/>
  <c r="BB43" i="39"/>
  <c r="BA43" i="39"/>
  <c r="AZ43" i="39"/>
  <c r="AY43" i="39"/>
  <c r="AX43" i="39"/>
  <c r="AW43" i="39"/>
  <c r="AV43" i="39"/>
  <c r="AU43" i="39"/>
  <c r="AT43" i="39"/>
  <c r="AS43" i="39"/>
  <c r="AR43" i="39"/>
  <c r="AQ43" i="39"/>
  <c r="AP43" i="39"/>
  <c r="AO43" i="39"/>
  <c r="AN43" i="39"/>
  <c r="AM43" i="39"/>
  <c r="AL43" i="39"/>
  <c r="AK43" i="39"/>
  <c r="AJ43" i="39"/>
  <c r="AI43" i="39"/>
  <c r="B43" i="39"/>
  <c r="BB42" i="39"/>
  <c r="BA42" i="39"/>
  <c r="AZ42" i="39"/>
  <c r="AY42" i="39"/>
  <c r="AX42" i="39"/>
  <c r="AW42" i="39"/>
  <c r="AV42" i="39"/>
  <c r="AU42" i="39"/>
  <c r="AT42" i="39"/>
  <c r="AS42" i="39"/>
  <c r="AR42" i="39"/>
  <c r="AQ42" i="39"/>
  <c r="AP42" i="39"/>
  <c r="AO42" i="39"/>
  <c r="AN42" i="39"/>
  <c r="AM42" i="39"/>
  <c r="AL42" i="39"/>
  <c r="AK42" i="39"/>
  <c r="AJ42" i="39"/>
  <c r="AI42" i="39"/>
  <c r="B42" i="39"/>
  <c r="BB41" i="39"/>
  <c r="BA41" i="39"/>
  <c r="AZ41" i="39"/>
  <c r="AY41" i="39"/>
  <c r="AX41" i="39"/>
  <c r="AW41" i="39"/>
  <c r="AV41" i="39"/>
  <c r="AU41" i="39"/>
  <c r="AT41" i="39"/>
  <c r="AS41" i="39"/>
  <c r="AR41" i="39"/>
  <c r="AQ41" i="39"/>
  <c r="AP41" i="39"/>
  <c r="AO41" i="39"/>
  <c r="AN41" i="39"/>
  <c r="AM41" i="39"/>
  <c r="AL41" i="39"/>
  <c r="AK41" i="39"/>
  <c r="AJ41" i="39"/>
  <c r="AI41" i="39"/>
  <c r="B41" i="39"/>
  <c r="BB40" i="39"/>
  <c r="BA40" i="39"/>
  <c r="AZ40" i="39"/>
  <c r="AY40" i="39"/>
  <c r="AX40" i="39"/>
  <c r="AW40" i="39"/>
  <c r="AV40" i="39"/>
  <c r="AU40" i="39"/>
  <c r="AT40" i="39"/>
  <c r="AS40" i="39"/>
  <c r="AR40" i="39"/>
  <c r="AQ40" i="39"/>
  <c r="AP40" i="39"/>
  <c r="AO40" i="39"/>
  <c r="AN40" i="39"/>
  <c r="AM40" i="39"/>
  <c r="AL40" i="39"/>
  <c r="AK40" i="39"/>
  <c r="AJ40" i="39"/>
  <c r="AI40" i="39"/>
  <c r="B40" i="39"/>
  <c r="BB39" i="39"/>
  <c r="BA39" i="39"/>
  <c r="AZ39" i="39"/>
  <c r="AY39" i="39"/>
  <c r="AX39" i="39"/>
  <c r="AW39" i="39"/>
  <c r="AV39" i="39"/>
  <c r="AU39" i="39"/>
  <c r="AT39" i="39"/>
  <c r="AS39" i="39"/>
  <c r="AR39" i="39"/>
  <c r="AQ39" i="39"/>
  <c r="AP39" i="39"/>
  <c r="AO39" i="39"/>
  <c r="AN39" i="39"/>
  <c r="AM39" i="39"/>
  <c r="AL39" i="39"/>
  <c r="AK39" i="39"/>
  <c r="AJ39" i="39"/>
  <c r="AI39" i="39"/>
  <c r="B39" i="39"/>
  <c r="BB38" i="39"/>
  <c r="BA38" i="39"/>
  <c r="AZ38" i="39"/>
  <c r="AY38" i="39"/>
  <c r="AX38" i="39"/>
  <c r="AW38" i="39"/>
  <c r="AV38" i="39"/>
  <c r="AU38" i="39"/>
  <c r="AT38" i="39"/>
  <c r="AS38" i="39"/>
  <c r="AR38" i="39"/>
  <c r="AQ38" i="39"/>
  <c r="AP38" i="39"/>
  <c r="AO38" i="39"/>
  <c r="AN38" i="39"/>
  <c r="AM38" i="39"/>
  <c r="AL38" i="39"/>
  <c r="AK38" i="39"/>
  <c r="AJ38" i="39"/>
  <c r="AI38" i="39"/>
  <c r="B38" i="39"/>
  <c r="BB37" i="39"/>
  <c r="BA37" i="39"/>
  <c r="AZ37" i="39"/>
  <c r="AY37" i="39"/>
  <c r="AX37" i="39"/>
  <c r="AW37" i="39"/>
  <c r="AV37" i="39"/>
  <c r="AU37" i="39"/>
  <c r="AT37" i="39"/>
  <c r="AS37" i="39"/>
  <c r="AR37" i="39"/>
  <c r="AQ37" i="39"/>
  <c r="AP37" i="39"/>
  <c r="AO37" i="39"/>
  <c r="AN37" i="39"/>
  <c r="AM37" i="39"/>
  <c r="AL37" i="39"/>
  <c r="AK37" i="39"/>
  <c r="AJ37" i="39"/>
  <c r="AI37" i="39"/>
  <c r="B37" i="39"/>
  <c r="BB36" i="39"/>
  <c r="BA36" i="39"/>
  <c r="AZ36" i="39"/>
  <c r="AY36" i="39"/>
  <c r="AX36" i="39"/>
  <c r="AW36" i="39"/>
  <c r="AV36" i="39"/>
  <c r="AU36" i="39"/>
  <c r="AT36" i="39"/>
  <c r="AS36" i="39"/>
  <c r="AR36" i="39"/>
  <c r="AQ36" i="39"/>
  <c r="AP36" i="39"/>
  <c r="AO36" i="39"/>
  <c r="AN36" i="39"/>
  <c r="AM36" i="39"/>
  <c r="AL36" i="39"/>
  <c r="AK36" i="39"/>
  <c r="AJ36" i="39"/>
  <c r="AI36" i="39"/>
  <c r="B36" i="39"/>
  <c r="BB35" i="39"/>
  <c r="BA35" i="39"/>
  <c r="AZ35" i="39"/>
  <c r="AY35" i="39"/>
  <c r="AX35" i="39"/>
  <c r="AW35" i="39"/>
  <c r="AV35" i="39"/>
  <c r="AU35" i="39"/>
  <c r="AT35" i="39"/>
  <c r="AS35" i="39"/>
  <c r="AR35" i="39"/>
  <c r="AQ35" i="39"/>
  <c r="AP35" i="39"/>
  <c r="AO35" i="39"/>
  <c r="AN35" i="39"/>
  <c r="AM35" i="39"/>
  <c r="AL35" i="39"/>
  <c r="AK35" i="39"/>
  <c r="AJ35" i="39"/>
  <c r="AI35" i="39"/>
  <c r="B35" i="39"/>
  <c r="BB34" i="39"/>
  <c r="BA34" i="39"/>
  <c r="AZ34" i="39"/>
  <c r="AY34" i="39"/>
  <c r="AX34" i="39"/>
  <c r="AW34" i="39"/>
  <c r="AV34" i="39"/>
  <c r="AU34" i="39"/>
  <c r="AT34" i="39"/>
  <c r="AS34" i="39"/>
  <c r="AR34" i="39"/>
  <c r="AQ34" i="39"/>
  <c r="AP34" i="39"/>
  <c r="AO34" i="39"/>
  <c r="AN34" i="39"/>
  <c r="AM34" i="39"/>
  <c r="AL34" i="39"/>
  <c r="AK34" i="39"/>
  <c r="AJ34" i="39"/>
  <c r="AI34" i="39"/>
  <c r="B34" i="39"/>
  <c r="BB33" i="39"/>
  <c r="BA33" i="39"/>
  <c r="AZ33" i="39"/>
  <c r="AY33" i="39"/>
  <c r="AX33" i="39"/>
  <c r="AW33" i="39"/>
  <c r="AV33" i="39"/>
  <c r="AU33" i="39"/>
  <c r="AT33" i="39"/>
  <c r="AS33" i="39"/>
  <c r="AR33" i="39"/>
  <c r="AQ33" i="39"/>
  <c r="AP33" i="39"/>
  <c r="AO33" i="39"/>
  <c r="AN33" i="39"/>
  <c r="AM33" i="39"/>
  <c r="AL33" i="39"/>
  <c r="AK33" i="39"/>
  <c r="AJ33" i="39"/>
  <c r="AI33" i="39"/>
  <c r="B33" i="39"/>
  <c r="BB32" i="39"/>
  <c r="BA32" i="39"/>
  <c r="AZ32" i="39"/>
  <c r="AY32" i="39"/>
  <c r="AX32" i="39"/>
  <c r="AW32" i="39"/>
  <c r="AV32" i="39"/>
  <c r="AU32" i="39"/>
  <c r="AT32" i="39"/>
  <c r="AS32" i="39"/>
  <c r="AR32" i="39"/>
  <c r="AQ32" i="39"/>
  <c r="AP32" i="39"/>
  <c r="AO32" i="39"/>
  <c r="AN32" i="39"/>
  <c r="AM32" i="39"/>
  <c r="AL32" i="39"/>
  <c r="AK32" i="39"/>
  <c r="AJ32" i="39"/>
  <c r="AI32" i="39"/>
  <c r="B32" i="39"/>
  <c r="BB31" i="39"/>
  <c r="BA31" i="39"/>
  <c r="AZ31" i="39"/>
  <c r="AY31" i="39"/>
  <c r="AX31" i="39"/>
  <c r="AW31" i="39"/>
  <c r="AV31" i="39"/>
  <c r="AU31" i="39"/>
  <c r="AT31" i="39"/>
  <c r="AS31" i="39"/>
  <c r="AR31" i="39"/>
  <c r="AQ31" i="39"/>
  <c r="AP31" i="39"/>
  <c r="AO31" i="39"/>
  <c r="AN31" i="39"/>
  <c r="AM31" i="39"/>
  <c r="AL31" i="39"/>
  <c r="AK31" i="39"/>
  <c r="AJ31" i="39"/>
  <c r="AI31" i="39"/>
  <c r="B31" i="39"/>
  <c r="BB30" i="39"/>
  <c r="BA30" i="39"/>
  <c r="AZ30" i="39"/>
  <c r="AY30" i="39"/>
  <c r="AX30" i="39"/>
  <c r="AW30" i="39"/>
  <c r="AV30" i="39"/>
  <c r="AU30" i="39"/>
  <c r="AT30" i="39"/>
  <c r="AS30" i="39"/>
  <c r="AR30" i="39"/>
  <c r="AQ30" i="39"/>
  <c r="AP30" i="39"/>
  <c r="AO30" i="39"/>
  <c r="AN30" i="39"/>
  <c r="AM30" i="39"/>
  <c r="AL30" i="39"/>
  <c r="AK30" i="39"/>
  <c r="AJ30" i="39"/>
  <c r="AI30" i="39"/>
  <c r="B30" i="39"/>
  <c r="BB29" i="39"/>
  <c r="BA29" i="39"/>
  <c r="AZ29" i="39"/>
  <c r="AY29" i="39"/>
  <c r="AX29" i="39"/>
  <c r="AW29" i="39"/>
  <c r="AV29" i="39"/>
  <c r="AU29" i="39"/>
  <c r="AT29" i="39"/>
  <c r="AS29" i="39"/>
  <c r="AR29" i="39"/>
  <c r="AQ29" i="39"/>
  <c r="AP29" i="39"/>
  <c r="AO29" i="39"/>
  <c r="AN29" i="39"/>
  <c r="AM29" i="39"/>
  <c r="AL29" i="39"/>
  <c r="AK29" i="39"/>
  <c r="AJ29" i="39"/>
  <c r="AI29" i="39"/>
  <c r="B29" i="39"/>
  <c r="BB28" i="39"/>
  <c r="BA28" i="39"/>
  <c r="AZ28" i="39"/>
  <c r="AY28" i="39"/>
  <c r="AX28" i="39"/>
  <c r="AW28" i="39"/>
  <c r="AV28" i="39"/>
  <c r="AU28" i="39"/>
  <c r="AT28" i="39"/>
  <c r="AS28" i="39"/>
  <c r="AR28" i="39"/>
  <c r="AQ28" i="39"/>
  <c r="AP28" i="39"/>
  <c r="AO28" i="39"/>
  <c r="AN28" i="39"/>
  <c r="AM28" i="39"/>
  <c r="AL28" i="39"/>
  <c r="AK28" i="39"/>
  <c r="AJ28" i="39"/>
  <c r="AI28" i="39"/>
  <c r="B28" i="39"/>
  <c r="BB27" i="39"/>
  <c r="BA27" i="39"/>
  <c r="AZ27" i="39"/>
  <c r="AY27" i="39"/>
  <c r="AX27" i="39"/>
  <c r="AW27" i="39"/>
  <c r="AV27" i="39"/>
  <c r="AU27" i="39"/>
  <c r="AT27" i="39"/>
  <c r="AS27" i="39"/>
  <c r="AR27" i="39"/>
  <c r="AQ27" i="39"/>
  <c r="AP27" i="39"/>
  <c r="AO27" i="39"/>
  <c r="AN27" i="39"/>
  <c r="AM27" i="39"/>
  <c r="AL27" i="39"/>
  <c r="AK27" i="39"/>
  <c r="AJ27" i="39"/>
  <c r="AI27" i="39"/>
  <c r="B27" i="39"/>
  <c r="BB26" i="39"/>
  <c r="BA26" i="39"/>
  <c r="AZ26" i="39"/>
  <c r="AY26" i="39"/>
  <c r="AX26" i="39"/>
  <c r="AW26" i="39"/>
  <c r="AV26" i="39"/>
  <c r="AU26" i="39"/>
  <c r="AT26" i="39"/>
  <c r="AS26" i="39"/>
  <c r="AR26" i="39"/>
  <c r="AQ26" i="39"/>
  <c r="AP26" i="39"/>
  <c r="AO26" i="39"/>
  <c r="AN26" i="39"/>
  <c r="AM26" i="39"/>
  <c r="AL26" i="39"/>
  <c r="AK26" i="39"/>
  <c r="AJ26" i="39"/>
  <c r="AI26" i="39"/>
  <c r="B26" i="39"/>
  <c r="BB25" i="39"/>
  <c r="BA25" i="39"/>
  <c r="AZ25" i="39"/>
  <c r="AY25" i="39"/>
  <c r="AX25" i="39"/>
  <c r="AW25" i="39"/>
  <c r="AV25" i="39"/>
  <c r="AU25" i="39"/>
  <c r="AT25" i="39"/>
  <c r="AS25" i="39"/>
  <c r="AR25" i="39"/>
  <c r="AQ25" i="39"/>
  <c r="AP25" i="39"/>
  <c r="AO25" i="39"/>
  <c r="AN25" i="39"/>
  <c r="AM25" i="39"/>
  <c r="AL25" i="39"/>
  <c r="AK25" i="39"/>
  <c r="AJ25" i="39"/>
  <c r="AI25" i="39"/>
  <c r="B25" i="39"/>
  <c r="BB24" i="39"/>
  <c r="BA24" i="39"/>
  <c r="AZ24" i="39"/>
  <c r="AY24" i="39"/>
  <c r="AX24" i="39"/>
  <c r="AW24" i="39"/>
  <c r="AV24" i="39"/>
  <c r="AU24" i="39"/>
  <c r="AT24" i="39"/>
  <c r="AS24" i="39"/>
  <c r="AR24" i="39"/>
  <c r="AQ24" i="39"/>
  <c r="AP24" i="39"/>
  <c r="AO24" i="39"/>
  <c r="AN24" i="39"/>
  <c r="AM24" i="39"/>
  <c r="AL24" i="39"/>
  <c r="AK24" i="39"/>
  <c r="AJ24" i="39"/>
  <c r="AI24" i="39"/>
  <c r="B24" i="39"/>
  <c r="BB23" i="39"/>
  <c r="BA23" i="39"/>
  <c r="AZ23" i="39"/>
  <c r="AY23" i="39"/>
  <c r="AX23" i="39"/>
  <c r="AW23" i="39"/>
  <c r="AV23" i="39"/>
  <c r="AU23" i="39"/>
  <c r="AT23" i="39"/>
  <c r="AS23" i="39"/>
  <c r="AR23" i="39"/>
  <c r="AQ23" i="39"/>
  <c r="AP23" i="39"/>
  <c r="AO23" i="39"/>
  <c r="AN23" i="39"/>
  <c r="AM23" i="39"/>
  <c r="AL23" i="39"/>
  <c r="AK23" i="39"/>
  <c r="AJ23" i="39"/>
  <c r="AI23" i="39"/>
  <c r="B23" i="39"/>
  <c r="BB22" i="39"/>
  <c r="BA22" i="39"/>
  <c r="AZ22" i="39"/>
  <c r="AY22" i="39"/>
  <c r="AX22" i="39"/>
  <c r="AW22" i="39"/>
  <c r="AV22" i="39"/>
  <c r="AU22" i="39"/>
  <c r="AT22" i="39"/>
  <c r="AS22" i="39"/>
  <c r="AR22" i="39"/>
  <c r="AQ22" i="39"/>
  <c r="AP22" i="39"/>
  <c r="AO22" i="39"/>
  <c r="AN22" i="39"/>
  <c r="AM22" i="39"/>
  <c r="AL22" i="39"/>
  <c r="AK22" i="39"/>
  <c r="AJ22" i="39"/>
  <c r="AI22" i="39"/>
  <c r="B22" i="39"/>
  <c r="BB21" i="39"/>
  <c r="BA21" i="39"/>
  <c r="AZ21" i="39"/>
  <c r="AY21" i="39"/>
  <c r="AX21" i="39"/>
  <c r="AW21" i="39"/>
  <c r="AV21" i="39"/>
  <c r="AU21" i="39"/>
  <c r="AT21" i="39"/>
  <c r="AS21" i="39"/>
  <c r="AR21" i="39"/>
  <c r="AQ21" i="39"/>
  <c r="AP21" i="39"/>
  <c r="AO21" i="39"/>
  <c r="AN21" i="39"/>
  <c r="AM21" i="39"/>
  <c r="AL21" i="39"/>
  <c r="AK21" i="39"/>
  <c r="AJ21" i="39"/>
  <c r="AI21" i="39"/>
  <c r="B21" i="39"/>
  <c r="BB20" i="39"/>
  <c r="BA20" i="39"/>
  <c r="AZ20" i="39"/>
  <c r="AY20" i="39"/>
  <c r="AX20" i="39"/>
  <c r="AW20" i="39"/>
  <c r="AV20" i="39"/>
  <c r="AU20" i="39"/>
  <c r="AT20" i="39"/>
  <c r="AS20" i="39"/>
  <c r="AR20" i="39"/>
  <c r="AQ20" i="39"/>
  <c r="AP20" i="39"/>
  <c r="AO20" i="39"/>
  <c r="AN20" i="39"/>
  <c r="AM20" i="39"/>
  <c r="AL20" i="39"/>
  <c r="AK20" i="39"/>
  <c r="AJ20" i="39"/>
  <c r="AI20" i="39"/>
  <c r="B20" i="39"/>
  <c r="BB19" i="39"/>
  <c r="BA19" i="39"/>
  <c r="AZ19" i="39"/>
  <c r="AY19" i="39"/>
  <c r="AX19" i="39"/>
  <c r="AW19" i="39"/>
  <c r="AV19" i="39"/>
  <c r="AU19" i="39"/>
  <c r="AT19" i="39"/>
  <c r="AS19" i="39"/>
  <c r="AR19" i="39"/>
  <c r="AQ19" i="39"/>
  <c r="AP19" i="39"/>
  <c r="AO19" i="39"/>
  <c r="AN19" i="39"/>
  <c r="AM19" i="39"/>
  <c r="AL19" i="39"/>
  <c r="AK19" i="39"/>
  <c r="AJ19" i="39"/>
  <c r="AI19" i="39"/>
  <c r="B19" i="39"/>
  <c r="BB18" i="39"/>
  <c r="BA18" i="39"/>
  <c r="AZ18" i="39"/>
  <c r="AY18" i="39"/>
  <c r="AX18" i="39"/>
  <c r="AW18" i="39"/>
  <c r="AV18" i="39"/>
  <c r="AU18" i="39"/>
  <c r="AT18" i="39"/>
  <c r="AS18" i="39"/>
  <c r="AR18" i="39"/>
  <c r="AQ18" i="39"/>
  <c r="AP18" i="39"/>
  <c r="AO18" i="39"/>
  <c r="AN18" i="39"/>
  <c r="AM18" i="39"/>
  <c r="AL18" i="39"/>
  <c r="AK18" i="39"/>
  <c r="AJ18" i="39"/>
  <c r="AI18" i="39"/>
  <c r="B18" i="39"/>
  <c r="BB17" i="39"/>
  <c r="BA17" i="39"/>
  <c r="AZ17" i="39"/>
  <c r="AY17" i="39"/>
  <c r="AX17" i="39"/>
  <c r="AW17" i="39"/>
  <c r="AV17" i="39"/>
  <c r="AU17" i="39"/>
  <c r="AT17" i="39"/>
  <c r="AS17" i="39"/>
  <c r="AR17" i="39"/>
  <c r="AQ17" i="39"/>
  <c r="AP17" i="39"/>
  <c r="AO17" i="39"/>
  <c r="AN17" i="39"/>
  <c r="AM17" i="39"/>
  <c r="AL17" i="39"/>
  <c r="AK17" i="39"/>
  <c r="AJ17" i="39"/>
  <c r="AI17" i="39"/>
  <c r="B17" i="39"/>
  <c r="BB16" i="39"/>
  <c r="BA16" i="39"/>
  <c r="AZ16" i="39"/>
  <c r="AY16" i="39"/>
  <c r="AX16" i="39"/>
  <c r="AW16" i="39"/>
  <c r="AV16" i="39"/>
  <c r="AU16" i="39"/>
  <c r="AT16" i="39"/>
  <c r="AS16" i="39"/>
  <c r="AR16" i="39"/>
  <c r="AQ16" i="39"/>
  <c r="AP16" i="39"/>
  <c r="AO16" i="39"/>
  <c r="AN16" i="39"/>
  <c r="AM16" i="39"/>
  <c r="AL16" i="39"/>
  <c r="AK16" i="39"/>
  <c r="AJ16" i="39"/>
  <c r="AI16" i="39"/>
  <c r="B16" i="39"/>
  <c r="BB15" i="39"/>
  <c r="BA15" i="39"/>
  <c r="AZ15" i="39"/>
  <c r="AY15" i="39"/>
  <c r="AX15" i="39"/>
  <c r="AW15" i="39"/>
  <c r="AV15" i="39"/>
  <c r="AU15" i="39"/>
  <c r="AT15" i="39"/>
  <c r="AS15" i="39"/>
  <c r="AR15" i="39"/>
  <c r="AQ15" i="39"/>
  <c r="AP15" i="39"/>
  <c r="AO15" i="39"/>
  <c r="AN15" i="39"/>
  <c r="AM15" i="39"/>
  <c r="AL15" i="39"/>
  <c r="AK15" i="39"/>
  <c r="AJ15" i="39"/>
  <c r="AI15" i="39"/>
  <c r="B15" i="39"/>
  <c r="BB14" i="39"/>
  <c r="BA14" i="39"/>
  <c r="AZ14" i="39"/>
  <c r="AY14" i="39"/>
  <c r="AX14" i="39"/>
  <c r="AW14" i="39"/>
  <c r="AV14" i="39"/>
  <c r="AU14" i="39"/>
  <c r="AT14" i="39"/>
  <c r="AS14" i="39"/>
  <c r="AR14" i="39"/>
  <c r="AQ14" i="39"/>
  <c r="AP14" i="39"/>
  <c r="AO14" i="39"/>
  <c r="AN14" i="39"/>
  <c r="AM14" i="39"/>
  <c r="AL14" i="39"/>
  <c r="AK14" i="39"/>
  <c r="AJ14" i="39"/>
  <c r="AI14" i="39"/>
  <c r="B14" i="39"/>
  <c r="BB13" i="39"/>
  <c r="BA13" i="39"/>
  <c r="AZ13" i="39"/>
  <c r="AY13" i="39"/>
  <c r="AX13" i="39"/>
  <c r="AW13" i="39"/>
  <c r="AV13" i="39"/>
  <c r="AU13" i="39"/>
  <c r="AT13" i="39"/>
  <c r="AS13" i="39"/>
  <c r="AR13" i="39"/>
  <c r="AQ13" i="39"/>
  <c r="AP13" i="39"/>
  <c r="AO13" i="39"/>
  <c r="AN13" i="39"/>
  <c r="AM13" i="39"/>
  <c r="AL13" i="39"/>
  <c r="AK13" i="39"/>
  <c r="AJ13" i="39"/>
  <c r="AI13" i="39"/>
  <c r="B13" i="39"/>
  <c r="BB12" i="39"/>
  <c r="BA12" i="39"/>
  <c r="AZ12" i="39"/>
  <c r="AY12" i="39"/>
  <c r="AX12" i="39"/>
  <c r="AW12" i="39"/>
  <c r="AV12" i="39"/>
  <c r="AU12" i="39"/>
  <c r="AT12" i="39"/>
  <c r="AS12" i="39"/>
  <c r="AR12" i="39"/>
  <c r="AQ12" i="39"/>
  <c r="AP12" i="39"/>
  <c r="AO12" i="39"/>
  <c r="AN12" i="39"/>
  <c r="AM12" i="39"/>
  <c r="AL12" i="39"/>
  <c r="AK12" i="39"/>
  <c r="AJ12" i="39"/>
  <c r="AI12" i="39"/>
  <c r="B12" i="39"/>
  <c r="BB11" i="39"/>
  <c r="BA11" i="39"/>
  <c r="AZ11" i="39"/>
  <c r="AY11" i="39"/>
  <c r="AX11" i="39"/>
  <c r="AW11" i="39"/>
  <c r="AV11" i="39"/>
  <c r="AU11" i="39"/>
  <c r="AT11" i="39"/>
  <c r="AS11" i="39"/>
  <c r="AR11" i="39"/>
  <c r="AQ11" i="39"/>
  <c r="AP11" i="39"/>
  <c r="AO11" i="39"/>
  <c r="AN11" i="39"/>
  <c r="AM11" i="39"/>
  <c r="AL11" i="39"/>
  <c r="AK11" i="39"/>
  <c r="AJ11" i="39"/>
  <c r="AI11" i="39"/>
  <c r="B11" i="39"/>
  <c r="BB10" i="39"/>
  <c r="BA10" i="39"/>
  <c r="AZ10" i="39"/>
  <c r="AY10" i="39"/>
  <c r="AX10" i="39"/>
  <c r="AW10" i="39"/>
  <c r="AV10" i="39"/>
  <c r="AU10" i="39"/>
  <c r="AT10" i="39"/>
  <c r="AS10" i="39"/>
  <c r="AR10" i="39"/>
  <c r="AQ10" i="39"/>
  <c r="AP10" i="39"/>
  <c r="AO10" i="39"/>
  <c r="AN10" i="39"/>
  <c r="AM10" i="39"/>
  <c r="AL10" i="39"/>
  <c r="AK10" i="39"/>
  <c r="AJ10" i="39"/>
  <c r="AI10" i="39"/>
  <c r="B10" i="39"/>
  <c r="BB9" i="39"/>
  <c r="BA9" i="39"/>
  <c r="AZ9" i="39"/>
  <c r="AY9" i="39"/>
  <c r="AX9" i="39"/>
  <c r="AW9" i="39"/>
  <c r="AV9" i="39"/>
  <c r="AU9" i="39"/>
  <c r="AT9" i="39"/>
  <c r="AS9" i="39"/>
  <c r="AR9" i="39"/>
  <c r="AQ9" i="39"/>
  <c r="AP9" i="39"/>
  <c r="AO9" i="39"/>
  <c r="AN9" i="39"/>
  <c r="AM9" i="39"/>
  <c r="AL9" i="39"/>
  <c r="AK9" i="39"/>
  <c r="AJ9" i="39"/>
  <c r="AI9" i="39"/>
  <c r="B9" i="39"/>
  <c r="BB8" i="39"/>
  <c r="BA8" i="39"/>
  <c r="AZ8" i="39"/>
  <c r="AY8" i="39"/>
  <c r="AX8" i="39"/>
  <c r="AW8" i="39"/>
  <c r="AV8" i="39"/>
  <c r="AU8" i="39"/>
  <c r="AT8" i="39"/>
  <c r="AS8" i="39"/>
  <c r="AR8" i="39"/>
  <c r="AQ8" i="39"/>
  <c r="AP8" i="39"/>
  <c r="AO8" i="39"/>
  <c r="AN8" i="39"/>
  <c r="AM8" i="39"/>
  <c r="AL8" i="39"/>
  <c r="AK8" i="39"/>
  <c r="AJ8" i="39"/>
  <c r="AI8" i="39"/>
  <c r="B8" i="39"/>
  <c r="BB7" i="39"/>
  <c r="BA7" i="39"/>
  <c r="AZ7" i="39"/>
  <c r="AY7" i="39"/>
  <c r="AX7" i="39"/>
  <c r="AW7" i="39"/>
  <c r="AV7" i="39"/>
  <c r="AU7" i="39"/>
  <c r="AT7" i="39"/>
  <c r="AS7" i="39"/>
  <c r="AR7" i="39"/>
  <c r="AQ7" i="39"/>
  <c r="AP7" i="39"/>
  <c r="AO7" i="39"/>
  <c r="AN7" i="39"/>
  <c r="AM7" i="39"/>
  <c r="AL7" i="39"/>
  <c r="AK7" i="39"/>
  <c r="AJ7" i="39"/>
  <c r="AI7" i="39"/>
  <c r="B7" i="39"/>
  <c r="BB6" i="39"/>
  <c r="BA6" i="39"/>
  <c r="AZ6" i="39"/>
  <c r="AY6" i="39"/>
  <c r="AX6" i="39"/>
  <c r="AW6" i="39"/>
  <c r="AV6" i="39"/>
  <c r="AU6" i="39"/>
  <c r="AT6" i="39"/>
  <c r="AS6" i="39"/>
  <c r="AR6" i="39"/>
  <c r="AQ6" i="39"/>
  <c r="AP6" i="39"/>
  <c r="AO6" i="39"/>
  <c r="AN6" i="39"/>
  <c r="AM6" i="39"/>
  <c r="AL6" i="39"/>
  <c r="AK6" i="39"/>
  <c r="AJ6" i="39"/>
  <c r="AI6" i="39"/>
  <c r="B6" i="39"/>
  <c r="BB5" i="39"/>
  <c r="BA5" i="39"/>
  <c r="AZ5" i="39"/>
  <c r="AY5" i="39"/>
  <c r="AX5" i="39"/>
  <c r="AW5" i="39"/>
  <c r="AV5" i="39"/>
  <c r="AU5" i="39"/>
  <c r="AT5" i="39"/>
  <c r="AS5" i="39"/>
  <c r="AR5" i="39"/>
  <c r="AQ5" i="39"/>
  <c r="AP5" i="39"/>
  <c r="AO5" i="39"/>
  <c r="AN5" i="39"/>
  <c r="AM5" i="39"/>
  <c r="AL5" i="39"/>
  <c r="AK5" i="39"/>
  <c r="AJ5" i="39"/>
  <c r="AI5" i="39"/>
  <c r="B5" i="39"/>
  <c r="BB4" i="39"/>
  <c r="BA4" i="39"/>
  <c r="AZ4" i="39"/>
  <c r="AY4" i="39"/>
  <c r="AX4" i="39"/>
  <c r="AW4" i="39"/>
  <c r="AV4" i="39"/>
  <c r="AU4" i="39"/>
  <c r="AT4" i="39"/>
  <c r="AS4" i="39"/>
  <c r="AR4" i="39"/>
  <c r="AQ4" i="39"/>
  <c r="AP4" i="39"/>
  <c r="AO4" i="39"/>
  <c r="AN4" i="39"/>
  <c r="AM4" i="39"/>
  <c r="AL4" i="39"/>
  <c r="AK4" i="39"/>
  <c r="AJ4" i="39"/>
  <c r="AI4" i="39"/>
  <c r="B4" i="39"/>
  <c r="BB3" i="39"/>
  <c r="BA3" i="39"/>
  <c r="AZ3" i="39"/>
  <c r="AY3" i="39"/>
  <c r="AX3" i="39"/>
  <c r="AW3" i="39"/>
  <c r="AV3" i="39"/>
  <c r="AU3" i="39"/>
  <c r="AT3" i="39"/>
  <c r="AS3" i="39"/>
  <c r="AR3" i="39"/>
  <c r="AQ3" i="39"/>
  <c r="AP3" i="39"/>
  <c r="AO3" i="39"/>
  <c r="AN3" i="39"/>
  <c r="AM3" i="39"/>
  <c r="AL3" i="39"/>
  <c r="AK3" i="39"/>
  <c r="AJ3" i="39"/>
  <c r="AI3" i="39"/>
  <c r="B3" i="39"/>
  <c r="BB2" i="39"/>
  <c r="BA2" i="39"/>
  <c r="AZ2" i="39"/>
  <c r="AY2" i="39"/>
  <c r="AX2" i="39"/>
  <c r="AW2" i="39"/>
  <c r="AV2" i="39"/>
  <c r="AU2" i="39"/>
  <c r="AT2" i="39"/>
  <c r="AS2" i="39"/>
  <c r="AR2" i="39"/>
  <c r="AQ2" i="39"/>
  <c r="AP2" i="39"/>
  <c r="AO2" i="39"/>
  <c r="AN2" i="39"/>
  <c r="AM2" i="39"/>
  <c r="AL2" i="39"/>
  <c r="AK2" i="39"/>
  <c r="AJ2" i="39"/>
  <c r="AI2" i="39"/>
  <c r="B2" i="39"/>
  <c r="AW1" i="39"/>
  <c r="AV1" i="39"/>
  <c r="AU1" i="39"/>
  <c r="AT1" i="39"/>
  <c r="AS1" i="39"/>
  <c r="AR1" i="39"/>
  <c r="AQ1" i="39"/>
  <c r="AP1" i="39"/>
  <c r="AO1" i="39"/>
  <c r="E1" i="27" s="1"/>
  <c r="O1" i="27" s="1"/>
  <c r="AN1" i="39"/>
  <c r="F1" i="27" s="1"/>
  <c r="P1" i="27" s="1"/>
  <c r="AM1" i="39"/>
  <c r="AL1" i="39"/>
  <c r="AK1" i="39"/>
  <c r="AJ1" i="39"/>
  <c r="AI1" i="39"/>
  <c r="Q2" i="27"/>
  <c r="Q3" i="27"/>
  <c r="Q4" i="27"/>
  <c r="Q5" i="27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Q67" i="27"/>
  <c r="Q68" i="27"/>
  <c r="Q69" i="27"/>
  <c r="Q70" i="27"/>
  <c r="Q71" i="27"/>
  <c r="Q72" i="27"/>
  <c r="Q73" i="27"/>
  <c r="Q74" i="27"/>
  <c r="Q75" i="27"/>
  <c r="Q76" i="27"/>
  <c r="Q77" i="27"/>
  <c r="Q78" i="27"/>
  <c r="Q79" i="27"/>
  <c r="Q80" i="27"/>
  <c r="Q81" i="27"/>
  <c r="Q82" i="27"/>
  <c r="Q83" i="27"/>
  <c r="Q84" i="27"/>
  <c r="Q85" i="27"/>
  <c r="Q86" i="27"/>
  <c r="Q87" i="27"/>
  <c r="Q88" i="27"/>
  <c r="Q89" i="27"/>
  <c r="Q90" i="27"/>
  <c r="Q91" i="27"/>
  <c r="Q92" i="27"/>
  <c r="Q93" i="27"/>
  <c r="Q94" i="27"/>
  <c r="Q95" i="27"/>
  <c r="Q96" i="27"/>
  <c r="Q97" i="27"/>
  <c r="U2" i="27"/>
  <c r="U3" i="27"/>
  <c r="U4" i="27"/>
  <c r="U5" i="27"/>
  <c r="U6" i="27"/>
  <c r="U7" i="27"/>
  <c r="U8" i="27"/>
  <c r="U9" i="27"/>
  <c r="U10" i="27"/>
  <c r="U11" i="27"/>
  <c r="U12" i="27"/>
  <c r="U13" i="27"/>
  <c r="U14" i="27"/>
  <c r="U15" i="27"/>
  <c r="U16" i="27"/>
  <c r="U17" i="27"/>
  <c r="U18" i="27"/>
  <c r="U19" i="27"/>
  <c r="U20" i="27"/>
  <c r="U21" i="27"/>
  <c r="U22" i="27"/>
  <c r="U23" i="27"/>
  <c r="U24" i="27"/>
  <c r="U25" i="27"/>
  <c r="U26" i="27"/>
  <c r="U27" i="27"/>
  <c r="U28" i="27"/>
  <c r="U29" i="27"/>
  <c r="U30" i="27"/>
  <c r="U31" i="27"/>
  <c r="U32" i="27"/>
  <c r="U33" i="27"/>
  <c r="U34" i="27"/>
  <c r="U35" i="27"/>
  <c r="U36" i="27"/>
  <c r="U37" i="27"/>
  <c r="U38" i="27"/>
  <c r="U39" i="27"/>
  <c r="U40" i="27"/>
  <c r="U41" i="27"/>
  <c r="U42" i="27"/>
  <c r="U43" i="27"/>
  <c r="U44" i="27"/>
  <c r="U45" i="27"/>
  <c r="U46" i="27"/>
  <c r="U47" i="27"/>
  <c r="U48" i="27"/>
  <c r="U49" i="27"/>
  <c r="U50" i="27"/>
  <c r="U51" i="27"/>
  <c r="U52" i="27"/>
  <c r="U53" i="27"/>
  <c r="U54" i="27"/>
  <c r="U55" i="27"/>
  <c r="U56" i="27"/>
  <c r="U57" i="27"/>
  <c r="U58" i="27"/>
  <c r="U59" i="27"/>
  <c r="U60" i="27"/>
  <c r="U61" i="27"/>
  <c r="U62" i="27"/>
  <c r="U63" i="27"/>
  <c r="U64" i="27"/>
  <c r="U65" i="27"/>
  <c r="U66" i="27"/>
  <c r="U67" i="27"/>
  <c r="U68" i="27"/>
  <c r="U69" i="27"/>
  <c r="U70" i="27"/>
  <c r="U71" i="27"/>
  <c r="U72" i="27"/>
  <c r="U73" i="27"/>
  <c r="U74" i="27"/>
  <c r="U75" i="27"/>
  <c r="U76" i="27"/>
  <c r="U77" i="27"/>
  <c r="U78" i="27"/>
  <c r="U79" i="27"/>
  <c r="U80" i="27"/>
  <c r="U81" i="27"/>
  <c r="U82" i="27"/>
  <c r="U83" i="27"/>
  <c r="U84" i="27"/>
  <c r="U85" i="27"/>
  <c r="U86" i="27"/>
  <c r="U87" i="27"/>
  <c r="U88" i="27"/>
  <c r="U89" i="27"/>
  <c r="U90" i="27"/>
  <c r="U91" i="27"/>
  <c r="U92" i="27"/>
  <c r="U93" i="27"/>
  <c r="U94" i="27"/>
  <c r="U95" i="27"/>
  <c r="U96" i="27"/>
  <c r="U97" i="27"/>
  <c r="V1" i="27"/>
  <c r="U1" i="27"/>
  <c r="DK60" i="6"/>
  <c r="DJ60" i="6"/>
  <c r="DF60" i="6"/>
  <c r="DE60" i="6"/>
  <c r="DA33" i="6"/>
  <c r="DA34" i="6" s="1"/>
  <c r="DA35" i="6" s="1"/>
  <c r="DA36" i="6" s="1"/>
  <c r="DA37" i="6" s="1"/>
  <c r="DA38" i="6" s="1"/>
  <c r="DA39" i="6" s="1"/>
  <c r="DA40" i="6" s="1"/>
  <c r="DA41" i="6" s="1"/>
  <c r="DA42" i="6" s="1"/>
  <c r="DA43" i="6" s="1"/>
  <c r="DA44" i="6" s="1"/>
  <c r="DA45" i="6" s="1"/>
  <c r="DA46" i="6" s="1"/>
  <c r="DA47" i="6" s="1"/>
  <c r="DA48" i="6" s="1"/>
  <c r="DA49" i="6" s="1"/>
  <c r="DA50" i="6" s="1"/>
  <c r="DA53" i="6" s="1"/>
  <c r="DA6" i="6"/>
  <c r="DA7" i="6" s="1"/>
  <c r="DA8" i="6" s="1"/>
  <c r="DA9" i="6" s="1"/>
  <c r="DA10" i="6" s="1"/>
  <c r="DA11" i="6" s="1"/>
  <c r="DA12" i="6" s="1"/>
  <c r="DA13" i="6" s="1"/>
  <c r="DA14" i="6" s="1"/>
  <c r="DA15" i="6" s="1"/>
  <c r="DA16" i="6" s="1"/>
  <c r="DA17" i="6" s="1"/>
  <c r="DA18" i="6" s="1"/>
  <c r="DA19" i="6" s="1"/>
  <c r="DA20" i="6" s="1"/>
  <c r="DA21" i="6" s="1"/>
  <c r="DA22" i="6" s="1"/>
  <c r="DA23" i="6" s="1"/>
  <c r="DA26" i="6" s="1"/>
  <c r="CW60" i="6"/>
  <c r="CV60" i="6"/>
  <c r="CR60" i="6"/>
  <c r="CQ60" i="6"/>
  <c r="CM33" i="6"/>
  <c r="CM34" i="6" s="1"/>
  <c r="CM35" i="6" s="1"/>
  <c r="CM36" i="6" s="1"/>
  <c r="CM37" i="6" s="1"/>
  <c r="CM38" i="6" s="1"/>
  <c r="CM39" i="6" s="1"/>
  <c r="CM40" i="6" s="1"/>
  <c r="CM41" i="6" s="1"/>
  <c r="CM42" i="6" s="1"/>
  <c r="CM43" i="6" s="1"/>
  <c r="CM44" i="6" s="1"/>
  <c r="CM45" i="6" s="1"/>
  <c r="CM46" i="6" s="1"/>
  <c r="CM47" i="6" s="1"/>
  <c r="CM48" i="6" s="1"/>
  <c r="CM49" i="6" s="1"/>
  <c r="CM50" i="6" s="1"/>
  <c r="CM53" i="6" s="1"/>
  <c r="CM6" i="6"/>
  <c r="CM7" i="6" s="1"/>
  <c r="CM8" i="6" s="1"/>
  <c r="CM9" i="6" s="1"/>
  <c r="CM10" i="6" s="1"/>
  <c r="CM11" i="6" s="1"/>
  <c r="CM12" i="6" s="1"/>
  <c r="CM13" i="6" s="1"/>
  <c r="CM14" i="6" s="1"/>
  <c r="CM15" i="6" s="1"/>
  <c r="CM16" i="6" s="1"/>
  <c r="CM17" i="6" s="1"/>
  <c r="CM18" i="6" s="1"/>
  <c r="CM19" i="6" s="1"/>
  <c r="CM20" i="6" s="1"/>
  <c r="CM21" i="6" s="1"/>
  <c r="CM22" i="6" s="1"/>
  <c r="CM23" i="6" s="1"/>
  <c r="CM26" i="6" s="1"/>
  <c r="CI60" i="6"/>
  <c r="CH60" i="6"/>
  <c r="CD60" i="6"/>
  <c r="CC60" i="6"/>
  <c r="BY33" i="6"/>
  <c r="BY34" i="6" s="1"/>
  <c r="BY35" i="6" s="1"/>
  <c r="BY36" i="6" s="1"/>
  <c r="BY37" i="6" s="1"/>
  <c r="BY38" i="6" s="1"/>
  <c r="BY39" i="6" s="1"/>
  <c r="BY40" i="6" s="1"/>
  <c r="BY41" i="6" s="1"/>
  <c r="BY42" i="6" s="1"/>
  <c r="BY43" i="6" s="1"/>
  <c r="BY44" i="6" s="1"/>
  <c r="BY45" i="6" s="1"/>
  <c r="BY46" i="6" s="1"/>
  <c r="BY47" i="6" s="1"/>
  <c r="BY48" i="6" s="1"/>
  <c r="BY49" i="6" s="1"/>
  <c r="BY50" i="6" s="1"/>
  <c r="BY53" i="6" s="1"/>
  <c r="BY6" i="6"/>
  <c r="BY7" i="6" s="1"/>
  <c r="BY8" i="6" s="1"/>
  <c r="BY9" i="6" s="1"/>
  <c r="BY10" i="6" s="1"/>
  <c r="BY11" i="6" s="1"/>
  <c r="BY12" i="6" s="1"/>
  <c r="BY13" i="6" s="1"/>
  <c r="BY14" i="6" s="1"/>
  <c r="BY15" i="6" s="1"/>
  <c r="BY16" i="6" s="1"/>
  <c r="BY17" i="6" s="1"/>
  <c r="BY18" i="6" s="1"/>
  <c r="BY19" i="6" s="1"/>
  <c r="BY20" i="6" s="1"/>
  <c r="BY21" i="6" s="1"/>
  <c r="BY22" i="6" s="1"/>
  <c r="BY23" i="6" s="1"/>
  <c r="BY26" i="6" s="1"/>
  <c r="BU60" i="6"/>
  <c r="BT60" i="6"/>
  <c r="BP60" i="6"/>
  <c r="BO60" i="6"/>
  <c r="BK33" i="6"/>
  <c r="BK34" i="6" s="1"/>
  <c r="BK35" i="6" s="1"/>
  <c r="BK36" i="6" s="1"/>
  <c r="BK37" i="6" s="1"/>
  <c r="BK38" i="6" s="1"/>
  <c r="BK39" i="6" s="1"/>
  <c r="BK40" i="6" s="1"/>
  <c r="BK41" i="6" s="1"/>
  <c r="BK42" i="6" s="1"/>
  <c r="BK43" i="6" s="1"/>
  <c r="BK44" i="6" s="1"/>
  <c r="BK45" i="6" s="1"/>
  <c r="BK46" i="6" s="1"/>
  <c r="BK47" i="6" s="1"/>
  <c r="BK48" i="6" s="1"/>
  <c r="BK49" i="6" s="1"/>
  <c r="BK50" i="6" s="1"/>
  <c r="BK53" i="6" s="1"/>
  <c r="BK6" i="6"/>
  <c r="BK7" i="6" s="1"/>
  <c r="BK8" i="6" s="1"/>
  <c r="BK9" i="6" s="1"/>
  <c r="BK10" i="6" s="1"/>
  <c r="BK11" i="6" s="1"/>
  <c r="BK12" i="6" s="1"/>
  <c r="BK13" i="6" s="1"/>
  <c r="BK14" i="6" s="1"/>
  <c r="BK15" i="6" s="1"/>
  <c r="BK16" i="6" s="1"/>
  <c r="BK17" i="6" s="1"/>
  <c r="BK18" i="6" s="1"/>
  <c r="BK19" i="6" s="1"/>
  <c r="BK20" i="6" s="1"/>
  <c r="BK21" i="6" s="1"/>
  <c r="BK22" i="6" s="1"/>
  <c r="BK23" i="6" s="1"/>
  <c r="BK26" i="6" s="1"/>
  <c r="BG60" i="6"/>
  <c r="BF60" i="6"/>
  <c r="BB60" i="6"/>
  <c r="BA60" i="6"/>
  <c r="AW33" i="6"/>
  <c r="AW34" i="6" s="1"/>
  <c r="AW35" i="6" s="1"/>
  <c r="AW36" i="6" s="1"/>
  <c r="AW37" i="6" s="1"/>
  <c r="AW38" i="6" s="1"/>
  <c r="AW39" i="6" s="1"/>
  <c r="AW40" i="6" s="1"/>
  <c r="AW41" i="6" s="1"/>
  <c r="AW42" i="6" s="1"/>
  <c r="AW43" i="6" s="1"/>
  <c r="AW44" i="6" s="1"/>
  <c r="AW45" i="6" s="1"/>
  <c r="AW46" i="6" s="1"/>
  <c r="AW47" i="6" s="1"/>
  <c r="AW48" i="6" s="1"/>
  <c r="AW49" i="6" s="1"/>
  <c r="AW50" i="6" s="1"/>
  <c r="AW53" i="6" s="1"/>
  <c r="AW6" i="6"/>
  <c r="AW7" i="6" s="1"/>
  <c r="AW8" i="6" s="1"/>
  <c r="AW9" i="6" s="1"/>
  <c r="AW10" i="6" s="1"/>
  <c r="AW11" i="6" s="1"/>
  <c r="AW12" i="6" s="1"/>
  <c r="AW13" i="6" s="1"/>
  <c r="AW14" i="6" s="1"/>
  <c r="AW15" i="6" s="1"/>
  <c r="AW16" i="6" s="1"/>
  <c r="AW17" i="6" s="1"/>
  <c r="AW18" i="6" s="1"/>
  <c r="AW19" i="6" s="1"/>
  <c r="AW20" i="6" s="1"/>
  <c r="AW21" i="6" s="1"/>
  <c r="AW22" i="6" s="1"/>
  <c r="AW23" i="6" s="1"/>
  <c r="AW26" i="6" s="1"/>
  <c r="AS60" i="6"/>
  <c r="AR60" i="6"/>
  <c r="AN60" i="6"/>
  <c r="AM60" i="6"/>
  <c r="AI33" i="6"/>
  <c r="AI34" i="6" s="1"/>
  <c r="AI35" i="6" s="1"/>
  <c r="AI36" i="6" s="1"/>
  <c r="AI37" i="6" s="1"/>
  <c r="AI38" i="6" s="1"/>
  <c r="AI39" i="6" s="1"/>
  <c r="AI40" i="6" s="1"/>
  <c r="AI41" i="6" s="1"/>
  <c r="AI42" i="6" s="1"/>
  <c r="AI43" i="6" s="1"/>
  <c r="AI44" i="6" s="1"/>
  <c r="AI45" i="6" s="1"/>
  <c r="AI46" i="6" s="1"/>
  <c r="AI47" i="6" s="1"/>
  <c r="AI48" i="6" s="1"/>
  <c r="AI49" i="6" s="1"/>
  <c r="AI50" i="6" s="1"/>
  <c r="AI53" i="6" s="1"/>
  <c r="AI6" i="6"/>
  <c r="AI7" i="6" s="1"/>
  <c r="AI8" i="6" s="1"/>
  <c r="AI9" i="6" s="1"/>
  <c r="AI10" i="6" s="1"/>
  <c r="AI11" i="6" s="1"/>
  <c r="AI12" i="6" s="1"/>
  <c r="AI13" i="6" s="1"/>
  <c r="AI14" i="6" s="1"/>
  <c r="AI15" i="6" s="1"/>
  <c r="AI16" i="6" s="1"/>
  <c r="AI17" i="6" s="1"/>
  <c r="AI18" i="6" s="1"/>
  <c r="AI19" i="6" s="1"/>
  <c r="AI20" i="6" s="1"/>
  <c r="AI21" i="6" s="1"/>
  <c r="AI22" i="6" s="1"/>
  <c r="AI23" i="6" s="1"/>
  <c r="AI26" i="6" s="1"/>
  <c r="U33" i="6"/>
  <c r="A243" i="6"/>
  <c r="B243" i="6"/>
  <c r="A244" i="6"/>
  <c r="B244" i="6"/>
  <c r="A245" i="6"/>
  <c r="B245" i="6"/>
  <c r="A246" i="6"/>
  <c r="B246" i="6"/>
  <c r="A247" i="6"/>
  <c r="B247" i="6"/>
  <c r="A248" i="6"/>
  <c r="B248" i="6"/>
  <c r="A249" i="6"/>
  <c r="B249" i="6"/>
  <c r="A250" i="6"/>
  <c r="B250" i="6"/>
  <c r="A251" i="6"/>
  <c r="B251" i="6"/>
  <c r="A252" i="6"/>
  <c r="B252" i="6"/>
  <c r="A253" i="6"/>
  <c r="B253" i="6"/>
  <c r="B242" i="6"/>
  <c r="A242" i="6"/>
  <c r="AE60" i="6"/>
  <c r="Z60" i="6"/>
  <c r="AD60" i="6"/>
  <c r="Y60" i="6"/>
  <c r="U6" i="6"/>
  <c r="V97" i="27" l="1"/>
  <c r="L97" i="64"/>
  <c r="V96" i="27"/>
  <c r="L96" i="64"/>
  <c r="V95" i="27"/>
  <c r="L95" i="64"/>
  <c r="V94" i="27"/>
  <c r="L94" i="64"/>
  <c r="V93" i="27"/>
  <c r="L93" i="64"/>
  <c r="V92" i="27"/>
  <c r="L92" i="64"/>
  <c r="V91" i="27"/>
  <c r="L91" i="64"/>
  <c r="V90" i="27"/>
  <c r="L90" i="64"/>
  <c r="V89" i="27"/>
  <c r="L89" i="64"/>
  <c r="V88" i="27"/>
  <c r="L88" i="64"/>
  <c r="V87" i="27"/>
  <c r="L87" i="64"/>
  <c r="V86" i="27"/>
  <c r="L86" i="64"/>
  <c r="V85" i="27"/>
  <c r="L85" i="64"/>
  <c r="V84" i="27"/>
  <c r="L84" i="64"/>
  <c r="V83" i="27"/>
  <c r="L83" i="64"/>
  <c r="V82" i="27"/>
  <c r="L82" i="64"/>
  <c r="V81" i="27"/>
  <c r="L81" i="64"/>
  <c r="V80" i="27"/>
  <c r="L80" i="64"/>
  <c r="V79" i="27"/>
  <c r="L79" i="64"/>
  <c r="V78" i="27"/>
  <c r="L78" i="64"/>
  <c r="V77" i="27"/>
  <c r="L77" i="64"/>
  <c r="V76" i="27"/>
  <c r="L76" i="64"/>
  <c r="V75" i="27"/>
  <c r="L75" i="64"/>
  <c r="V74" i="27"/>
  <c r="L74" i="64"/>
  <c r="V73" i="27"/>
  <c r="L73" i="64"/>
  <c r="V72" i="27"/>
  <c r="L72" i="64"/>
  <c r="V71" i="27"/>
  <c r="L71" i="64"/>
  <c r="V70" i="27"/>
  <c r="L70" i="64"/>
  <c r="V69" i="27"/>
  <c r="L69" i="64"/>
  <c r="V68" i="27"/>
  <c r="L68" i="64"/>
  <c r="V67" i="27"/>
  <c r="L67" i="64"/>
  <c r="V66" i="27"/>
  <c r="L66" i="64"/>
  <c r="V65" i="27"/>
  <c r="L65" i="64"/>
  <c r="V64" i="27"/>
  <c r="L64" i="64"/>
  <c r="V63" i="27"/>
  <c r="L63" i="64"/>
  <c r="V62" i="27"/>
  <c r="L62" i="64"/>
  <c r="V61" i="27"/>
  <c r="L61" i="64"/>
  <c r="V60" i="27"/>
  <c r="L60" i="64"/>
  <c r="V59" i="27"/>
  <c r="L59" i="64"/>
  <c r="V58" i="27"/>
  <c r="L58" i="64"/>
  <c r="V57" i="27"/>
  <c r="L57" i="64"/>
  <c r="V56" i="27"/>
  <c r="L56" i="64"/>
  <c r="V55" i="27"/>
  <c r="L55" i="64"/>
  <c r="V54" i="27"/>
  <c r="L54" i="64"/>
  <c r="V53" i="27"/>
  <c r="L53" i="64"/>
  <c r="V52" i="27"/>
  <c r="L52" i="64"/>
  <c r="V51" i="27"/>
  <c r="L51" i="64"/>
  <c r="V50" i="27"/>
  <c r="L50" i="64"/>
  <c r="V49" i="27"/>
  <c r="L49" i="64"/>
  <c r="V48" i="27"/>
  <c r="L48" i="64"/>
  <c r="V47" i="27"/>
  <c r="L47" i="64"/>
  <c r="V46" i="27"/>
  <c r="L46" i="64"/>
  <c r="V45" i="27"/>
  <c r="L45" i="64"/>
  <c r="V44" i="27"/>
  <c r="L44" i="64"/>
  <c r="V43" i="27"/>
  <c r="L43" i="64"/>
  <c r="V42" i="27"/>
  <c r="L42" i="64"/>
  <c r="V41" i="27"/>
  <c r="L41" i="64"/>
  <c r="V40" i="27"/>
  <c r="L40" i="64"/>
  <c r="V39" i="27"/>
  <c r="L39" i="64"/>
  <c r="V38" i="27"/>
  <c r="L38" i="64"/>
  <c r="V37" i="27"/>
  <c r="L37" i="64"/>
  <c r="V36" i="27"/>
  <c r="L36" i="64"/>
  <c r="V35" i="27"/>
  <c r="L35" i="64"/>
  <c r="V34" i="27"/>
  <c r="L34" i="64"/>
  <c r="V33" i="27"/>
  <c r="L33" i="64"/>
  <c r="V32" i="27"/>
  <c r="L32" i="64"/>
  <c r="V31" i="27"/>
  <c r="L31" i="64"/>
  <c r="V30" i="27"/>
  <c r="L30" i="64"/>
  <c r="V29" i="27"/>
  <c r="L29" i="64"/>
  <c r="V28" i="27"/>
  <c r="L28" i="64"/>
  <c r="V27" i="27"/>
  <c r="L27" i="64"/>
  <c r="V26" i="27"/>
  <c r="L26" i="64"/>
  <c r="V25" i="27"/>
  <c r="L25" i="64"/>
  <c r="V24" i="27"/>
  <c r="L24" i="64"/>
  <c r="V23" i="27"/>
  <c r="L23" i="64"/>
  <c r="V22" i="27"/>
  <c r="L22" i="64"/>
  <c r="V21" i="27"/>
  <c r="L21" i="64"/>
  <c r="V20" i="27"/>
  <c r="L20" i="64"/>
  <c r="V19" i="27"/>
  <c r="L19" i="64"/>
  <c r="V18" i="27"/>
  <c r="L18" i="64"/>
  <c r="V17" i="27"/>
  <c r="L17" i="64"/>
  <c r="V16" i="27"/>
  <c r="L16" i="64"/>
  <c r="V15" i="27"/>
  <c r="L15" i="64"/>
  <c r="V14" i="27"/>
  <c r="L14" i="64"/>
  <c r="V13" i="27"/>
  <c r="L13" i="64"/>
  <c r="V12" i="27"/>
  <c r="L12" i="64"/>
  <c r="V11" i="27"/>
  <c r="L11" i="64"/>
  <c r="V10" i="27"/>
  <c r="L10" i="64"/>
  <c r="V9" i="27"/>
  <c r="L9" i="64"/>
  <c r="V8" i="27"/>
  <c r="L8" i="64"/>
  <c r="V7" i="27"/>
  <c r="L7" i="64"/>
  <c r="V6" i="27"/>
  <c r="L6" i="64"/>
  <c r="V5" i="27"/>
  <c r="L5" i="64"/>
  <c r="V4" i="27"/>
  <c r="L4" i="64"/>
  <c r="V3" i="27"/>
  <c r="L3" i="64"/>
  <c r="V2" i="27"/>
  <c r="L2" i="64"/>
  <c r="Q2" i="64" s="1"/>
  <c r="N2" i="58"/>
  <c r="U34" i="6"/>
  <c r="U35" i="6" s="1"/>
  <c r="U36" i="6" s="1"/>
  <c r="U37" i="6" s="1"/>
  <c r="U38" i="6" s="1"/>
  <c r="U39" i="6" s="1"/>
  <c r="U40" i="6" s="1"/>
  <c r="U41" i="6" s="1"/>
  <c r="U42" i="6" s="1"/>
  <c r="U43" i="6" s="1"/>
  <c r="U44" i="6" s="1"/>
  <c r="U45" i="6" s="1"/>
  <c r="U46" i="6" s="1"/>
  <c r="U47" i="6" s="1"/>
  <c r="U48" i="6" s="1"/>
  <c r="U49" i="6" s="1"/>
  <c r="U50" i="6" s="1"/>
  <c r="U53" i="6" s="1"/>
  <c r="U7" i="6"/>
  <c r="U8" i="6" s="1"/>
  <c r="U9" i="6" s="1"/>
  <c r="U10" i="6" s="1"/>
  <c r="U11" i="6" s="1"/>
  <c r="U12" i="6" s="1"/>
  <c r="U13" i="6" s="1"/>
  <c r="U14" i="6" s="1"/>
  <c r="U15" i="6" s="1"/>
  <c r="U16" i="6" s="1"/>
  <c r="U17" i="6" s="1"/>
  <c r="U18" i="6" s="1"/>
  <c r="U19" i="6" s="1"/>
  <c r="U20" i="6" s="1"/>
  <c r="U21" i="6" s="1"/>
  <c r="U22" i="6" s="1"/>
  <c r="U23" i="6" s="1"/>
  <c r="U26" i="6" s="1"/>
  <c r="H5" i="28"/>
  <c r="N5" i="28" s="1"/>
  <c r="H5" i="47"/>
  <c r="N5" i="47" s="1"/>
  <c r="H9" i="28"/>
  <c r="N9" i="28" s="1"/>
  <c r="H9" i="47"/>
  <c r="N9" i="47" s="1"/>
  <c r="H13" i="28"/>
  <c r="N13" i="28" s="1"/>
  <c r="H13" i="47"/>
  <c r="N13" i="47" s="1"/>
  <c r="H17" i="47"/>
  <c r="N17" i="47" s="1"/>
  <c r="H17" i="28"/>
  <c r="N17" i="28" s="1"/>
  <c r="H21" i="47"/>
  <c r="N21" i="47" s="1"/>
  <c r="H21" i="28"/>
  <c r="N21" i="28" s="1"/>
  <c r="H25" i="47"/>
  <c r="N25" i="47" s="1"/>
  <c r="H25" i="28"/>
  <c r="N25" i="28" s="1"/>
  <c r="H29" i="47"/>
  <c r="N29" i="47" s="1"/>
  <c r="H29" i="28"/>
  <c r="N29" i="28" s="1"/>
  <c r="H33" i="47"/>
  <c r="N33" i="47" s="1"/>
  <c r="H33" i="28"/>
  <c r="N33" i="28" s="1"/>
  <c r="H37" i="47"/>
  <c r="N37" i="47" s="1"/>
  <c r="H37" i="28"/>
  <c r="N37" i="28" s="1"/>
  <c r="H41" i="47"/>
  <c r="N41" i="47" s="1"/>
  <c r="H41" i="28"/>
  <c r="N41" i="28" s="1"/>
  <c r="H45" i="47"/>
  <c r="N45" i="47" s="1"/>
  <c r="H45" i="28"/>
  <c r="N45" i="28" s="1"/>
  <c r="H49" i="47"/>
  <c r="N49" i="47" s="1"/>
  <c r="H49" i="28"/>
  <c r="N49" i="28" s="1"/>
  <c r="H53" i="28"/>
  <c r="N53" i="28" s="1"/>
  <c r="H53" i="47"/>
  <c r="N53" i="47" s="1"/>
  <c r="H57" i="28"/>
  <c r="N57" i="28" s="1"/>
  <c r="H57" i="47"/>
  <c r="N57" i="47" s="1"/>
  <c r="H61" i="28"/>
  <c r="N61" i="28" s="1"/>
  <c r="H61" i="47"/>
  <c r="N61" i="47" s="1"/>
  <c r="H65" i="28"/>
  <c r="N65" i="28" s="1"/>
  <c r="H65" i="47"/>
  <c r="N65" i="47" s="1"/>
  <c r="H69" i="28"/>
  <c r="N69" i="28" s="1"/>
  <c r="H69" i="47"/>
  <c r="N69" i="47" s="1"/>
  <c r="H73" i="28"/>
  <c r="N73" i="28" s="1"/>
  <c r="H73" i="47"/>
  <c r="N73" i="47" s="1"/>
  <c r="H77" i="28"/>
  <c r="N77" i="28" s="1"/>
  <c r="H77" i="47"/>
  <c r="N77" i="47" s="1"/>
  <c r="H81" i="28"/>
  <c r="N81" i="28" s="1"/>
  <c r="H81" i="47"/>
  <c r="N81" i="47" s="1"/>
  <c r="H85" i="28"/>
  <c r="N85" i="28" s="1"/>
  <c r="H85" i="47"/>
  <c r="N85" i="47" s="1"/>
  <c r="H89" i="28"/>
  <c r="N89" i="28" s="1"/>
  <c r="H89" i="47"/>
  <c r="N89" i="47" s="1"/>
  <c r="H2" i="28"/>
  <c r="N2" i="28" s="1"/>
  <c r="H2" i="47"/>
  <c r="N2" i="47" s="1"/>
  <c r="H6" i="47"/>
  <c r="N6" i="47" s="1"/>
  <c r="H6" i="28"/>
  <c r="N6" i="28" s="1"/>
  <c r="H10" i="28"/>
  <c r="N10" i="28" s="1"/>
  <c r="H10" i="47"/>
  <c r="N10" i="47" s="1"/>
  <c r="H14" i="47"/>
  <c r="N14" i="47" s="1"/>
  <c r="H14" i="28"/>
  <c r="N14" i="28" s="1"/>
  <c r="H18" i="47"/>
  <c r="N18" i="47" s="1"/>
  <c r="H18" i="28"/>
  <c r="N18" i="28" s="1"/>
  <c r="H22" i="47"/>
  <c r="N22" i="47" s="1"/>
  <c r="H22" i="28"/>
  <c r="N22" i="28" s="1"/>
  <c r="H26" i="47"/>
  <c r="N26" i="47" s="1"/>
  <c r="H26" i="28"/>
  <c r="N26" i="28" s="1"/>
  <c r="H30" i="47"/>
  <c r="N30" i="47" s="1"/>
  <c r="H30" i="28"/>
  <c r="N30" i="28" s="1"/>
  <c r="H34" i="47"/>
  <c r="N34" i="47" s="1"/>
  <c r="H34" i="28"/>
  <c r="N34" i="28" s="1"/>
  <c r="H38" i="47"/>
  <c r="N38" i="47" s="1"/>
  <c r="H38" i="28"/>
  <c r="N38" i="28" s="1"/>
  <c r="H42" i="47"/>
  <c r="N42" i="47" s="1"/>
  <c r="H42" i="28"/>
  <c r="N42" i="28" s="1"/>
  <c r="H46" i="47"/>
  <c r="N46" i="47" s="1"/>
  <c r="H46" i="28"/>
  <c r="N46" i="28" s="1"/>
  <c r="H50" i="47"/>
  <c r="N50" i="47" s="1"/>
  <c r="H50" i="28"/>
  <c r="N50" i="28" s="1"/>
  <c r="H54" i="47"/>
  <c r="N54" i="47" s="1"/>
  <c r="H54" i="28"/>
  <c r="N54" i="28" s="1"/>
  <c r="H58" i="47"/>
  <c r="N58" i="47" s="1"/>
  <c r="H58" i="28"/>
  <c r="N58" i="28" s="1"/>
  <c r="H62" i="47"/>
  <c r="N62" i="47" s="1"/>
  <c r="H62" i="28"/>
  <c r="N62" i="28" s="1"/>
  <c r="H66" i="47"/>
  <c r="N66" i="47" s="1"/>
  <c r="H66" i="28"/>
  <c r="N66" i="28" s="1"/>
  <c r="H70" i="28"/>
  <c r="N70" i="28" s="1"/>
  <c r="H70" i="47"/>
  <c r="N70" i="47" s="1"/>
  <c r="H74" i="28"/>
  <c r="N74" i="28" s="1"/>
  <c r="H74" i="47"/>
  <c r="N74" i="47" s="1"/>
  <c r="H78" i="28"/>
  <c r="N78" i="28" s="1"/>
  <c r="H78" i="47"/>
  <c r="N78" i="47" s="1"/>
  <c r="H82" i="28"/>
  <c r="N82" i="28" s="1"/>
  <c r="H82" i="47"/>
  <c r="N82" i="47" s="1"/>
  <c r="H86" i="28"/>
  <c r="N86" i="28" s="1"/>
  <c r="H86" i="47"/>
  <c r="N86" i="47" s="1"/>
  <c r="H90" i="28"/>
  <c r="N90" i="28" s="1"/>
  <c r="H90" i="47"/>
  <c r="N90" i="47" s="1"/>
  <c r="H92" i="28"/>
  <c r="N92" i="28" s="1"/>
  <c r="H92" i="47"/>
  <c r="N92" i="47" s="1"/>
  <c r="H94" i="28"/>
  <c r="N94" i="28" s="1"/>
  <c r="H94" i="47"/>
  <c r="N94" i="47" s="1"/>
  <c r="H96" i="28"/>
  <c r="N96" i="28" s="1"/>
  <c r="H96" i="47"/>
  <c r="N96" i="47" s="1"/>
  <c r="H3" i="28"/>
  <c r="N3" i="28" s="1"/>
  <c r="H3" i="47"/>
  <c r="N3" i="47" s="1"/>
  <c r="H7" i="28"/>
  <c r="N7" i="28" s="1"/>
  <c r="H7" i="47"/>
  <c r="N7" i="47" s="1"/>
  <c r="H11" i="28"/>
  <c r="N11" i="28" s="1"/>
  <c r="H11" i="47"/>
  <c r="N11" i="47" s="1"/>
  <c r="H15" i="28"/>
  <c r="N15" i="28" s="1"/>
  <c r="H15" i="47"/>
  <c r="N15" i="47" s="1"/>
  <c r="H19" i="47"/>
  <c r="N19" i="47" s="1"/>
  <c r="H19" i="28"/>
  <c r="N19" i="28" s="1"/>
  <c r="H23" i="47"/>
  <c r="N23" i="47" s="1"/>
  <c r="H23" i="28"/>
  <c r="N23" i="28" s="1"/>
  <c r="H27" i="47"/>
  <c r="N27" i="47" s="1"/>
  <c r="H27" i="28"/>
  <c r="N27" i="28" s="1"/>
  <c r="H31" i="47"/>
  <c r="N31" i="47" s="1"/>
  <c r="H31" i="28"/>
  <c r="N31" i="28" s="1"/>
  <c r="H35" i="47"/>
  <c r="N35" i="47" s="1"/>
  <c r="H35" i="28"/>
  <c r="N35" i="28" s="1"/>
  <c r="H39" i="47"/>
  <c r="N39" i="47" s="1"/>
  <c r="H39" i="28"/>
  <c r="N39" i="28" s="1"/>
  <c r="H43" i="47"/>
  <c r="N43" i="47" s="1"/>
  <c r="H43" i="28"/>
  <c r="N43" i="28" s="1"/>
  <c r="H47" i="47"/>
  <c r="N47" i="47" s="1"/>
  <c r="H47" i="28"/>
  <c r="N47" i="28" s="1"/>
  <c r="H51" i="28"/>
  <c r="N51" i="28" s="1"/>
  <c r="H51" i="47"/>
  <c r="N51" i="47" s="1"/>
  <c r="H55" i="28"/>
  <c r="N55" i="28" s="1"/>
  <c r="H55" i="47"/>
  <c r="N55" i="47" s="1"/>
  <c r="H59" i="28"/>
  <c r="N59" i="28" s="1"/>
  <c r="H59" i="47"/>
  <c r="N59" i="47" s="1"/>
  <c r="H63" i="28"/>
  <c r="N63" i="28" s="1"/>
  <c r="H63" i="47"/>
  <c r="N63" i="47" s="1"/>
  <c r="H67" i="28"/>
  <c r="N67" i="28" s="1"/>
  <c r="H67" i="47"/>
  <c r="N67" i="47" s="1"/>
  <c r="H71" i="28"/>
  <c r="N71" i="28" s="1"/>
  <c r="H71" i="47"/>
  <c r="N71" i="47" s="1"/>
  <c r="H75" i="28"/>
  <c r="N75" i="28" s="1"/>
  <c r="H75" i="47"/>
  <c r="N75" i="47" s="1"/>
  <c r="H79" i="28"/>
  <c r="N79" i="28" s="1"/>
  <c r="H79" i="47"/>
  <c r="N79" i="47" s="1"/>
  <c r="H83" i="28"/>
  <c r="N83" i="28" s="1"/>
  <c r="H83" i="47"/>
  <c r="N83" i="47" s="1"/>
  <c r="H87" i="28"/>
  <c r="N87" i="28" s="1"/>
  <c r="H87" i="47"/>
  <c r="N87" i="47" s="1"/>
  <c r="H4" i="28"/>
  <c r="N4" i="28" s="1"/>
  <c r="H4" i="47"/>
  <c r="N4" i="47" s="1"/>
  <c r="H8" i="28"/>
  <c r="N8" i="28" s="1"/>
  <c r="H8" i="47"/>
  <c r="N8" i="47" s="1"/>
  <c r="H12" i="28"/>
  <c r="N12" i="28" s="1"/>
  <c r="H12" i="47"/>
  <c r="N12" i="47" s="1"/>
  <c r="H16" i="28"/>
  <c r="N16" i="28" s="1"/>
  <c r="H16" i="47"/>
  <c r="N16" i="47" s="1"/>
  <c r="H20" i="28"/>
  <c r="N20" i="28" s="1"/>
  <c r="H20" i="47"/>
  <c r="N20" i="47" s="1"/>
  <c r="H24" i="28"/>
  <c r="N24" i="28" s="1"/>
  <c r="H24" i="47"/>
  <c r="N24" i="47" s="1"/>
  <c r="H28" i="28"/>
  <c r="N28" i="28" s="1"/>
  <c r="H28" i="47"/>
  <c r="N28" i="47" s="1"/>
  <c r="H32" i="28"/>
  <c r="N32" i="28" s="1"/>
  <c r="H32" i="47"/>
  <c r="N32" i="47" s="1"/>
  <c r="H36" i="28"/>
  <c r="N36" i="28" s="1"/>
  <c r="H36" i="47"/>
  <c r="N36" i="47" s="1"/>
  <c r="H40" i="28"/>
  <c r="N40" i="28" s="1"/>
  <c r="H40" i="47"/>
  <c r="N40" i="47" s="1"/>
  <c r="H44" i="28"/>
  <c r="N44" i="28" s="1"/>
  <c r="H44" i="47"/>
  <c r="N44" i="47" s="1"/>
  <c r="H48" i="28"/>
  <c r="N48" i="28" s="1"/>
  <c r="H48" i="47"/>
  <c r="N48" i="47" s="1"/>
  <c r="H52" i="28"/>
  <c r="N52" i="28" s="1"/>
  <c r="H52" i="47"/>
  <c r="N52" i="47" s="1"/>
  <c r="H56" i="28"/>
  <c r="N56" i="28" s="1"/>
  <c r="H56" i="47"/>
  <c r="N56" i="47" s="1"/>
  <c r="H60" i="28"/>
  <c r="N60" i="28" s="1"/>
  <c r="H60" i="47"/>
  <c r="N60" i="47" s="1"/>
  <c r="H64" i="28"/>
  <c r="N64" i="28" s="1"/>
  <c r="H64" i="47"/>
  <c r="N64" i="47" s="1"/>
  <c r="H68" i="28"/>
  <c r="N68" i="28" s="1"/>
  <c r="H68" i="47"/>
  <c r="N68" i="47" s="1"/>
  <c r="H72" i="28"/>
  <c r="N72" i="28" s="1"/>
  <c r="H72" i="47"/>
  <c r="N72" i="47" s="1"/>
  <c r="H76" i="28"/>
  <c r="N76" i="28" s="1"/>
  <c r="H76" i="47"/>
  <c r="N76" i="47" s="1"/>
  <c r="H80" i="28"/>
  <c r="N80" i="28" s="1"/>
  <c r="H80" i="47"/>
  <c r="N80" i="47" s="1"/>
  <c r="H84" i="28"/>
  <c r="N84" i="28" s="1"/>
  <c r="H84" i="47"/>
  <c r="N84" i="47" s="1"/>
  <c r="H88" i="28"/>
  <c r="N88" i="28" s="1"/>
  <c r="H88" i="47"/>
  <c r="N88" i="47" s="1"/>
  <c r="H91" i="28"/>
  <c r="N91" i="28" s="1"/>
  <c r="H91" i="47"/>
  <c r="N91" i="47" s="1"/>
  <c r="H93" i="28"/>
  <c r="N93" i="28" s="1"/>
  <c r="H93" i="47"/>
  <c r="N93" i="47" s="1"/>
  <c r="H95" i="28"/>
  <c r="N95" i="28" s="1"/>
  <c r="H95" i="47"/>
  <c r="N95" i="47" s="1"/>
  <c r="H97" i="28"/>
  <c r="N97" i="28" s="1"/>
  <c r="H97" i="47"/>
  <c r="N97" i="47" s="1"/>
  <c r="G144" i="29"/>
  <c r="O144" i="29" s="1"/>
  <c r="G97" i="29"/>
  <c r="O97" i="29" s="1"/>
  <c r="E87" i="31"/>
  <c r="J87" i="31" s="1"/>
  <c r="G87" i="29"/>
  <c r="O87" i="29" s="1"/>
  <c r="E86" i="31"/>
  <c r="J86" i="31" s="1"/>
  <c r="G86" i="29"/>
  <c r="O86" i="29" s="1"/>
  <c r="E96" i="31"/>
  <c r="J96" i="31" s="1"/>
  <c r="E88" i="31"/>
  <c r="J88" i="31" s="1"/>
  <c r="G88" i="29"/>
  <c r="O88" i="29" s="1"/>
  <c r="E91" i="31"/>
  <c r="J91" i="31" s="1"/>
  <c r="G91" i="29"/>
  <c r="O91" i="29" s="1"/>
  <c r="G93" i="29"/>
  <c r="O93" i="29" s="1"/>
  <c r="E93" i="31"/>
  <c r="J93" i="31" s="1"/>
  <c r="E95" i="31"/>
  <c r="J95" i="31" s="1"/>
  <c r="G95" i="29"/>
  <c r="O95" i="29" s="1"/>
  <c r="E97" i="31"/>
  <c r="J97" i="31" s="1"/>
  <c r="E90" i="31"/>
  <c r="J90" i="31" s="1"/>
  <c r="G90" i="29"/>
  <c r="O90" i="29" s="1"/>
  <c r="E92" i="31"/>
  <c r="J92" i="31" s="1"/>
  <c r="G92" i="29"/>
  <c r="O92" i="29" s="1"/>
  <c r="E94" i="31"/>
  <c r="J94" i="31" s="1"/>
  <c r="G94" i="29"/>
  <c r="O94" i="29" s="1"/>
  <c r="G89" i="29"/>
  <c r="O89" i="29" s="1"/>
  <c r="E89" i="31"/>
  <c r="J89" i="31" s="1"/>
  <c r="M1" i="29"/>
  <c r="K1" i="28"/>
  <c r="S92" i="27"/>
  <c r="L1" i="30"/>
  <c r="L1" i="28"/>
  <c r="N1" i="29"/>
  <c r="S91" i="27"/>
  <c r="S86" i="27"/>
  <c r="S90" i="27"/>
  <c r="S97" i="27"/>
  <c r="CR67" i="6"/>
  <c r="AS82" i="6" s="1"/>
  <c r="F97" i="30"/>
  <c r="M97" i="30" s="1"/>
  <c r="F86" i="30"/>
  <c r="M86" i="30" s="1"/>
  <c r="F87" i="30"/>
  <c r="M87" i="30" s="1"/>
  <c r="F88" i="30"/>
  <c r="M88" i="30" s="1"/>
  <c r="F89" i="30"/>
  <c r="M89" i="30" s="1"/>
  <c r="F90" i="30"/>
  <c r="M90" i="30" s="1"/>
  <c r="F91" i="30"/>
  <c r="M91" i="30" s="1"/>
  <c r="F92" i="30"/>
  <c r="M92" i="30" s="1"/>
  <c r="F93" i="30"/>
  <c r="M93" i="30" s="1"/>
  <c r="F94" i="30"/>
  <c r="M94" i="30" s="1"/>
  <c r="F95" i="30"/>
  <c r="M95" i="30" s="1"/>
  <c r="F96" i="30"/>
  <c r="M96" i="30" s="1"/>
  <c r="J86" i="66"/>
  <c r="M86" i="66" s="1"/>
  <c r="J90" i="66"/>
  <c r="M90" i="66" s="1"/>
  <c r="J97" i="66"/>
  <c r="M97" i="66" s="1"/>
  <c r="J93" i="66"/>
  <c r="M93" i="66" s="1"/>
  <c r="J89" i="66"/>
  <c r="M89" i="66" s="1"/>
  <c r="J94" i="66"/>
  <c r="M94" i="66" s="1"/>
  <c r="J96" i="66"/>
  <c r="M96" i="66" s="1"/>
  <c r="J92" i="66"/>
  <c r="M92" i="66" s="1"/>
  <c r="J88" i="66"/>
  <c r="M88" i="66" s="1"/>
  <c r="J95" i="66"/>
  <c r="M95" i="66" s="1"/>
  <c r="J91" i="66"/>
  <c r="M91" i="66" s="1"/>
  <c r="J87" i="66"/>
  <c r="M87" i="66" s="1"/>
  <c r="M97" i="64"/>
  <c r="M93" i="64"/>
  <c r="M89" i="64"/>
  <c r="M96" i="64"/>
  <c r="M92" i="64"/>
  <c r="M88" i="64"/>
  <c r="L1" i="64"/>
  <c r="M95" i="64"/>
  <c r="M91" i="64"/>
  <c r="M87" i="64"/>
  <c r="M86" i="64"/>
  <c r="M94" i="64"/>
  <c r="M90" i="64"/>
  <c r="Q1" i="58"/>
  <c r="M90" i="58"/>
  <c r="M86" i="58"/>
  <c r="M82" i="58"/>
  <c r="M78" i="58"/>
  <c r="M74" i="58"/>
  <c r="M70" i="58"/>
  <c r="M60" i="58"/>
  <c r="M59" i="58"/>
  <c r="M55" i="58"/>
  <c r="M53" i="58"/>
  <c r="M46" i="58"/>
  <c r="M41" i="58"/>
  <c r="M35" i="58"/>
  <c r="M32" i="58"/>
  <c r="M23" i="58"/>
  <c r="M21" i="58"/>
  <c r="M16" i="58"/>
  <c r="M11" i="58"/>
  <c r="M7" i="58"/>
  <c r="M3" i="58"/>
  <c r="O96" i="58"/>
  <c r="O86" i="58"/>
  <c r="O94" i="58"/>
  <c r="O90" i="58"/>
  <c r="M88" i="58"/>
  <c r="M84" i="58"/>
  <c r="M79" i="58"/>
  <c r="M75" i="58"/>
  <c r="M72" i="58"/>
  <c r="M67" i="58"/>
  <c r="M64" i="58"/>
  <c r="M61" i="58"/>
  <c r="M56" i="58"/>
  <c r="M51" i="58"/>
  <c r="M47" i="58"/>
  <c r="M43" i="58"/>
  <c r="M38" i="58"/>
  <c r="M33" i="58"/>
  <c r="M30" i="58"/>
  <c r="M27" i="58"/>
  <c r="M25" i="58"/>
  <c r="M22" i="58"/>
  <c r="M18" i="58"/>
  <c r="M13" i="58"/>
  <c r="M9" i="58"/>
  <c r="M5" i="58"/>
  <c r="O92" i="58"/>
  <c r="O97" i="58"/>
  <c r="O93" i="58"/>
  <c r="O89" i="58"/>
  <c r="M87" i="58"/>
  <c r="M83" i="58"/>
  <c r="M80" i="58"/>
  <c r="M76" i="58"/>
  <c r="M71" i="58"/>
  <c r="M68" i="58"/>
  <c r="M65" i="58"/>
  <c r="M62" i="58"/>
  <c r="M58" i="58"/>
  <c r="M50" i="58"/>
  <c r="M48" i="58"/>
  <c r="M44" i="58"/>
  <c r="M40" i="58"/>
  <c r="M37" i="58"/>
  <c r="M34" i="58"/>
  <c r="M29" i="58"/>
  <c r="M17" i="58"/>
  <c r="M14" i="58"/>
  <c r="M10" i="58"/>
  <c r="M6" i="58"/>
  <c r="O88" i="58"/>
  <c r="M77" i="58"/>
  <c r="M69" i="58"/>
  <c r="M63" i="58"/>
  <c r="M57" i="58"/>
  <c r="M54" i="58"/>
  <c r="M49" i="58"/>
  <c r="M45" i="58"/>
  <c r="M42" i="58"/>
  <c r="M39" i="58"/>
  <c r="M36" i="58"/>
  <c r="M31" i="58"/>
  <c r="M28" i="58"/>
  <c r="M26" i="58"/>
  <c r="M24" i="58"/>
  <c r="M20" i="58"/>
  <c r="M19" i="58"/>
  <c r="M15" i="58"/>
  <c r="M12" i="58"/>
  <c r="M8" i="58"/>
  <c r="M4" i="58"/>
  <c r="N97" i="58"/>
  <c r="N96" i="58"/>
  <c r="N95" i="58"/>
  <c r="N94" i="58"/>
  <c r="N93" i="58"/>
  <c r="N92" i="58"/>
  <c r="N91" i="58"/>
  <c r="N90" i="58"/>
  <c r="N89" i="58"/>
  <c r="N88" i="58"/>
  <c r="N87" i="58"/>
  <c r="N86" i="58"/>
  <c r="N85" i="58"/>
  <c r="N84" i="58"/>
  <c r="N83" i="58"/>
  <c r="N82" i="58"/>
  <c r="N81" i="58"/>
  <c r="N80" i="58"/>
  <c r="N79" i="58"/>
  <c r="N78" i="58"/>
  <c r="N77" i="58"/>
  <c r="N76" i="58"/>
  <c r="N75" i="58"/>
  <c r="N74" i="58"/>
  <c r="N73" i="58"/>
  <c r="N72" i="58"/>
  <c r="N71" i="58"/>
  <c r="N70" i="58"/>
  <c r="N69" i="58"/>
  <c r="N68" i="58"/>
  <c r="N67" i="58"/>
  <c r="N66" i="58"/>
  <c r="N65" i="58"/>
  <c r="N64" i="58"/>
  <c r="N63" i="58"/>
  <c r="N62" i="58"/>
  <c r="N61" i="58"/>
  <c r="N60" i="58"/>
  <c r="N59" i="58"/>
  <c r="N58" i="58"/>
  <c r="N57" i="58"/>
  <c r="N56" i="58"/>
  <c r="N55" i="58"/>
  <c r="N54" i="58"/>
  <c r="N53" i="58"/>
  <c r="N52" i="58"/>
  <c r="N51" i="58"/>
  <c r="N50" i="58"/>
  <c r="N49" i="58"/>
  <c r="N48" i="58"/>
  <c r="N47" i="58"/>
  <c r="N46" i="58"/>
  <c r="N45" i="58"/>
  <c r="N44" i="58"/>
  <c r="N43" i="58"/>
  <c r="N42" i="58"/>
  <c r="N41" i="58"/>
  <c r="N40" i="58"/>
  <c r="N39" i="58"/>
  <c r="N38" i="58"/>
  <c r="N37" i="58"/>
  <c r="N36" i="58"/>
  <c r="N35" i="58"/>
  <c r="N34" i="58"/>
  <c r="N33" i="58"/>
  <c r="N32" i="58"/>
  <c r="N31" i="58"/>
  <c r="N30" i="58"/>
  <c r="N29" i="58"/>
  <c r="N28" i="58"/>
  <c r="N27" i="58"/>
  <c r="N26" i="58"/>
  <c r="N25" i="58"/>
  <c r="N24" i="58"/>
  <c r="N23" i="58"/>
  <c r="N22" i="58"/>
  <c r="N21" i="58"/>
  <c r="N20" i="58"/>
  <c r="N19" i="58"/>
  <c r="N18" i="58"/>
  <c r="N17" i="58"/>
  <c r="N16" i="58"/>
  <c r="N15" i="58"/>
  <c r="N14" i="58"/>
  <c r="N13" i="58"/>
  <c r="N12" i="58"/>
  <c r="N11" i="58"/>
  <c r="N10" i="58"/>
  <c r="N9" i="58"/>
  <c r="N8" i="58"/>
  <c r="N7" i="58"/>
  <c r="N6" i="58"/>
  <c r="N5" i="58"/>
  <c r="N4" i="58"/>
  <c r="N3" i="58"/>
  <c r="O95" i="58"/>
  <c r="O91" i="58"/>
  <c r="O87" i="58"/>
  <c r="M1" i="58"/>
  <c r="N1" i="58"/>
  <c r="O95" i="41"/>
  <c r="K94" i="47"/>
  <c r="K90" i="47"/>
  <c r="O87" i="41"/>
  <c r="O83" i="41"/>
  <c r="O79" i="41"/>
  <c r="O75" i="41"/>
  <c r="K71" i="47"/>
  <c r="K64" i="47"/>
  <c r="O59" i="41"/>
  <c r="K58" i="47"/>
  <c r="O55" i="41"/>
  <c r="K54" i="47"/>
  <c r="K51" i="47"/>
  <c r="K48" i="47"/>
  <c r="K45" i="47"/>
  <c r="O43" i="41"/>
  <c r="O39" i="41"/>
  <c r="K37" i="47"/>
  <c r="O35" i="41"/>
  <c r="K31" i="47"/>
  <c r="K28" i="47"/>
  <c r="O27" i="41"/>
  <c r="K22" i="47"/>
  <c r="O19" i="41"/>
  <c r="K15" i="47"/>
  <c r="O11" i="41"/>
  <c r="O3" i="41"/>
  <c r="K2" i="47"/>
  <c r="L91" i="47"/>
  <c r="L83" i="47"/>
  <c r="L81" i="47"/>
  <c r="L69" i="47"/>
  <c r="L65" i="47"/>
  <c r="L62" i="47"/>
  <c r="L59" i="47"/>
  <c r="L52" i="47"/>
  <c r="L46" i="47"/>
  <c r="L26" i="47"/>
  <c r="L23" i="47"/>
  <c r="L11" i="47"/>
  <c r="L8" i="47"/>
  <c r="L3" i="47"/>
  <c r="C39" i="47"/>
  <c r="B92" i="47"/>
  <c r="CC21" i="39"/>
  <c r="CC33" i="39" s="1"/>
  <c r="CC45" i="39" s="1"/>
  <c r="CC57" i="39" s="1"/>
  <c r="B96" i="47"/>
  <c r="B88" i="47"/>
  <c r="C19" i="47"/>
  <c r="B68" i="47"/>
  <c r="C94" i="47"/>
  <c r="C90" i="47"/>
  <c r="C86" i="47"/>
  <c r="C14" i="47"/>
  <c r="C95" i="47"/>
  <c r="C91" i="47"/>
  <c r="B87" i="47"/>
  <c r="CC29" i="39"/>
  <c r="CC63" i="39"/>
  <c r="CC43" i="39"/>
  <c r="CC61" i="39"/>
  <c r="CC59" i="39"/>
  <c r="P4" i="41"/>
  <c r="P8" i="41"/>
  <c r="P12" i="41"/>
  <c r="P16" i="41"/>
  <c r="P20" i="41"/>
  <c r="P24" i="41"/>
  <c r="P28" i="41"/>
  <c r="P32" i="41"/>
  <c r="P36" i="41"/>
  <c r="P40" i="41"/>
  <c r="P44" i="41"/>
  <c r="P48" i="41"/>
  <c r="P52" i="41"/>
  <c r="P56" i="41"/>
  <c r="P60" i="41"/>
  <c r="P64" i="41"/>
  <c r="P68" i="41"/>
  <c r="P72" i="41"/>
  <c r="P76" i="41"/>
  <c r="P80" i="41"/>
  <c r="P84" i="41"/>
  <c r="P88" i="41"/>
  <c r="P92" i="41"/>
  <c r="P96" i="41"/>
  <c r="S97" i="41"/>
  <c r="S93" i="41"/>
  <c r="S89" i="41"/>
  <c r="O1" i="41"/>
  <c r="O94" i="41"/>
  <c r="O90" i="41"/>
  <c r="O86" i="41"/>
  <c r="O82" i="41"/>
  <c r="O78" i="41"/>
  <c r="O74" i="41"/>
  <c r="O70" i="41"/>
  <c r="O66" i="41"/>
  <c r="O62" i="41"/>
  <c r="O58" i="41"/>
  <c r="O54" i="41"/>
  <c r="O50" i="41"/>
  <c r="O46" i="41"/>
  <c r="O42" i="41"/>
  <c r="O38" i="41"/>
  <c r="O34" i="41"/>
  <c r="O30" i="41"/>
  <c r="O26" i="41"/>
  <c r="O22" i="41"/>
  <c r="O18" i="41"/>
  <c r="O14" i="41"/>
  <c r="O10" i="41"/>
  <c r="O6" i="41"/>
  <c r="O2" i="41"/>
  <c r="Q95" i="41"/>
  <c r="Q91" i="41"/>
  <c r="Q87" i="41"/>
  <c r="Q83" i="41"/>
  <c r="Q79" i="41"/>
  <c r="Q75" i="41"/>
  <c r="Q71" i="41"/>
  <c r="Q67" i="41"/>
  <c r="Q63" i="41"/>
  <c r="Q59" i="41"/>
  <c r="Q55" i="41"/>
  <c r="Q51" i="41"/>
  <c r="Q47" i="41"/>
  <c r="Q43" i="41"/>
  <c r="Q39" i="41"/>
  <c r="Q35" i="41"/>
  <c r="Q31" i="41"/>
  <c r="Q27" i="41"/>
  <c r="Q23" i="41"/>
  <c r="Q19" i="41"/>
  <c r="Q15" i="41"/>
  <c r="Q11" i="41"/>
  <c r="Q7" i="41"/>
  <c r="Q3" i="41"/>
  <c r="L1" i="47"/>
  <c r="K3" i="47"/>
  <c r="L6" i="47"/>
  <c r="K8" i="47"/>
  <c r="L9" i="47"/>
  <c r="K11" i="47"/>
  <c r="K16" i="47"/>
  <c r="K18" i="47"/>
  <c r="K20" i="47"/>
  <c r="L21" i="47"/>
  <c r="K23" i="47"/>
  <c r="L24" i="47"/>
  <c r="K26" i="47"/>
  <c r="L27" i="47"/>
  <c r="K29" i="47"/>
  <c r="K32" i="47"/>
  <c r="L33" i="47"/>
  <c r="K35" i="47"/>
  <c r="L36" i="47"/>
  <c r="K38" i="47"/>
  <c r="K40" i="47"/>
  <c r="L41" i="47"/>
  <c r="K43" i="47"/>
  <c r="L44" i="47"/>
  <c r="K46" i="47"/>
  <c r="L47" i="47"/>
  <c r="K49" i="47"/>
  <c r="K52" i="47"/>
  <c r="L53" i="47"/>
  <c r="L55" i="47"/>
  <c r="L57" i="47"/>
  <c r="K59" i="47"/>
  <c r="L60" i="47"/>
  <c r="K62" i="47"/>
  <c r="K65" i="47"/>
  <c r="K69" i="47"/>
  <c r="L72" i="47"/>
  <c r="K74" i="47"/>
  <c r="L75" i="47"/>
  <c r="L78" i="47"/>
  <c r="K81" i="47"/>
  <c r="K83" i="47"/>
  <c r="K97" i="47"/>
  <c r="B97" i="47"/>
  <c r="L94" i="47"/>
  <c r="K93" i="47"/>
  <c r="B93" i="47"/>
  <c r="L90" i="47"/>
  <c r="K89" i="47"/>
  <c r="B89" i="47"/>
  <c r="P3" i="41"/>
  <c r="P7" i="41"/>
  <c r="P11" i="41"/>
  <c r="P15" i="41"/>
  <c r="P19" i="41"/>
  <c r="P23" i="41"/>
  <c r="P27" i="41"/>
  <c r="P31" i="41"/>
  <c r="P35" i="41"/>
  <c r="P39" i="41"/>
  <c r="P43" i="41"/>
  <c r="P47" i="41"/>
  <c r="P51" i="41"/>
  <c r="P55" i="41"/>
  <c r="P59" i="41"/>
  <c r="P63" i="41"/>
  <c r="P67" i="41"/>
  <c r="P71" i="41"/>
  <c r="P75" i="41"/>
  <c r="P79" i="41"/>
  <c r="P83" i="41"/>
  <c r="P87" i="41"/>
  <c r="P91" i="41"/>
  <c r="P95" i="41"/>
  <c r="S96" i="41"/>
  <c r="S92" i="41"/>
  <c r="S88" i="41"/>
  <c r="O97" i="41"/>
  <c r="O93" i="41"/>
  <c r="O89" i="41"/>
  <c r="O85" i="41"/>
  <c r="O81" i="41"/>
  <c r="O77" i="41"/>
  <c r="O73" i="41"/>
  <c r="O69" i="41"/>
  <c r="O65" i="41"/>
  <c r="O61" i="41"/>
  <c r="O57" i="41"/>
  <c r="O53" i="41"/>
  <c r="O49" i="41"/>
  <c r="O45" i="41"/>
  <c r="O41" i="41"/>
  <c r="O37" i="41"/>
  <c r="O33" i="41"/>
  <c r="O29" i="41"/>
  <c r="O25" i="41"/>
  <c r="O21" i="41"/>
  <c r="O17" i="41"/>
  <c r="O13" i="41"/>
  <c r="O9" i="41"/>
  <c r="O5" i="41"/>
  <c r="Q94" i="41"/>
  <c r="Q90" i="41"/>
  <c r="Q86" i="41"/>
  <c r="Q82" i="41"/>
  <c r="Q78" i="41"/>
  <c r="Q74" i="41"/>
  <c r="Q70" i="41"/>
  <c r="Q66" i="41"/>
  <c r="Q62" i="41"/>
  <c r="Q58" i="41"/>
  <c r="Q54" i="41"/>
  <c r="Q50" i="41"/>
  <c r="Q46" i="41"/>
  <c r="Q42" i="41"/>
  <c r="Q38" i="41"/>
  <c r="Q34" i="41"/>
  <c r="Q30" i="41"/>
  <c r="Q26" i="41"/>
  <c r="Q22" i="41"/>
  <c r="Q18" i="41"/>
  <c r="Q14" i="41"/>
  <c r="Q10" i="41"/>
  <c r="Q6" i="41"/>
  <c r="Q2" i="41"/>
  <c r="K1" i="47"/>
  <c r="L4" i="47"/>
  <c r="K6" i="47"/>
  <c r="L7" i="47"/>
  <c r="K9" i="47"/>
  <c r="L12" i="47"/>
  <c r="L14" i="47"/>
  <c r="L17" i="47"/>
  <c r="L19" i="47"/>
  <c r="K21" i="47"/>
  <c r="K24" i="47"/>
  <c r="L25" i="47"/>
  <c r="K27" i="47"/>
  <c r="L30" i="47"/>
  <c r="K33" i="47"/>
  <c r="K36" i="47"/>
  <c r="L37" i="47"/>
  <c r="L39" i="47"/>
  <c r="K41" i="47"/>
  <c r="K44" i="47"/>
  <c r="L45" i="47"/>
  <c r="K47" i="47"/>
  <c r="L50" i="47"/>
  <c r="K53" i="47"/>
  <c r="K55" i="47"/>
  <c r="K57" i="47"/>
  <c r="K60" i="47"/>
  <c r="L61" i="47"/>
  <c r="L63" i="47"/>
  <c r="L66" i="47"/>
  <c r="L68" i="47"/>
  <c r="L70" i="47"/>
  <c r="K72" i="47"/>
  <c r="L73" i="47"/>
  <c r="K75" i="47"/>
  <c r="L76" i="47"/>
  <c r="K78" i="47"/>
  <c r="L79" i="47"/>
  <c r="L82" i="47"/>
  <c r="L84" i="47"/>
  <c r="L97" i="47"/>
  <c r="K96" i="47"/>
  <c r="L93" i="47"/>
  <c r="K92" i="47"/>
  <c r="L89" i="47"/>
  <c r="K88" i="47"/>
  <c r="K87" i="47"/>
  <c r="P2" i="41"/>
  <c r="P6" i="41"/>
  <c r="P10" i="41"/>
  <c r="P14" i="41"/>
  <c r="P18" i="41"/>
  <c r="P22" i="41"/>
  <c r="P26" i="41"/>
  <c r="P30" i="41"/>
  <c r="P34" i="41"/>
  <c r="P38" i="41"/>
  <c r="P42" i="41"/>
  <c r="P46" i="41"/>
  <c r="P50" i="41"/>
  <c r="P54" i="41"/>
  <c r="P58" i="41"/>
  <c r="P62" i="41"/>
  <c r="P66" i="41"/>
  <c r="P70" i="41"/>
  <c r="P74" i="41"/>
  <c r="P78" i="41"/>
  <c r="P82" i="41"/>
  <c r="P86" i="41"/>
  <c r="P90" i="41"/>
  <c r="P94" i="41"/>
  <c r="S95" i="41"/>
  <c r="S91" i="41"/>
  <c r="S87" i="41"/>
  <c r="O96" i="41"/>
  <c r="O92" i="41"/>
  <c r="O88" i="41"/>
  <c r="O84" i="41"/>
  <c r="O80" i="41"/>
  <c r="O76" i="41"/>
  <c r="O72" i="41"/>
  <c r="O68" i="41"/>
  <c r="O64" i="41"/>
  <c r="O60" i="41"/>
  <c r="O56" i="41"/>
  <c r="O52" i="41"/>
  <c r="O48" i="41"/>
  <c r="O44" i="41"/>
  <c r="O40" i="41"/>
  <c r="O36" i="41"/>
  <c r="O32" i="41"/>
  <c r="O28" i="41"/>
  <c r="O24" i="41"/>
  <c r="O20" i="41"/>
  <c r="O16" i="41"/>
  <c r="O12" i="41"/>
  <c r="O8" i="41"/>
  <c r="O4" i="41"/>
  <c r="Q97" i="41"/>
  <c r="Q93" i="41"/>
  <c r="Q89" i="41"/>
  <c r="Q85" i="41"/>
  <c r="Q81" i="41"/>
  <c r="Q77" i="41"/>
  <c r="Q73" i="41"/>
  <c r="Q69" i="41"/>
  <c r="Q65" i="41"/>
  <c r="Q61" i="41"/>
  <c r="Q57" i="41"/>
  <c r="Q53" i="41"/>
  <c r="Q49" i="41"/>
  <c r="Q45" i="41"/>
  <c r="Q41" i="41"/>
  <c r="Q37" i="41"/>
  <c r="Q33" i="41"/>
  <c r="Q29" i="41"/>
  <c r="Q25" i="41"/>
  <c r="Q21" i="41"/>
  <c r="Q17" i="41"/>
  <c r="Q13" i="41"/>
  <c r="Q9" i="41"/>
  <c r="Q5" i="41"/>
  <c r="L2" i="47"/>
  <c r="K4" i="47"/>
  <c r="L5" i="47"/>
  <c r="K7" i="47"/>
  <c r="L10" i="47"/>
  <c r="K12" i="47"/>
  <c r="L13" i="47"/>
  <c r="K14" i="47"/>
  <c r="L15" i="47"/>
  <c r="K17" i="47"/>
  <c r="K19" i="47"/>
  <c r="L22" i="47"/>
  <c r="K25" i="47"/>
  <c r="L28" i="47"/>
  <c r="K30" i="47"/>
  <c r="L31" i="47"/>
  <c r="L34" i="47"/>
  <c r="K39" i="47"/>
  <c r="L42" i="47"/>
  <c r="L48" i="47"/>
  <c r="K50" i="47"/>
  <c r="L51" i="47"/>
  <c r="L54" i="47"/>
  <c r="L56" i="47"/>
  <c r="L58" i="47"/>
  <c r="K61" i="47"/>
  <c r="K63" i="47"/>
  <c r="L64" i="47"/>
  <c r="K66" i="47"/>
  <c r="L67" i="47"/>
  <c r="K68" i="47"/>
  <c r="K70" i="47"/>
  <c r="L71" i="47"/>
  <c r="K73" i="47"/>
  <c r="K76" i="47"/>
  <c r="L77" i="47"/>
  <c r="K79" i="47"/>
  <c r="L80" i="47"/>
  <c r="K82" i="47"/>
  <c r="K84" i="47"/>
  <c r="L85" i="47"/>
  <c r="L96" i="47"/>
  <c r="K95" i="47"/>
  <c r="L92" i="47"/>
  <c r="K91" i="47"/>
  <c r="L88" i="47"/>
  <c r="L87" i="47"/>
  <c r="K86" i="47"/>
  <c r="P1" i="41"/>
  <c r="P5" i="41"/>
  <c r="P9" i="41"/>
  <c r="P13" i="41"/>
  <c r="P17" i="41"/>
  <c r="P21" i="41"/>
  <c r="P25" i="41"/>
  <c r="P29" i="41"/>
  <c r="P33" i="41"/>
  <c r="P37" i="41"/>
  <c r="P41" i="41"/>
  <c r="P45" i="41"/>
  <c r="P49" i="41"/>
  <c r="P53" i="41"/>
  <c r="P57" i="41"/>
  <c r="P61" i="41"/>
  <c r="P65" i="41"/>
  <c r="P69" i="41"/>
  <c r="P73" i="41"/>
  <c r="P77" i="41"/>
  <c r="P81" i="41"/>
  <c r="P85" i="41"/>
  <c r="P89" i="41"/>
  <c r="P93" i="41"/>
  <c r="P97" i="41"/>
  <c r="S94" i="41"/>
  <c r="S90" i="41"/>
  <c r="S86" i="41"/>
  <c r="O91" i="41"/>
  <c r="O71" i="41"/>
  <c r="O67" i="41"/>
  <c r="O63" i="41"/>
  <c r="O51" i="41"/>
  <c r="O47" i="41"/>
  <c r="O31" i="41"/>
  <c r="O23" i="41"/>
  <c r="O15" i="41"/>
  <c r="O7" i="41"/>
  <c r="Q96" i="41"/>
  <c r="Q92" i="41"/>
  <c r="Q88" i="41"/>
  <c r="Q84" i="41"/>
  <c r="Q80" i="41"/>
  <c r="Q76" i="41"/>
  <c r="Q72" i="41"/>
  <c r="Q68" i="41"/>
  <c r="Q64" i="41"/>
  <c r="Q60" i="41"/>
  <c r="Q56" i="41"/>
  <c r="Q52" i="41"/>
  <c r="Q48" i="41"/>
  <c r="Q44" i="41"/>
  <c r="Q40" i="41"/>
  <c r="Q36" i="41"/>
  <c r="Q32" i="41"/>
  <c r="Q28" i="41"/>
  <c r="Q24" i="41"/>
  <c r="Q20" i="41"/>
  <c r="Q16" i="41"/>
  <c r="Q12" i="41"/>
  <c r="Q8" i="41"/>
  <c r="Q4" i="41"/>
  <c r="K5" i="47"/>
  <c r="K10" i="47"/>
  <c r="K13" i="47"/>
  <c r="L16" i="47"/>
  <c r="L18" i="47"/>
  <c r="L20" i="47"/>
  <c r="L29" i="47"/>
  <c r="L32" i="47"/>
  <c r="K34" i="47"/>
  <c r="L35" i="47"/>
  <c r="L38" i="47"/>
  <c r="L40" i="47"/>
  <c r="K42" i="47"/>
  <c r="L43" i="47"/>
  <c r="L49" i="47"/>
  <c r="K56" i="47"/>
  <c r="K67" i="47"/>
  <c r="L74" i="47"/>
  <c r="K77" i="47"/>
  <c r="K80" i="47"/>
  <c r="K85" i="47"/>
  <c r="L95" i="47"/>
  <c r="L86" i="47"/>
  <c r="CR70" i="6"/>
  <c r="AS85" i="6" s="1"/>
  <c r="CR62" i="6"/>
  <c r="AS77" i="6" s="1"/>
  <c r="C27" i="47"/>
  <c r="C47" i="47"/>
  <c r="C56" i="47"/>
  <c r="B78" i="47"/>
  <c r="C13" i="47"/>
  <c r="C24" i="47"/>
  <c r="C33" i="47"/>
  <c r="C36" i="47"/>
  <c r="C44" i="47"/>
  <c r="C55" i="47"/>
  <c r="B66" i="47"/>
  <c r="B72" i="47"/>
  <c r="B82" i="47"/>
  <c r="C23" i="47"/>
  <c r="C29" i="47"/>
  <c r="C32" i="47"/>
  <c r="C35" i="47"/>
  <c r="C43" i="47"/>
  <c r="C49" i="47"/>
  <c r="C52" i="47"/>
  <c r="B70" i="47"/>
  <c r="B76" i="47"/>
  <c r="B84" i="47"/>
  <c r="C17" i="47"/>
  <c r="C20" i="47"/>
  <c r="C28" i="47"/>
  <c r="C31" i="47"/>
  <c r="C40" i="47"/>
  <c r="C48" i="47"/>
  <c r="C51" i="47"/>
  <c r="C59" i="47"/>
  <c r="B64" i="47"/>
  <c r="B74" i="47"/>
  <c r="B80" i="47"/>
  <c r="C21" i="47"/>
  <c r="B22" i="47"/>
  <c r="C22" i="47"/>
  <c r="C37" i="47"/>
  <c r="B38" i="47"/>
  <c r="C38" i="47"/>
  <c r="C53" i="47"/>
  <c r="B54" i="47"/>
  <c r="C54" i="47"/>
  <c r="B62" i="47"/>
  <c r="C63" i="47"/>
  <c r="B63" i="47"/>
  <c r="C67" i="47"/>
  <c r="B67" i="47"/>
  <c r="C71" i="47"/>
  <c r="B71" i="47"/>
  <c r="C75" i="47"/>
  <c r="B75" i="47"/>
  <c r="C79" i="47"/>
  <c r="B79" i="47"/>
  <c r="C83" i="47"/>
  <c r="B83" i="47"/>
  <c r="B34" i="47"/>
  <c r="C34" i="47"/>
  <c r="C25" i="47"/>
  <c r="B26" i="47"/>
  <c r="C26" i="47"/>
  <c r="C41" i="47"/>
  <c r="B42" i="47"/>
  <c r="C42" i="47"/>
  <c r="C57" i="47"/>
  <c r="B58" i="47"/>
  <c r="C58" i="47"/>
  <c r="B18" i="47"/>
  <c r="C18" i="47"/>
  <c r="B50" i="47"/>
  <c r="C50" i="47"/>
  <c r="B30" i="47"/>
  <c r="C30" i="47"/>
  <c r="C45" i="47"/>
  <c r="B46" i="47"/>
  <c r="C46" i="47"/>
  <c r="C65" i="47"/>
  <c r="B65" i="47"/>
  <c r="C69" i="47"/>
  <c r="B69" i="47"/>
  <c r="C73" i="47"/>
  <c r="B73" i="47"/>
  <c r="C77" i="47"/>
  <c r="B77" i="47"/>
  <c r="C81" i="47"/>
  <c r="B81" i="47"/>
  <c r="C2" i="47"/>
  <c r="B2" i="47"/>
  <c r="B15" i="47"/>
  <c r="C15" i="47"/>
  <c r="C60" i="47"/>
  <c r="B60" i="47"/>
  <c r="C4" i="47"/>
  <c r="B4" i="47"/>
  <c r="C8" i="47"/>
  <c r="B8" i="47"/>
  <c r="C5" i="47"/>
  <c r="B5" i="47"/>
  <c r="C9" i="47"/>
  <c r="B9" i="47"/>
  <c r="B11" i="47"/>
  <c r="C11" i="47"/>
  <c r="B12" i="47"/>
  <c r="C12" i="47"/>
  <c r="C7" i="47"/>
  <c r="B7" i="47"/>
  <c r="C3" i="47"/>
  <c r="B3" i="47"/>
  <c r="C6" i="47"/>
  <c r="B6" i="47"/>
  <c r="C10" i="47"/>
  <c r="B10" i="47"/>
  <c r="B16" i="47"/>
  <c r="C16" i="47"/>
  <c r="B61" i="47"/>
  <c r="B85" i="47"/>
  <c r="CR71" i="6"/>
  <c r="AS86" i="6" s="1"/>
  <c r="CR63" i="6"/>
  <c r="AS78" i="6" s="1"/>
  <c r="CR66" i="6"/>
  <c r="AS81" i="6" s="1"/>
  <c r="B20" i="41"/>
  <c r="C43" i="41"/>
  <c r="C47" i="41"/>
  <c r="CD70" i="6"/>
  <c r="B14" i="41"/>
  <c r="C16" i="41"/>
  <c r="C25" i="41"/>
  <c r="B65" i="41"/>
  <c r="B87" i="41"/>
  <c r="B6" i="41"/>
  <c r="C8" i="41"/>
  <c r="C59" i="41"/>
  <c r="B73" i="41"/>
  <c r="B91" i="41"/>
  <c r="B26" i="41"/>
  <c r="B33" i="41"/>
  <c r="C35" i="41"/>
  <c r="C51" i="41"/>
  <c r="B64" i="41"/>
  <c r="B72" i="41"/>
  <c r="B79" i="41"/>
  <c r="C39" i="41"/>
  <c r="C55" i="41"/>
  <c r="C66" i="41"/>
  <c r="C74" i="41"/>
  <c r="B83" i="41"/>
  <c r="CR68" i="6"/>
  <c r="AS83" i="6" s="1"/>
  <c r="B4" i="41"/>
  <c r="B12" i="41"/>
  <c r="B18" i="41"/>
  <c r="B24" i="41"/>
  <c r="B31" i="41"/>
  <c r="B32" i="41"/>
  <c r="B37" i="41"/>
  <c r="B62" i="41"/>
  <c r="B63" i="41"/>
  <c r="B70" i="41"/>
  <c r="B71" i="41"/>
  <c r="C78" i="41"/>
  <c r="C82" i="41"/>
  <c r="C86" i="41"/>
  <c r="C90" i="41"/>
  <c r="B93" i="41"/>
  <c r="B2" i="41"/>
  <c r="B10" i="41"/>
  <c r="B22" i="41"/>
  <c r="C29" i="41"/>
  <c r="B30" i="41"/>
  <c r="C41" i="41"/>
  <c r="C45" i="41"/>
  <c r="C49" i="41"/>
  <c r="C53" i="41"/>
  <c r="C57" i="41"/>
  <c r="C61" i="41"/>
  <c r="B68" i="41"/>
  <c r="B69" i="41"/>
  <c r="B76" i="41"/>
  <c r="B77" i="41"/>
  <c r="B81" i="41"/>
  <c r="B85" i="41"/>
  <c r="B89" i="41"/>
  <c r="B95" i="41"/>
  <c r="C27" i="41"/>
  <c r="B28" i="41"/>
  <c r="B67" i="41"/>
  <c r="B75" i="41"/>
  <c r="C80" i="41"/>
  <c r="C84" i="41"/>
  <c r="C88" i="41"/>
  <c r="C3" i="41"/>
  <c r="B3" i="41"/>
  <c r="C5" i="41"/>
  <c r="B5" i="41"/>
  <c r="C7" i="41"/>
  <c r="B7" i="41"/>
  <c r="C9" i="41"/>
  <c r="B9" i="41"/>
  <c r="C11" i="41"/>
  <c r="B11" i="41"/>
  <c r="C19" i="41"/>
  <c r="B19" i="41"/>
  <c r="C13" i="41"/>
  <c r="B13" i="41"/>
  <c r="C21" i="41"/>
  <c r="B21" i="41"/>
  <c r="C42" i="41"/>
  <c r="B42" i="41"/>
  <c r="C46" i="41"/>
  <c r="B46" i="41"/>
  <c r="C50" i="41"/>
  <c r="B50" i="41"/>
  <c r="C54" i="41"/>
  <c r="B54" i="41"/>
  <c r="C58" i="41"/>
  <c r="B58" i="41"/>
  <c r="C15" i="41"/>
  <c r="B15" i="41"/>
  <c r="C23" i="41"/>
  <c r="B23" i="41"/>
  <c r="C17" i="41"/>
  <c r="B17" i="41"/>
  <c r="C40" i="41"/>
  <c r="B40" i="41"/>
  <c r="C44" i="41"/>
  <c r="B44" i="41"/>
  <c r="C48" i="41"/>
  <c r="B48" i="41"/>
  <c r="C52" i="41"/>
  <c r="B52" i="41"/>
  <c r="C56" i="41"/>
  <c r="B56" i="41"/>
  <c r="C60" i="41"/>
  <c r="B60" i="41"/>
  <c r="C34" i="41"/>
  <c r="B34" i="41"/>
  <c r="C36" i="41"/>
  <c r="B36" i="41"/>
  <c r="C38" i="41"/>
  <c r="B38" i="41"/>
  <c r="C97" i="41"/>
  <c r="B92" i="41"/>
  <c r="B94" i="41"/>
  <c r="B96" i="41"/>
  <c r="DF69" i="6"/>
  <c r="AQ84" i="6" s="1"/>
  <c r="DE61" i="6"/>
  <c r="AP76" i="6" s="1"/>
  <c r="DF65" i="6"/>
  <c r="AQ80" i="6" s="1"/>
  <c r="DE69" i="6"/>
  <c r="AP84" i="6" s="1"/>
  <c r="DF61" i="6"/>
  <c r="AQ76" i="6" s="1"/>
  <c r="DJ61" i="6"/>
  <c r="DE65" i="6"/>
  <c r="AP80" i="6" s="1"/>
  <c r="DK64" i="6"/>
  <c r="DE67" i="6"/>
  <c r="AP82" i="6" s="1"/>
  <c r="DF63" i="6"/>
  <c r="AQ78" i="6" s="1"/>
  <c r="DE66" i="6"/>
  <c r="AP81" i="6" s="1"/>
  <c r="DK67" i="6"/>
  <c r="DF70" i="6"/>
  <c r="AQ85" i="6" s="1"/>
  <c r="DF62" i="6"/>
  <c r="AQ77" i="6" s="1"/>
  <c r="DE71" i="6"/>
  <c r="AP86" i="6" s="1"/>
  <c r="DE63" i="6"/>
  <c r="AP78" i="6" s="1"/>
  <c r="DF71" i="6"/>
  <c r="AQ86" i="6" s="1"/>
  <c r="DF67" i="6"/>
  <c r="AQ82" i="6" s="1"/>
  <c r="DK63" i="6"/>
  <c r="DE70" i="6"/>
  <c r="AP85" i="6" s="1"/>
  <c r="DE62" i="6"/>
  <c r="AP77" i="6" s="1"/>
  <c r="DK71" i="6"/>
  <c r="DF66" i="6"/>
  <c r="AQ81" i="6" s="1"/>
  <c r="DK70" i="6"/>
  <c r="DK66" i="6"/>
  <c r="DK62" i="6"/>
  <c r="DF72" i="6"/>
  <c r="AQ87" i="6" s="1"/>
  <c r="DF68" i="6"/>
  <c r="AQ83" i="6" s="1"/>
  <c r="DF64" i="6"/>
  <c r="AQ79" i="6" s="1"/>
  <c r="DK72" i="6"/>
  <c r="DK68" i="6"/>
  <c r="DE64" i="6"/>
  <c r="AP79" i="6" s="1"/>
  <c r="DE72" i="6"/>
  <c r="AP87" i="6" s="1"/>
  <c r="DE68" i="6"/>
  <c r="AP83" i="6" s="1"/>
  <c r="CQ61" i="6"/>
  <c r="AR76" i="6" s="1"/>
  <c r="DK61" i="6"/>
  <c r="DK65" i="6"/>
  <c r="DK69" i="6"/>
  <c r="CC65" i="6"/>
  <c r="CC61" i="6"/>
  <c r="CD62" i="6"/>
  <c r="CC69" i="6"/>
  <c r="CD66" i="6"/>
  <c r="CD67" i="6"/>
  <c r="CC71" i="6"/>
  <c r="CI63" i="6"/>
  <c r="AU78" i="6" s="1"/>
  <c r="BO69" i="6"/>
  <c r="BO61" i="6"/>
  <c r="AV76" i="6" s="1"/>
  <c r="AS64" i="6"/>
  <c r="AS68" i="6"/>
  <c r="AS63" i="6"/>
  <c r="AS67" i="6"/>
  <c r="AS71" i="6"/>
  <c r="AS72" i="6"/>
  <c r="AS65" i="6"/>
  <c r="AS69" i="6"/>
  <c r="AS62" i="6"/>
  <c r="AS66" i="6"/>
  <c r="AS70" i="6"/>
  <c r="E10" i="27" l="1"/>
  <c r="O10" i="27" s="1"/>
  <c r="AV84" i="6"/>
  <c r="AV28" i="6"/>
  <c r="AV55" i="6"/>
  <c r="AS61" i="6"/>
  <c r="AV53" i="6"/>
  <c r="BG64" i="6"/>
  <c r="CH70" i="6"/>
  <c r="AT85" i="6" s="1"/>
  <c r="BF71" i="6"/>
  <c r="AR67" i="6"/>
  <c r="CH72" i="6"/>
  <c r="AT87" i="6" s="1"/>
  <c r="CV68" i="6"/>
  <c r="CV70" i="6"/>
  <c r="AR63" i="6"/>
  <c r="BF62" i="6"/>
  <c r="DJ66" i="6"/>
  <c r="AR68" i="6"/>
  <c r="BT68" i="6"/>
  <c r="CV67" i="6"/>
  <c r="AR66" i="6"/>
  <c r="BF72" i="6"/>
  <c r="BF65" i="6"/>
  <c r="BT71" i="6"/>
  <c r="BT70" i="6"/>
  <c r="CH63" i="6"/>
  <c r="AT78" i="6" s="1"/>
  <c r="DJ72" i="6"/>
  <c r="AR62" i="6"/>
  <c r="AR69" i="6"/>
  <c r="AR64" i="6"/>
  <c r="BF68" i="6"/>
  <c r="BF69" i="6"/>
  <c r="BT67" i="6"/>
  <c r="BT66" i="6"/>
  <c r="BT63" i="6"/>
  <c r="BT64" i="6"/>
  <c r="BT65" i="6"/>
  <c r="CV66" i="6"/>
  <c r="CV63" i="6"/>
  <c r="CV64" i="6"/>
  <c r="CV69" i="6"/>
  <c r="CH67" i="6"/>
  <c r="AT82" i="6" s="1"/>
  <c r="CH65" i="6"/>
  <c r="AT80" i="6" s="1"/>
  <c r="DJ62" i="6"/>
  <c r="DJ68" i="6"/>
  <c r="AR71" i="6"/>
  <c r="AR65" i="6"/>
  <c r="BF67" i="6"/>
  <c r="BF64" i="6"/>
  <c r="BF61" i="6"/>
  <c r="BT62" i="6"/>
  <c r="BT69" i="6"/>
  <c r="CH64" i="6"/>
  <c r="AT79" i="6" s="1"/>
  <c r="CV62" i="6"/>
  <c r="CV65" i="6"/>
  <c r="CH69" i="6"/>
  <c r="AT84" i="6" s="1"/>
  <c r="DJ64" i="6"/>
  <c r="DJ67" i="6"/>
  <c r="DJ65" i="6"/>
  <c r="AR70" i="6"/>
  <c r="AR72" i="6"/>
  <c r="BF63" i="6"/>
  <c r="BF66" i="6"/>
  <c r="BF70" i="6"/>
  <c r="BT72" i="6"/>
  <c r="BT61" i="6"/>
  <c r="CH68" i="6"/>
  <c r="AT83" i="6" s="1"/>
  <c r="CV71" i="6"/>
  <c r="CH71" i="6"/>
  <c r="AT86" i="6" s="1"/>
  <c r="CV72" i="6"/>
  <c r="CV61" i="6"/>
  <c r="CH66" i="6"/>
  <c r="AT81" i="6" s="1"/>
  <c r="CH62" i="6"/>
  <c r="AT77" i="6" s="1"/>
  <c r="CH61" i="6"/>
  <c r="AT76" i="6" s="1"/>
  <c r="DJ70" i="6"/>
  <c r="DJ71" i="6"/>
  <c r="DJ63" i="6"/>
  <c r="DJ69" i="6"/>
  <c r="I137" i="27"/>
  <c r="S137" i="27" s="1"/>
  <c r="S89" i="27"/>
  <c r="I136" i="27"/>
  <c r="S136" i="27" s="1"/>
  <c r="S88" i="27"/>
  <c r="I144" i="27"/>
  <c r="S144" i="27" s="1"/>
  <c r="S96" i="27"/>
  <c r="O97" i="47"/>
  <c r="O93" i="47"/>
  <c r="O88" i="47"/>
  <c r="O80" i="47"/>
  <c r="O72" i="47"/>
  <c r="O64" i="47"/>
  <c r="O56" i="47"/>
  <c r="O48" i="47"/>
  <c r="O40" i="47"/>
  <c r="O32" i="47"/>
  <c r="O24" i="47"/>
  <c r="O16" i="47"/>
  <c r="O8" i="47"/>
  <c r="O87" i="47"/>
  <c r="O79" i="47"/>
  <c r="O71" i="47"/>
  <c r="O63" i="47"/>
  <c r="O55" i="47"/>
  <c r="O15" i="47"/>
  <c r="O7" i="47"/>
  <c r="O96" i="47"/>
  <c r="O92" i="47"/>
  <c r="O86" i="47"/>
  <c r="O78" i="47"/>
  <c r="O70" i="47"/>
  <c r="O89" i="47"/>
  <c r="O81" i="47"/>
  <c r="O73" i="47"/>
  <c r="O65" i="47"/>
  <c r="O57" i="47"/>
  <c r="O9" i="47"/>
  <c r="I142" i="27"/>
  <c r="S142" i="27" s="1"/>
  <c r="S94" i="27"/>
  <c r="O47" i="47"/>
  <c r="O39" i="47"/>
  <c r="O31" i="47"/>
  <c r="O23" i="47"/>
  <c r="O62" i="47"/>
  <c r="O54" i="47"/>
  <c r="O46" i="47"/>
  <c r="O38" i="47"/>
  <c r="O30" i="47"/>
  <c r="O22" i="47"/>
  <c r="O14" i="47"/>
  <c r="O6" i="47"/>
  <c r="O49" i="47"/>
  <c r="O41" i="47"/>
  <c r="O33" i="47"/>
  <c r="O25" i="47"/>
  <c r="O17" i="47"/>
  <c r="I141" i="27"/>
  <c r="S141" i="27" s="1"/>
  <c r="S93" i="27"/>
  <c r="O95" i="47"/>
  <c r="O91" i="47"/>
  <c r="O84" i="47"/>
  <c r="O76" i="47"/>
  <c r="O68" i="47"/>
  <c r="O60" i="47"/>
  <c r="O52" i="47"/>
  <c r="O44" i="47"/>
  <c r="O36" i="47"/>
  <c r="O28" i="47"/>
  <c r="O20" i="47"/>
  <c r="O12" i="47"/>
  <c r="O4" i="47"/>
  <c r="O83" i="47"/>
  <c r="O75" i="47"/>
  <c r="O67" i="47"/>
  <c r="O59" i="47"/>
  <c r="O51" i="47"/>
  <c r="O11" i="47"/>
  <c r="O3" i="47"/>
  <c r="O94" i="47"/>
  <c r="O90" i="47"/>
  <c r="O82" i="47"/>
  <c r="O74" i="47"/>
  <c r="O10" i="47"/>
  <c r="O85" i="47"/>
  <c r="O77" i="47"/>
  <c r="O69" i="47"/>
  <c r="O61" i="47"/>
  <c r="O53" i="47"/>
  <c r="O13" i="47"/>
  <c r="O5" i="47"/>
  <c r="I135" i="27"/>
  <c r="S135" i="27" s="1"/>
  <c r="S87" i="27"/>
  <c r="I143" i="27"/>
  <c r="S143" i="27" s="1"/>
  <c r="S95" i="27"/>
  <c r="O43" i="47"/>
  <c r="O35" i="47"/>
  <c r="O27" i="47"/>
  <c r="O19" i="47"/>
  <c r="O66" i="47"/>
  <c r="O58" i="47"/>
  <c r="O50" i="47"/>
  <c r="O42" i="47"/>
  <c r="O34" i="47"/>
  <c r="O26" i="47"/>
  <c r="O18" i="47"/>
  <c r="O45" i="47"/>
  <c r="O37" i="47"/>
  <c r="O29" i="47"/>
  <c r="O21" i="47"/>
  <c r="M85" i="58"/>
  <c r="M96" i="58"/>
  <c r="M92" i="58"/>
  <c r="M97" i="58"/>
  <c r="M95" i="58"/>
  <c r="M2" i="58"/>
  <c r="M52" i="58"/>
  <c r="M66" i="58"/>
  <c r="M73" i="58"/>
  <c r="M81" i="58"/>
  <c r="M89" i="58"/>
  <c r="M94" i="58"/>
  <c r="M93" i="58"/>
  <c r="M91" i="58"/>
  <c r="R158" i="47"/>
  <c r="S158" i="47"/>
  <c r="S159" i="47"/>
  <c r="O2" i="47"/>
  <c r="G137" i="29"/>
  <c r="O137" i="29" s="1"/>
  <c r="G140" i="29"/>
  <c r="O140" i="29" s="1"/>
  <c r="G135" i="29"/>
  <c r="O135" i="29" s="1"/>
  <c r="G139" i="29"/>
  <c r="O139" i="29" s="1"/>
  <c r="G142" i="29"/>
  <c r="O142" i="29" s="1"/>
  <c r="E143" i="31"/>
  <c r="J143" i="31" s="1"/>
  <c r="G134" i="29"/>
  <c r="O134" i="29" s="1"/>
  <c r="E134" i="31"/>
  <c r="J134" i="31" s="1"/>
  <c r="I13" i="26"/>
  <c r="H13" i="26"/>
  <c r="R159" i="47"/>
  <c r="H12" i="26"/>
  <c r="I12" i="26"/>
  <c r="E2" i="29"/>
  <c r="M2" i="29" s="1"/>
  <c r="E2" i="27"/>
  <c r="O2" i="27" s="1"/>
  <c r="C12" i="26"/>
  <c r="F142" i="30"/>
  <c r="M142" i="30" s="1"/>
  <c r="F138" i="30"/>
  <c r="M138" i="30" s="1"/>
  <c r="F134" i="30"/>
  <c r="M134" i="30" s="1"/>
  <c r="I138" i="27"/>
  <c r="S138" i="27" s="1"/>
  <c r="I134" i="27"/>
  <c r="S134" i="27" s="1"/>
  <c r="G138" i="29"/>
  <c r="O138" i="29" s="1"/>
  <c r="E141" i="31"/>
  <c r="J141" i="31" s="1"/>
  <c r="E136" i="31"/>
  <c r="J136" i="31" s="1"/>
  <c r="E135" i="31"/>
  <c r="J135" i="31" s="1"/>
  <c r="F141" i="30"/>
  <c r="M141" i="30" s="1"/>
  <c r="F137" i="30"/>
  <c r="M137" i="30" s="1"/>
  <c r="F145" i="30"/>
  <c r="M145" i="30" s="1"/>
  <c r="I145" i="27"/>
  <c r="S145" i="27" s="1"/>
  <c r="E137" i="31"/>
  <c r="J137" i="31" s="1"/>
  <c r="E138" i="31"/>
  <c r="J138" i="31" s="1"/>
  <c r="G143" i="29"/>
  <c r="O143" i="29" s="1"/>
  <c r="E139" i="31"/>
  <c r="J139" i="31" s="1"/>
  <c r="E144" i="31"/>
  <c r="J144" i="31" s="1"/>
  <c r="F144" i="30"/>
  <c r="M144" i="30" s="1"/>
  <c r="F140" i="30"/>
  <c r="M140" i="30" s="1"/>
  <c r="F136" i="30"/>
  <c r="M136" i="30" s="1"/>
  <c r="I139" i="27"/>
  <c r="S139" i="27" s="1"/>
  <c r="E140" i="31"/>
  <c r="J140" i="31" s="1"/>
  <c r="G141" i="29"/>
  <c r="O141" i="29" s="1"/>
  <c r="G145" i="29"/>
  <c r="O145" i="29" s="1"/>
  <c r="F143" i="30"/>
  <c r="M143" i="30" s="1"/>
  <c r="F139" i="30"/>
  <c r="M139" i="30" s="1"/>
  <c r="F135" i="30"/>
  <c r="M135" i="30" s="1"/>
  <c r="I140" i="27"/>
  <c r="S140" i="27" s="1"/>
  <c r="E142" i="31"/>
  <c r="J142" i="31" s="1"/>
  <c r="E145" i="31"/>
  <c r="J145" i="31" s="1"/>
  <c r="G136" i="29"/>
  <c r="O136" i="29" s="1"/>
  <c r="G8" i="31"/>
  <c r="G3" i="31"/>
  <c r="G7" i="31"/>
  <c r="G11" i="31"/>
  <c r="G13" i="31"/>
  <c r="G4" i="31"/>
  <c r="G10" i="31"/>
  <c r="G5" i="31"/>
  <c r="G9" i="31"/>
  <c r="G2" i="31"/>
  <c r="G6" i="31"/>
  <c r="G12" i="31"/>
  <c r="E10" i="28"/>
  <c r="K10" i="28" s="1"/>
  <c r="E2" i="28"/>
  <c r="K2" i="28" s="1"/>
  <c r="E10" i="29"/>
  <c r="M10" i="29" s="1"/>
  <c r="CD23" i="39"/>
  <c r="CE2" i="39"/>
  <c r="CE5" i="39"/>
  <c r="CE9" i="39"/>
  <c r="CE7" i="39"/>
  <c r="CE13" i="39"/>
  <c r="CD15" i="39"/>
  <c r="CE3" i="39"/>
  <c r="CE11" i="39"/>
  <c r="CD17" i="39"/>
  <c r="CD21" i="39"/>
  <c r="CD14" i="39"/>
  <c r="CD19" i="39"/>
  <c r="CD25" i="39"/>
  <c r="CC41" i="39"/>
  <c r="CC75" i="39"/>
  <c r="CC69" i="39"/>
  <c r="CE10" i="39"/>
  <c r="CD22" i="39"/>
  <c r="CC73" i="39"/>
  <c r="CC55" i="39"/>
  <c r="CE12" i="39"/>
  <c r="CD24" i="39"/>
  <c r="CC71" i="39"/>
  <c r="CE4" i="39"/>
  <c r="CD16" i="39"/>
  <c r="CE6" i="39"/>
  <c r="CD18" i="39"/>
  <c r="CE8" i="39"/>
  <c r="CD20" i="39"/>
  <c r="CW62" i="6"/>
  <c r="CR69" i="6"/>
  <c r="AS84" i="6" s="1"/>
  <c r="CQ62" i="6"/>
  <c r="AR77" i="6" s="1"/>
  <c r="CW68" i="6"/>
  <c r="CW63" i="6"/>
  <c r="CQ67" i="6"/>
  <c r="AR82" i="6" s="1"/>
  <c r="CQ71" i="6"/>
  <c r="AR86" i="6" s="1"/>
  <c r="CR65" i="6"/>
  <c r="AS80" i="6" s="1"/>
  <c r="CW69" i="6"/>
  <c r="CW64" i="6"/>
  <c r="CQ64" i="6"/>
  <c r="AR79" i="6" s="1"/>
  <c r="CR64" i="6"/>
  <c r="AS79" i="6" s="1"/>
  <c r="CR61" i="6"/>
  <c r="AS76" i="6" s="1"/>
  <c r="CQ70" i="6"/>
  <c r="AR85" i="6" s="1"/>
  <c r="CW65" i="6"/>
  <c r="CW71" i="6"/>
  <c r="CW66" i="6"/>
  <c r="CQ68" i="6"/>
  <c r="AR83" i="6" s="1"/>
  <c r="CR72" i="6"/>
  <c r="AS87" i="6" s="1"/>
  <c r="CQ69" i="6"/>
  <c r="AR84" i="6" s="1"/>
  <c r="CW70" i="6"/>
  <c r="CQ66" i="6"/>
  <c r="AR81" i="6" s="1"/>
  <c r="CW61" i="6"/>
  <c r="CW72" i="6"/>
  <c r="CW67" i="6"/>
  <c r="CQ72" i="6"/>
  <c r="AR87" i="6" s="1"/>
  <c r="CQ65" i="6"/>
  <c r="AR80" i="6" s="1"/>
  <c r="CQ63" i="6"/>
  <c r="AR78" i="6" s="1"/>
  <c r="CC63" i="6"/>
  <c r="CD63" i="6"/>
  <c r="CD71" i="6"/>
  <c r="CI61" i="6"/>
  <c r="AU76" i="6" s="1"/>
  <c r="CI67" i="6"/>
  <c r="AU82" i="6" s="1"/>
  <c r="CC62" i="6"/>
  <c r="CD69" i="6"/>
  <c r="CI70" i="6"/>
  <c r="AU85" i="6" s="1"/>
  <c r="CI64" i="6"/>
  <c r="AU79" i="6" s="1"/>
  <c r="CI68" i="6"/>
  <c r="AU83" i="6" s="1"/>
  <c r="CC66" i="6"/>
  <c r="CI71" i="6"/>
  <c r="AU86" i="6" s="1"/>
  <c r="CD65" i="6"/>
  <c r="CI69" i="6"/>
  <c r="AU84" i="6" s="1"/>
  <c r="CI66" i="6"/>
  <c r="AU81" i="6" s="1"/>
  <c r="CC64" i="6"/>
  <c r="CD64" i="6"/>
  <c r="CD68" i="6"/>
  <c r="CC67" i="6"/>
  <c r="CC72" i="6"/>
  <c r="CD72" i="6"/>
  <c r="CC70" i="6"/>
  <c r="CD61" i="6"/>
  <c r="CI65" i="6"/>
  <c r="AU80" i="6" s="1"/>
  <c r="CI62" i="6"/>
  <c r="AU77" i="6" s="1"/>
  <c r="CC68" i="6"/>
  <c r="CI72" i="6"/>
  <c r="AU87" i="6" s="1"/>
  <c r="BU70" i="6"/>
  <c r="BO66" i="6"/>
  <c r="BP70" i="6"/>
  <c r="AW85" i="6" s="1"/>
  <c r="BP65" i="6"/>
  <c r="AW80" i="6" s="1"/>
  <c r="BO63" i="6"/>
  <c r="BU71" i="6"/>
  <c r="BU68" i="6"/>
  <c r="BO72" i="6"/>
  <c r="BP67" i="6"/>
  <c r="AW82" i="6" s="1"/>
  <c r="BO65" i="6"/>
  <c r="BU66" i="6"/>
  <c r="BU69" i="6"/>
  <c r="BO62" i="6"/>
  <c r="BP66" i="6"/>
  <c r="AW81" i="6" s="1"/>
  <c r="BP61" i="6"/>
  <c r="AW76" i="6" s="1"/>
  <c r="BU67" i="6"/>
  <c r="BU64" i="6"/>
  <c r="BP64" i="6"/>
  <c r="AW79" i="6" s="1"/>
  <c r="BP63" i="6"/>
  <c r="AW78" i="6" s="1"/>
  <c r="BU62" i="6"/>
  <c r="BU65" i="6"/>
  <c r="BP62" i="6"/>
  <c r="AW77" i="6" s="1"/>
  <c r="BO71" i="6"/>
  <c r="BU63" i="6"/>
  <c r="BO64" i="6"/>
  <c r="BP68" i="6"/>
  <c r="AW83" i="6" s="1"/>
  <c r="BP71" i="6"/>
  <c r="AW86" i="6" s="1"/>
  <c r="BU61" i="6"/>
  <c r="BO70" i="6"/>
  <c r="BP69" i="6"/>
  <c r="AW84" i="6" s="1"/>
  <c r="BO67" i="6"/>
  <c r="BU72" i="6"/>
  <c r="BO68" i="6"/>
  <c r="BP72" i="6"/>
  <c r="AW87" i="6" s="1"/>
  <c r="BA61" i="6"/>
  <c r="AX76" i="6" s="1"/>
  <c r="BG62" i="6"/>
  <c r="F3" i="27" s="1"/>
  <c r="P3" i="27" s="1"/>
  <c r="BB65" i="6"/>
  <c r="AY80" i="6" s="1"/>
  <c r="BG69" i="6"/>
  <c r="BG72" i="6"/>
  <c r="BG63" i="6"/>
  <c r="BG68" i="6"/>
  <c r="BA63" i="6"/>
  <c r="AX78" i="6" s="1"/>
  <c r="BB70" i="6"/>
  <c r="AY85" i="6" s="1"/>
  <c r="BA65" i="6"/>
  <c r="AX80" i="6" s="1"/>
  <c r="BB61" i="6"/>
  <c r="AY76" i="6" s="1"/>
  <c r="BA70" i="6"/>
  <c r="AX85" i="6" s="1"/>
  <c r="BG65" i="6"/>
  <c r="BA68" i="6"/>
  <c r="AX83" i="6" s="1"/>
  <c r="BB64" i="6"/>
  <c r="BG71" i="6"/>
  <c r="BA71" i="6"/>
  <c r="AX86" i="6" s="1"/>
  <c r="BG67" i="6"/>
  <c r="BB66" i="6"/>
  <c r="AY81" i="6" s="1"/>
  <c r="BA66" i="6"/>
  <c r="AX81" i="6" s="1"/>
  <c r="BG61" i="6"/>
  <c r="BA67" i="6"/>
  <c r="AX82" i="6" s="1"/>
  <c r="BA72" i="6"/>
  <c r="AX87" i="6" s="1"/>
  <c r="BB72" i="6"/>
  <c r="AY87" i="6" s="1"/>
  <c r="BB67" i="6"/>
  <c r="AY82" i="6" s="1"/>
  <c r="BB63" i="6"/>
  <c r="BA69" i="6"/>
  <c r="AX84" i="6" s="1"/>
  <c r="BG66" i="6"/>
  <c r="BB69" i="6"/>
  <c r="AY84" i="6" s="1"/>
  <c r="BA62" i="6"/>
  <c r="AX77" i="6" s="1"/>
  <c r="BG70" i="6"/>
  <c r="BA64" i="6"/>
  <c r="AX79" i="6" s="1"/>
  <c r="BB71" i="6"/>
  <c r="AY86" i="6" s="1"/>
  <c r="BB68" i="6"/>
  <c r="AY83" i="6" s="1"/>
  <c r="BB62" i="6"/>
  <c r="AY77" i="6" s="1"/>
  <c r="AM66" i="6"/>
  <c r="AZ81" i="6" s="1"/>
  <c r="AN70" i="6"/>
  <c r="BA85" i="6" s="1"/>
  <c r="AN65" i="6"/>
  <c r="BA80" i="6" s="1"/>
  <c r="AM63" i="6"/>
  <c r="AZ78" i="6" s="1"/>
  <c r="AM64" i="6"/>
  <c r="AZ79" i="6" s="1"/>
  <c r="AN68" i="6"/>
  <c r="BA83" i="6" s="1"/>
  <c r="AN71" i="6"/>
  <c r="BA86" i="6" s="1"/>
  <c r="AM62" i="6"/>
  <c r="AZ77" i="6" s="1"/>
  <c r="AN66" i="6"/>
  <c r="BA81" i="6" s="1"/>
  <c r="AN61" i="6"/>
  <c r="BA76" i="6" s="1"/>
  <c r="AN72" i="6"/>
  <c r="BA87" i="6" s="1"/>
  <c r="AN63" i="6"/>
  <c r="BA78" i="6" s="1"/>
  <c r="AN62" i="6"/>
  <c r="BA77" i="6" s="1"/>
  <c r="AM71" i="6"/>
  <c r="AZ86" i="6" s="1"/>
  <c r="AM69" i="6"/>
  <c r="AZ84" i="6" s="1"/>
  <c r="AM72" i="6"/>
  <c r="AZ87" i="6" s="1"/>
  <c r="AN64" i="6"/>
  <c r="BA79" i="6" s="1"/>
  <c r="AM70" i="6"/>
  <c r="AZ85" i="6" s="1"/>
  <c r="AN69" i="6"/>
  <c r="BA84" i="6" s="1"/>
  <c r="AM67" i="6"/>
  <c r="AZ82" i="6" s="1"/>
  <c r="AM65" i="6"/>
  <c r="AZ80" i="6" s="1"/>
  <c r="AM68" i="6"/>
  <c r="AZ83" i="6" s="1"/>
  <c r="AM61" i="6"/>
  <c r="AZ76" i="6" s="1"/>
  <c r="AN67" i="6"/>
  <c r="BA82" i="6" s="1"/>
  <c r="Z62" i="6"/>
  <c r="BC77" i="6" s="1"/>
  <c r="Z63" i="6"/>
  <c r="BC78" i="6" s="1"/>
  <c r="Z61" i="6"/>
  <c r="BC76" i="6" s="1"/>
  <c r="E22" i="27" l="1"/>
  <c r="O22" i="27" s="1"/>
  <c r="E13" i="27"/>
  <c r="O13" i="27" s="1"/>
  <c r="AV87" i="6"/>
  <c r="E12" i="27"/>
  <c r="O12" i="27" s="1"/>
  <c r="AV86" i="6"/>
  <c r="E4" i="30"/>
  <c r="L4" i="30" s="1"/>
  <c r="AY78" i="6"/>
  <c r="E8" i="27"/>
  <c r="O8" i="27" s="1"/>
  <c r="AV82" i="6"/>
  <c r="E6" i="27"/>
  <c r="O6" i="27" s="1"/>
  <c r="AV80" i="6"/>
  <c r="E7" i="27"/>
  <c r="O7" i="27" s="1"/>
  <c r="AV81" i="6"/>
  <c r="E5" i="30"/>
  <c r="L5" i="30" s="1"/>
  <c r="AY79" i="6"/>
  <c r="E9" i="27"/>
  <c r="O9" i="27" s="1"/>
  <c r="AV83" i="6"/>
  <c r="E11" i="27"/>
  <c r="O11" i="27" s="1"/>
  <c r="AV85" i="6"/>
  <c r="E5" i="27"/>
  <c r="O5" i="27" s="1"/>
  <c r="AV79" i="6"/>
  <c r="E3" i="27"/>
  <c r="O3" i="27" s="1"/>
  <c r="AV77" i="6"/>
  <c r="E4" i="27"/>
  <c r="O4" i="27" s="1"/>
  <c r="AV78" i="6"/>
  <c r="AR61" i="6"/>
  <c r="AV26" i="6"/>
  <c r="M12" i="31"/>
  <c r="M11" i="31"/>
  <c r="G24" i="66"/>
  <c r="H24" i="29"/>
  <c r="P24" i="29" s="1"/>
  <c r="G25" i="66"/>
  <c r="H25" i="29"/>
  <c r="P25" i="29" s="1"/>
  <c r="G17" i="66"/>
  <c r="H17" i="29"/>
  <c r="P17" i="29" s="1"/>
  <c r="G15" i="66"/>
  <c r="H15" i="29"/>
  <c r="P15" i="29" s="1"/>
  <c r="M6" i="31"/>
  <c r="M10" i="31"/>
  <c r="M7" i="31"/>
  <c r="G18" i="66"/>
  <c r="H18" i="29"/>
  <c r="P18" i="29" s="1"/>
  <c r="G22" i="66"/>
  <c r="H22" i="29"/>
  <c r="P22" i="29" s="1"/>
  <c r="G21" i="66"/>
  <c r="H21" i="29"/>
  <c r="P21" i="29" s="1"/>
  <c r="M5" i="31"/>
  <c r="G20" i="66"/>
  <c r="H20" i="29"/>
  <c r="P20" i="29" s="1"/>
  <c r="G16" i="66"/>
  <c r="H16" i="29"/>
  <c r="P16" i="29" s="1"/>
  <c r="G19" i="66"/>
  <c r="H19" i="29"/>
  <c r="P19" i="29" s="1"/>
  <c r="M4" i="31"/>
  <c r="M3" i="31"/>
  <c r="G14" i="66"/>
  <c r="H14" i="29"/>
  <c r="P14" i="29" s="1"/>
  <c r="G23" i="66"/>
  <c r="H23" i="29"/>
  <c r="P23" i="29" s="1"/>
  <c r="M9" i="31"/>
  <c r="M13" i="31"/>
  <c r="M8" i="31"/>
  <c r="J6" i="27"/>
  <c r="T6" i="27" s="1"/>
  <c r="J6" i="41"/>
  <c r="T6" i="41" s="1"/>
  <c r="J10" i="27"/>
  <c r="T10" i="27" s="1"/>
  <c r="J10" i="41"/>
  <c r="T10" i="41" s="1"/>
  <c r="J5" i="27"/>
  <c r="T5" i="27" s="1"/>
  <c r="J5" i="41"/>
  <c r="T5" i="41" s="1"/>
  <c r="J12" i="27"/>
  <c r="T12" i="27" s="1"/>
  <c r="J12" i="41"/>
  <c r="T12" i="41" s="1"/>
  <c r="J13" i="27"/>
  <c r="T13" i="27" s="1"/>
  <c r="J13" i="41"/>
  <c r="T13" i="41" s="1"/>
  <c r="J2" i="27"/>
  <c r="T2" i="27" s="1"/>
  <c r="J2" i="41"/>
  <c r="T2" i="41" s="1"/>
  <c r="W2" i="41" s="1"/>
  <c r="J8" i="27"/>
  <c r="T8" i="27" s="1"/>
  <c r="J8" i="41"/>
  <c r="T8" i="41" s="1"/>
  <c r="J4" i="27"/>
  <c r="T4" i="27" s="1"/>
  <c r="J4" i="41"/>
  <c r="T4" i="41" s="1"/>
  <c r="J11" i="27"/>
  <c r="T11" i="27" s="1"/>
  <c r="J11" i="41"/>
  <c r="T11" i="41" s="1"/>
  <c r="J7" i="27"/>
  <c r="T7" i="27" s="1"/>
  <c r="J7" i="41"/>
  <c r="T7" i="41" s="1"/>
  <c r="J3" i="27"/>
  <c r="T3" i="27" s="1"/>
  <c r="J3" i="41"/>
  <c r="T3" i="41" s="1"/>
  <c r="J9" i="27"/>
  <c r="T9" i="27" s="1"/>
  <c r="J9" i="41"/>
  <c r="T9" i="41" s="1"/>
  <c r="J13" i="26"/>
  <c r="J12" i="26"/>
  <c r="E14" i="29"/>
  <c r="M14" i="29" s="1"/>
  <c r="E22" i="29"/>
  <c r="M22" i="29" s="1"/>
  <c r="E14" i="28"/>
  <c r="K14" i="28" s="1"/>
  <c r="E22" i="28"/>
  <c r="K22" i="28" s="1"/>
  <c r="F15" i="27"/>
  <c r="P15" i="27" s="1"/>
  <c r="E14" i="27"/>
  <c r="O14" i="27" s="1"/>
  <c r="F2" i="28"/>
  <c r="L2" i="28" s="1"/>
  <c r="F2" i="27"/>
  <c r="P2" i="27" s="1"/>
  <c r="F13" i="28"/>
  <c r="L13" i="28" s="1"/>
  <c r="F13" i="27"/>
  <c r="P13" i="27" s="1"/>
  <c r="F8" i="28"/>
  <c r="L8" i="28" s="1"/>
  <c r="F8" i="27"/>
  <c r="P8" i="27" s="1"/>
  <c r="F10" i="28"/>
  <c r="F10" i="27"/>
  <c r="P10" i="27" s="1"/>
  <c r="F5" i="28"/>
  <c r="L5" i="28" s="1"/>
  <c r="F5" i="27"/>
  <c r="P5" i="27" s="1"/>
  <c r="F6" i="28"/>
  <c r="L6" i="28" s="1"/>
  <c r="F6" i="27"/>
  <c r="P6" i="27" s="1"/>
  <c r="F9" i="28"/>
  <c r="L9" i="28" s="1"/>
  <c r="F9" i="27"/>
  <c r="P9" i="27" s="1"/>
  <c r="F11" i="28"/>
  <c r="L11" i="28" s="1"/>
  <c r="F11" i="27"/>
  <c r="P11" i="27" s="1"/>
  <c r="F7" i="28"/>
  <c r="L7" i="28" s="1"/>
  <c r="F7" i="27"/>
  <c r="P7" i="27" s="1"/>
  <c r="F12" i="28"/>
  <c r="L12" i="28" s="1"/>
  <c r="F12" i="27"/>
  <c r="P12" i="27" s="1"/>
  <c r="F4" i="28"/>
  <c r="L4" i="28" s="1"/>
  <c r="F4" i="27"/>
  <c r="P4" i="27" s="1"/>
  <c r="G24" i="31"/>
  <c r="G19" i="31"/>
  <c r="G23" i="31"/>
  <c r="G20" i="31"/>
  <c r="G22" i="31"/>
  <c r="G25" i="31"/>
  <c r="G14" i="31"/>
  <c r="G17" i="31"/>
  <c r="G15" i="31"/>
  <c r="G21" i="31"/>
  <c r="G16" i="31"/>
  <c r="G18" i="31"/>
  <c r="F3" i="29"/>
  <c r="N3" i="29" s="1"/>
  <c r="E3" i="30"/>
  <c r="L3" i="30" s="1"/>
  <c r="F2" i="29"/>
  <c r="N2" i="29" s="1"/>
  <c r="E2" i="30"/>
  <c r="L2" i="30" s="1"/>
  <c r="E3" i="28"/>
  <c r="K3" i="28" s="1"/>
  <c r="E3" i="29"/>
  <c r="M3" i="29" s="1"/>
  <c r="E8" i="28"/>
  <c r="K8" i="28" s="1"/>
  <c r="E12" i="28"/>
  <c r="K12" i="28" s="1"/>
  <c r="F3" i="28"/>
  <c r="L3" i="28" s="1"/>
  <c r="E9" i="28"/>
  <c r="K9" i="28" s="1"/>
  <c r="E5" i="28"/>
  <c r="K5" i="28" s="1"/>
  <c r="E6" i="28"/>
  <c r="K6" i="28" s="1"/>
  <c r="E13" i="28"/>
  <c r="K13" i="28" s="1"/>
  <c r="E11" i="28"/>
  <c r="K11" i="28" s="1"/>
  <c r="E4" i="28"/>
  <c r="K4" i="28" s="1"/>
  <c r="E7" i="28"/>
  <c r="K7" i="28" s="1"/>
  <c r="E9" i="29"/>
  <c r="M9" i="29" s="1"/>
  <c r="E6" i="29"/>
  <c r="M6" i="29" s="1"/>
  <c r="E4" i="29"/>
  <c r="M4" i="29" s="1"/>
  <c r="E7" i="29"/>
  <c r="M7" i="29" s="1"/>
  <c r="E5" i="29"/>
  <c r="M5" i="29" s="1"/>
  <c r="E8" i="29"/>
  <c r="M8" i="29" s="1"/>
  <c r="E11" i="29"/>
  <c r="M11" i="29" s="1"/>
  <c r="E12" i="29"/>
  <c r="M12" i="29" s="1"/>
  <c r="E13" i="29"/>
  <c r="M13" i="29" s="1"/>
  <c r="CE23" i="39"/>
  <c r="CD35" i="39"/>
  <c r="CD27" i="39"/>
  <c r="CE21" i="39"/>
  <c r="F9" i="29"/>
  <c r="N9" i="29" s="1"/>
  <c r="E9" i="30"/>
  <c r="L9" i="30" s="1"/>
  <c r="F10" i="29"/>
  <c r="N10" i="29" s="1"/>
  <c r="E10" i="30"/>
  <c r="L10" i="30" s="1"/>
  <c r="F4" i="29"/>
  <c r="N4" i="29" s="1"/>
  <c r="F6" i="29"/>
  <c r="N6" i="29" s="1"/>
  <c r="E6" i="30"/>
  <c r="L6" i="30" s="1"/>
  <c r="F12" i="29"/>
  <c r="N12" i="29" s="1"/>
  <c r="E12" i="30"/>
  <c r="L12" i="30" s="1"/>
  <c r="F8" i="29"/>
  <c r="N8" i="29" s="1"/>
  <c r="E8" i="30"/>
  <c r="L8" i="30" s="1"/>
  <c r="F7" i="29"/>
  <c r="N7" i="29" s="1"/>
  <c r="E7" i="30"/>
  <c r="L7" i="30" s="1"/>
  <c r="F5" i="29"/>
  <c r="N5" i="29" s="1"/>
  <c r="F11" i="29"/>
  <c r="N11" i="29" s="1"/>
  <c r="E11" i="30"/>
  <c r="L11" i="30" s="1"/>
  <c r="F13" i="29"/>
  <c r="N13" i="29" s="1"/>
  <c r="E13" i="30"/>
  <c r="L13" i="30" s="1"/>
  <c r="CE15" i="39"/>
  <c r="CD37" i="39"/>
  <c r="CE25" i="39"/>
  <c r="CE14" i="39"/>
  <c r="CD26" i="39"/>
  <c r="CD29" i="39"/>
  <c r="CE17" i="39"/>
  <c r="CD31" i="39"/>
  <c r="CE19" i="39"/>
  <c r="CD33" i="39"/>
  <c r="CC83" i="39"/>
  <c r="CC87" i="39"/>
  <c r="CC99" i="39" s="1"/>
  <c r="CC111" i="39" s="1"/>
  <c r="CC53" i="39"/>
  <c r="CE24" i="39"/>
  <c r="CD36" i="39"/>
  <c r="CE22" i="39"/>
  <c r="CD34" i="39"/>
  <c r="CC81" i="39"/>
  <c r="CC67" i="39"/>
  <c r="CC85" i="39"/>
  <c r="CE18" i="39"/>
  <c r="CD30" i="39"/>
  <c r="CE20" i="39"/>
  <c r="CD32" i="39"/>
  <c r="CE16" i="39"/>
  <c r="CD28" i="39"/>
  <c r="E17" i="30" l="1"/>
  <c r="L17" i="30" s="1"/>
  <c r="E34" i="27"/>
  <c r="O34" i="27" s="1"/>
  <c r="E19" i="27"/>
  <c r="O19" i="27" s="1"/>
  <c r="E23" i="27"/>
  <c r="O23" i="27" s="1"/>
  <c r="E16" i="27"/>
  <c r="O16" i="27" s="1"/>
  <c r="E18" i="27"/>
  <c r="O18" i="27" s="1"/>
  <c r="E25" i="27"/>
  <c r="O25" i="27" s="1"/>
  <c r="E16" i="30"/>
  <c r="E28" i="30" s="1"/>
  <c r="E24" i="27"/>
  <c r="O24" i="27" s="1"/>
  <c r="E17" i="27"/>
  <c r="O17" i="27" s="1"/>
  <c r="E21" i="27"/>
  <c r="O21" i="27" s="1"/>
  <c r="E20" i="27"/>
  <c r="O20" i="27" s="1"/>
  <c r="E15" i="27"/>
  <c r="O15" i="27" s="1"/>
  <c r="G34" i="66"/>
  <c r="H34" i="29"/>
  <c r="P34" i="29" s="1"/>
  <c r="M22" i="31"/>
  <c r="G32" i="66"/>
  <c r="H32" i="29"/>
  <c r="P32" i="29" s="1"/>
  <c r="G36" i="66"/>
  <c r="H36" i="29"/>
  <c r="P36" i="29" s="1"/>
  <c r="G33" i="66"/>
  <c r="H33" i="29"/>
  <c r="P33" i="29" s="1"/>
  <c r="G29" i="66"/>
  <c r="H29" i="29"/>
  <c r="P29" i="29" s="1"/>
  <c r="G37" i="66"/>
  <c r="H37" i="29"/>
  <c r="P37" i="29" s="1"/>
  <c r="G27" i="66"/>
  <c r="H27" i="29"/>
  <c r="P27" i="29" s="1"/>
  <c r="M16" i="31"/>
  <c r="M17" i="31"/>
  <c r="M20" i="31"/>
  <c r="M18" i="31"/>
  <c r="M24" i="31"/>
  <c r="G26" i="66"/>
  <c r="H26" i="29"/>
  <c r="P26" i="29" s="1"/>
  <c r="M14" i="31"/>
  <c r="M15" i="31"/>
  <c r="G35" i="66"/>
  <c r="H35" i="29"/>
  <c r="P35" i="29" s="1"/>
  <c r="M21" i="31"/>
  <c r="M23" i="31"/>
  <c r="G28" i="66"/>
  <c r="H28" i="29"/>
  <c r="P28" i="29" s="1"/>
  <c r="G30" i="66"/>
  <c r="H30" i="29"/>
  <c r="P30" i="29" s="1"/>
  <c r="G31" i="66"/>
  <c r="H31" i="29"/>
  <c r="P31" i="29" s="1"/>
  <c r="M25" i="31"/>
  <c r="M19" i="31"/>
  <c r="S2" i="29"/>
  <c r="L10" i="28"/>
  <c r="O10" i="28" s="1"/>
  <c r="J14" i="27"/>
  <c r="T14" i="27" s="1"/>
  <c r="J14" i="41"/>
  <c r="T14" i="41" s="1"/>
  <c r="J15" i="27"/>
  <c r="T15" i="27" s="1"/>
  <c r="J15" i="41"/>
  <c r="T15" i="41" s="1"/>
  <c r="J16" i="27"/>
  <c r="T16" i="27" s="1"/>
  <c r="J16" i="41"/>
  <c r="T16" i="41" s="1"/>
  <c r="J18" i="27"/>
  <c r="T18" i="27" s="1"/>
  <c r="J18" i="41"/>
  <c r="T18" i="41" s="1"/>
  <c r="J17" i="27"/>
  <c r="T17" i="27" s="1"/>
  <c r="J17" i="41"/>
  <c r="T17" i="41" s="1"/>
  <c r="J25" i="27"/>
  <c r="T25" i="27" s="1"/>
  <c r="J25" i="41"/>
  <c r="T25" i="41" s="1"/>
  <c r="J23" i="27"/>
  <c r="T23" i="27" s="1"/>
  <c r="J23" i="41"/>
  <c r="T23" i="41" s="1"/>
  <c r="J22" i="27"/>
  <c r="T22" i="27" s="1"/>
  <c r="J22" i="41"/>
  <c r="T22" i="41" s="1"/>
  <c r="J20" i="27"/>
  <c r="T20" i="27" s="1"/>
  <c r="J20" i="41"/>
  <c r="T20" i="41" s="1"/>
  <c r="J24" i="27"/>
  <c r="T24" i="27" s="1"/>
  <c r="J24" i="41"/>
  <c r="T24" i="41" s="1"/>
  <c r="J19" i="27"/>
  <c r="T19" i="27" s="1"/>
  <c r="J19" i="41"/>
  <c r="T19" i="41" s="1"/>
  <c r="J21" i="27"/>
  <c r="T21" i="27" s="1"/>
  <c r="J21" i="41"/>
  <c r="T21" i="41" s="1"/>
  <c r="O6" i="28"/>
  <c r="O12" i="28"/>
  <c r="O11" i="28"/>
  <c r="O13" i="28"/>
  <c r="O9" i="28"/>
  <c r="O7" i="28"/>
  <c r="O4" i="28"/>
  <c r="O5" i="28"/>
  <c r="O8" i="28"/>
  <c r="O3" i="28"/>
  <c r="E34" i="28"/>
  <c r="K34" i="28" s="1"/>
  <c r="E26" i="28"/>
  <c r="K26" i="28" s="1"/>
  <c r="E24" i="30"/>
  <c r="E15" i="30"/>
  <c r="E23" i="30"/>
  <c r="E22" i="30"/>
  <c r="E20" i="30"/>
  <c r="E18" i="30"/>
  <c r="E19" i="30"/>
  <c r="E25" i="30"/>
  <c r="E21" i="30"/>
  <c r="E14" i="30"/>
  <c r="F22" i="29"/>
  <c r="N22" i="29" s="1"/>
  <c r="E24" i="29"/>
  <c r="M24" i="29" s="1"/>
  <c r="E19" i="29"/>
  <c r="M19" i="29" s="1"/>
  <c r="F19" i="29"/>
  <c r="N19" i="29" s="1"/>
  <c r="F24" i="29"/>
  <c r="N24" i="29" s="1"/>
  <c r="E17" i="29"/>
  <c r="M17" i="29" s="1"/>
  <c r="F15" i="29"/>
  <c r="N15" i="29" s="1"/>
  <c r="F23" i="29"/>
  <c r="N23" i="29" s="1"/>
  <c r="F17" i="29"/>
  <c r="N17" i="29" s="1"/>
  <c r="F20" i="29"/>
  <c r="N20" i="29" s="1"/>
  <c r="F18" i="29"/>
  <c r="N18" i="29" s="1"/>
  <c r="E23" i="29"/>
  <c r="M23" i="29" s="1"/>
  <c r="E16" i="29"/>
  <c r="M16" i="29" s="1"/>
  <c r="F14" i="29"/>
  <c r="N14" i="29" s="1"/>
  <c r="E25" i="29"/>
  <c r="M25" i="29" s="1"/>
  <c r="E21" i="29"/>
  <c r="M21" i="29" s="1"/>
  <c r="F25" i="29"/>
  <c r="N25" i="29" s="1"/>
  <c r="F16" i="29"/>
  <c r="N16" i="29" s="1"/>
  <c r="F21" i="29"/>
  <c r="N21" i="29" s="1"/>
  <c r="E20" i="29"/>
  <c r="M20" i="29" s="1"/>
  <c r="E18" i="29"/>
  <c r="M18" i="29" s="1"/>
  <c r="E15" i="29"/>
  <c r="M15" i="29" s="1"/>
  <c r="E16" i="28"/>
  <c r="K16" i="28" s="1"/>
  <c r="E18" i="28"/>
  <c r="K18" i="28" s="1"/>
  <c r="E24" i="28"/>
  <c r="K24" i="28" s="1"/>
  <c r="E23" i="28"/>
  <c r="K23" i="28" s="1"/>
  <c r="E17" i="28"/>
  <c r="K17" i="28" s="1"/>
  <c r="E20" i="28"/>
  <c r="K20" i="28" s="1"/>
  <c r="F16" i="28"/>
  <c r="L16" i="28" s="1"/>
  <c r="F19" i="28"/>
  <c r="L19" i="28" s="1"/>
  <c r="F21" i="28"/>
  <c r="L21" i="28" s="1"/>
  <c r="F17" i="28"/>
  <c r="L17" i="28" s="1"/>
  <c r="F20" i="28"/>
  <c r="L20" i="28" s="1"/>
  <c r="F14" i="28"/>
  <c r="L14" i="28" s="1"/>
  <c r="O2" i="28"/>
  <c r="E21" i="28"/>
  <c r="K21" i="28" s="1"/>
  <c r="E19" i="28"/>
  <c r="K19" i="28" s="1"/>
  <c r="E25" i="28"/>
  <c r="K25" i="28" s="1"/>
  <c r="F15" i="28"/>
  <c r="L15" i="28" s="1"/>
  <c r="E15" i="28"/>
  <c r="K15" i="28" s="1"/>
  <c r="F24" i="28"/>
  <c r="L24" i="28" s="1"/>
  <c r="F23" i="28"/>
  <c r="L23" i="28" s="1"/>
  <c r="F18" i="28"/>
  <c r="L18" i="28" s="1"/>
  <c r="F22" i="28"/>
  <c r="L22" i="28" s="1"/>
  <c r="F25" i="28"/>
  <c r="L25" i="28" s="1"/>
  <c r="F16" i="27"/>
  <c r="P16" i="27" s="1"/>
  <c r="F19" i="27"/>
  <c r="P19" i="27" s="1"/>
  <c r="F21" i="27"/>
  <c r="P21" i="27" s="1"/>
  <c r="F17" i="27"/>
  <c r="P17" i="27" s="1"/>
  <c r="F20" i="27"/>
  <c r="P20" i="27" s="1"/>
  <c r="F27" i="27"/>
  <c r="P27" i="27" s="1"/>
  <c r="F24" i="27"/>
  <c r="P24" i="27" s="1"/>
  <c r="F23" i="27"/>
  <c r="P23" i="27" s="1"/>
  <c r="F18" i="27"/>
  <c r="P18" i="27" s="1"/>
  <c r="F22" i="27"/>
  <c r="P22" i="27" s="1"/>
  <c r="F25" i="27"/>
  <c r="P25" i="27" s="1"/>
  <c r="E26" i="27"/>
  <c r="O26" i="27" s="1"/>
  <c r="F14" i="27"/>
  <c r="P14" i="27" s="1"/>
  <c r="G29" i="31"/>
  <c r="G28" i="31"/>
  <c r="G30" i="31"/>
  <c r="G36" i="31"/>
  <c r="G31" i="31"/>
  <c r="G26" i="31"/>
  <c r="G32" i="31"/>
  <c r="G35" i="31"/>
  <c r="G34" i="31"/>
  <c r="G33" i="31"/>
  <c r="G37" i="31"/>
  <c r="G27" i="31"/>
  <c r="CE35" i="39"/>
  <c r="CD47" i="39"/>
  <c r="CD39" i="39"/>
  <c r="CE27" i="39"/>
  <c r="CD43" i="39"/>
  <c r="CE31" i="39"/>
  <c r="CD41" i="39"/>
  <c r="CE29" i="39"/>
  <c r="CD45" i="39"/>
  <c r="CE33" i="39"/>
  <c r="CE26" i="39"/>
  <c r="CD38" i="39"/>
  <c r="CD49" i="39"/>
  <c r="CE37" i="39"/>
  <c r="CC97" i="39"/>
  <c r="CC109" i="39" s="1"/>
  <c r="CC121" i="39" s="1"/>
  <c r="CE34" i="39"/>
  <c r="CD46" i="39"/>
  <c r="CC93" i="39"/>
  <c r="CC105" i="39" s="1"/>
  <c r="CC117" i="39" s="1"/>
  <c r="CC95" i="39"/>
  <c r="CC107" i="39" s="1"/>
  <c r="CC119" i="39" s="1"/>
  <c r="CE36" i="39"/>
  <c r="CD48" i="39"/>
  <c r="CC79" i="39"/>
  <c r="CC65" i="39"/>
  <c r="CE32" i="39"/>
  <c r="CD44" i="39"/>
  <c r="CE28" i="39"/>
  <c r="CD40" i="39"/>
  <c r="CE30" i="39"/>
  <c r="CD42" i="39"/>
  <c r="E29" i="30" l="1"/>
  <c r="L29" i="30" s="1"/>
  <c r="E46" i="27"/>
  <c r="O46" i="27" s="1"/>
  <c r="E32" i="27"/>
  <c r="O32" i="27" s="1"/>
  <c r="E35" i="27"/>
  <c r="O35" i="27" s="1"/>
  <c r="E37" i="27"/>
  <c r="O37" i="27" s="1"/>
  <c r="E31" i="27"/>
  <c r="O31" i="27" s="1"/>
  <c r="E36" i="27"/>
  <c r="O36" i="27" s="1"/>
  <c r="E27" i="27"/>
  <c r="O27" i="27" s="1"/>
  <c r="E30" i="27"/>
  <c r="O30" i="27" s="1"/>
  <c r="E28" i="27"/>
  <c r="O28" i="27" s="1"/>
  <c r="E29" i="27"/>
  <c r="O29" i="27" s="1"/>
  <c r="L16" i="30"/>
  <c r="E33" i="27"/>
  <c r="O33" i="27" s="1"/>
  <c r="G49" i="66"/>
  <c r="H49" i="29"/>
  <c r="P49" i="29" s="1"/>
  <c r="G38" i="66"/>
  <c r="H38" i="29"/>
  <c r="P38" i="29" s="1"/>
  <c r="G43" i="66"/>
  <c r="H43" i="29"/>
  <c r="P43" i="29" s="1"/>
  <c r="G40" i="66"/>
  <c r="H40" i="29"/>
  <c r="P40" i="29" s="1"/>
  <c r="G39" i="66"/>
  <c r="H39" i="29"/>
  <c r="P39" i="29" s="1"/>
  <c r="M26" i="31"/>
  <c r="M28" i="31"/>
  <c r="M33" i="31"/>
  <c r="M30" i="31"/>
  <c r="G47" i="66"/>
  <c r="H47" i="29"/>
  <c r="P47" i="29" s="1"/>
  <c r="G42" i="66"/>
  <c r="H42" i="29"/>
  <c r="P42" i="29" s="1"/>
  <c r="G44" i="66"/>
  <c r="H44" i="29"/>
  <c r="P44" i="29" s="1"/>
  <c r="G48" i="66"/>
  <c r="H48" i="29"/>
  <c r="P48" i="29" s="1"/>
  <c r="G46" i="66"/>
  <c r="H46" i="29"/>
  <c r="P46" i="29" s="1"/>
  <c r="G41" i="66"/>
  <c r="H41" i="29"/>
  <c r="P41" i="29" s="1"/>
  <c r="M27" i="31"/>
  <c r="M34" i="31"/>
  <c r="M31" i="31"/>
  <c r="M29" i="31"/>
  <c r="M32" i="31"/>
  <c r="G45" i="66"/>
  <c r="H45" i="29"/>
  <c r="P45" i="29" s="1"/>
  <c r="M37" i="31"/>
  <c r="M35" i="31"/>
  <c r="M36" i="31"/>
  <c r="E26" i="30"/>
  <c r="L14" i="30"/>
  <c r="E30" i="30"/>
  <c r="L18" i="30"/>
  <c r="E27" i="30"/>
  <c r="L15" i="30"/>
  <c r="E33" i="30"/>
  <c r="L21" i="30"/>
  <c r="E32" i="30"/>
  <c r="L20" i="30"/>
  <c r="E36" i="30"/>
  <c r="L24" i="30"/>
  <c r="E37" i="30"/>
  <c r="L25" i="30"/>
  <c r="E34" i="30"/>
  <c r="L22" i="30"/>
  <c r="E31" i="30"/>
  <c r="L19" i="30"/>
  <c r="E35" i="30"/>
  <c r="L23" i="30"/>
  <c r="E40" i="30"/>
  <c r="L28" i="30"/>
  <c r="J30" i="27"/>
  <c r="T30" i="27" s="1"/>
  <c r="J30" i="41"/>
  <c r="T30" i="41" s="1"/>
  <c r="J32" i="27"/>
  <c r="T32" i="27" s="1"/>
  <c r="J32" i="41"/>
  <c r="T32" i="41" s="1"/>
  <c r="J36" i="27"/>
  <c r="T36" i="27" s="1"/>
  <c r="J36" i="41"/>
  <c r="T36" i="41" s="1"/>
  <c r="J34" i="27"/>
  <c r="T34" i="27" s="1"/>
  <c r="J34" i="41"/>
  <c r="T34" i="41" s="1"/>
  <c r="J37" i="27"/>
  <c r="T37" i="27" s="1"/>
  <c r="J37" i="41"/>
  <c r="T37" i="41" s="1"/>
  <c r="J31" i="27"/>
  <c r="T31" i="27" s="1"/>
  <c r="J31" i="41"/>
  <c r="T31" i="41" s="1"/>
  <c r="J27" i="27"/>
  <c r="T27" i="27" s="1"/>
  <c r="J27" i="41"/>
  <c r="T27" i="41" s="1"/>
  <c r="J28" i="27"/>
  <c r="T28" i="27" s="1"/>
  <c r="J28" i="41"/>
  <c r="T28" i="41" s="1"/>
  <c r="J26" i="27"/>
  <c r="T26" i="27" s="1"/>
  <c r="J26" i="41"/>
  <c r="T26" i="41" s="1"/>
  <c r="J29" i="27"/>
  <c r="T29" i="27" s="1"/>
  <c r="J29" i="41"/>
  <c r="T29" i="41" s="1"/>
  <c r="J33" i="27"/>
  <c r="T33" i="27" s="1"/>
  <c r="J33" i="41"/>
  <c r="T33" i="41" s="1"/>
  <c r="J35" i="27"/>
  <c r="T35" i="27" s="1"/>
  <c r="J35" i="41"/>
  <c r="T35" i="41" s="1"/>
  <c r="O14" i="28"/>
  <c r="F34" i="28"/>
  <c r="L34" i="28" s="1"/>
  <c r="O22" i="28"/>
  <c r="E27" i="28"/>
  <c r="K27" i="28" s="1"/>
  <c r="E33" i="28"/>
  <c r="K33" i="28" s="1"/>
  <c r="F29" i="28"/>
  <c r="L29" i="28" s="1"/>
  <c r="E32" i="28"/>
  <c r="K32" i="28" s="1"/>
  <c r="E30" i="28"/>
  <c r="K30" i="28" s="1"/>
  <c r="F30" i="28"/>
  <c r="L30" i="28" s="1"/>
  <c r="F27" i="28"/>
  <c r="L27" i="28" s="1"/>
  <c r="F33" i="28"/>
  <c r="L33" i="28" s="1"/>
  <c r="E29" i="28"/>
  <c r="K29" i="28" s="1"/>
  <c r="E28" i="28"/>
  <c r="K28" i="28" s="1"/>
  <c r="E38" i="28"/>
  <c r="K38" i="28" s="1"/>
  <c r="F35" i="28"/>
  <c r="L35" i="28" s="1"/>
  <c r="E37" i="28"/>
  <c r="K37" i="28" s="1"/>
  <c r="F31" i="28"/>
  <c r="L31" i="28" s="1"/>
  <c r="E35" i="28"/>
  <c r="K35" i="28" s="1"/>
  <c r="F37" i="28"/>
  <c r="L37" i="28" s="1"/>
  <c r="F36" i="28"/>
  <c r="L36" i="28" s="1"/>
  <c r="E31" i="28"/>
  <c r="K31" i="28" s="1"/>
  <c r="F32" i="28"/>
  <c r="L32" i="28" s="1"/>
  <c r="F28" i="28"/>
  <c r="L28" i="28" s="1"/>
  <c r="E36" i="28"/>
  <c r="K36" i="28" s="1"/>
  <c r="E46" i="28"/>
  <c r="K46" i="28" s="1"/>
  <c r="F26" i="28"/>
  <c r="L26" i="28" s="1"/>
  <c r="F26" i="27"/>
  <c r="P26" i="27" s="1"/>
  <c r="F37" i="27"/>
  <c r="P37" i="27" s="1"/>
  <c r="F30" i="27"/>
  <c r="P30" i="27" s="1"/>
  <c r="F36" i="27"/>
  <c r="P36" i="27" s="1"/>
  <c r="F39" i="27"/>
  <c r="P39" i="27" s="1"/>
  <c r="F29" i="27"/>
  <c r="P29" i="27" s="1"/>
  <c r="F31" i="27"/>
  <c r="P31" i="27" s="1"/>
  <c r="E38" i="27"/>
  <c r="O38" i="27" s="1"/>
  <c r="F34" i="27"/>
  <c r="P34" i="27" s="1"/>
  <c r="F35" i="27"/>
  <c r="P35" i="27" s="1"/>
  <c r="F32" i="27"/>
  <c r="P32" i="27" s="1"/>
  <c r="F33" i="27"/>
  <c r="P33" i="27" s="1"/>
  <c r="F28" i="27"/>
  <c r="P28" i="27" s="1"/>
  <c r="G40" i="31"/>
  <c r="G46" i="31"/>
  <c r="G41" i="31"/>
  <c r="G39" i="31"/>
  <c r="G42" i="31"/>
  <c r="G44" i="31"/>
  <c r="G48" i="31"/>
  <c r="G45" i="31"/>
  <c r="G47" i="31"/>
  <c r="G49" i="31"/>
  <c r="G38" i="31"/>
  <c r="G43" i="31"/>
  <c r="CE47" i="39"/>
  <c r="CD59" i="39"/>
  <c r="CD51" i="39"/>
  <c r="CE39" i="39"/>
  <c r="E26" i="29"/>
  <c r="M26" i="29" s="1"/>
  <c r="CD61" i="39"/>
  <c r="H61" i="29" s="1"/>
  <c r="P61" i="29" s="1"/>
  <c r="CE49" i="39"/>
  <c r="CD55" i="39"/>
  <c r="H55" i="29" s="1"/>
  <c r="P55" i="29" s="1"/>
  <c r="CE43" i="39"/>
  <c r="CE38" i="39"/>
  <c r="CD50" i="39"/>
  <c r="H50" i="29" s="1"/>
  <c r="P50" i="29" s="1"/>
  <c r="CD53" i="39"/>
  <c r="H53" i="29" s="1"/>
  <c r="P53" i="29" s="1"/>
  <c r="CE41" i="39"/>
  <c r="CD57" i="39"/>
  <c r="H57" i="29" s="1"/>
  <c r="P57" i="29" s="1"/>
  <c r="CE45" i="39"/>
  <c r="CE48" i="39"/>
  <c r="CD60" i="39"/>
  <c r="H60" i="29" s="1"/>
  <c r="P60" i="29" s="1"/>
  <c r="CE46" i="39"/>
  <c r="CD58" i="39"/>
  <c r="H58" i="29" s="1"/>
  <c r="P58" i="29" s="1"/>
  <c r="CC77" i="39"/>
  <c r="CC91" i="39"/>
  <c r="CC103" i="39" s="1"/>
  <c r="CC115" i="39" s="1"/>
  <c r="CE40" i="39"/>
  <c r="CD52" i="39"/>
  <c r="H52" i="29" s="1"/>
  <c r="P52" i="29" s="1"/>
  <c r="CE42" i="39"/>
  <c r="CD54" i="39"/>
  <c r="H54" i="29" s="1"/>
  <c r="P54" i="29" s="1"/>
  <c r="CE44" i="39"/>
  <c r="CD56" i="39"/>
  <c r="H56" i="29" s="1"/>
  <c r="P56" i="29" s="1"/>
  <c r="E44" i="27" l="1"/>
  <c r="O44" i="27" s="1"/>
  <c r="E41" i="30"/>
  <c r="E53" i="30" s="1"/>
  <c r="E47" i="27"/>
  <c r="O47" i="27" s="1"/>
  <c r="E58" i="27"/>
  <c r="O58" i="27" s="1"/>
  <c r="E49" i="27"/>
  <c r="O49" i="27" s="1"/>
  <c r="E43" i="27"/>
  <c r="O43" i="27" s="1"/>
  <c r="E42" i="27"/>
  <c r="O42" i="27" s="1"/>
  <c r="E45" i="27"/>
  <c r="O45" i="27" s="1"/>
  <c r="E39" i="27"/>
  <c r="O39" i="27" s="1"/>
  <c r="E41" i="27"/>
  <c r="O41" i="27" s="1"/>
  <c r="E48" i="27"/>
  <c r="O48" i="27" s="1"/>
  <c r="E40" i="27"/>
  <c r="O40" i="27" s="1"/>
  <c r="G59" i="66"/>
  <c r="H59" i="29"/>
  <c r="P59" i="29" s="1"/>
  <c r="M47" i="31"/>
  <c r="M42" i="31"/>
  <c r="M46" i="31"/>
  <c r="M43" i="31"/>
  <c r="M45" i="31"/>
  <c r="M40" i="31"/>
  <c r="M38" i="31"/>
  <c r="M48" i="31"/>
  <c r="M39" i="31"/>
  <c r="G51" i="66"/>
  <c r="H51" i="29"/>
  <c r="P51" i="29" s="1"/>
  <c r="M49" i="31"/>
  <c r="M44" i="31"/>
  <c r="M41" i="31"/>
  <c r="E52" i="30"/>
  <c r="L40" i="30"/>
  <c r="E43" i="30"/>
  <c r="L31" i="30"/>
  <c r="E49" i="30"/>
  <c r="L37" i="30"/>
  <c r="E48" i="30"/>
  <c r="L36" i="30"/>
  <c r="E45" i="30"/>
  <c r="L33" i="30"/>
  <c r="E42" i="30"/>
  <c r="L30" i="30"/>
  <c r="E47" i="30"/>
  <c r="L35" i="30"/>
  <c r="E46" i="30"/>
  <c r="L34" i="30"/>
  <c r="E44" i="30"/>
  <c r="L32" i="30"/>
  <c r="E39" i="30"/>
  <c r="L27" i="30"/>
  <c r="E38" i="30"/>
  <c r="L26" i="30"/>
  <c r="O17" i="28"/>
  <c r="J41" i="27"/>
  <c r="T41" i="27" s="1"/>
  <c r="J41" i="41"/>
  <c r="T41" i="41" s="1"/>
  <c r="J42" i="27"/>
  <c r="T42" i="27" s="1"/>
  <c r="J42" i="41"/>
  <c r="T42" i="41" s="1"/>
  <c r="G56" i="31"/>
  <c r="G56" i="66"/>
  <c r="J40" i="27"/>
  <c r="T40" i="27" s="1"/>
  <c r="J40" i="41"/>
  <c r="T40" i="41" s="1"/>
  <c r="J48" i="27"/>
  <c r="T48" i="27" s="1"/>
  <c r="J48" i="41"/>
  <c r="T48" i="41" s="1"/>
  <c r="J45" i="27"/>
  <c r="T45" i="27" s="1"/>
  <c r="J45" i="41"/>
  <c r="T45" i="41" s="1"/>
  <c r="G53" i="31"/>
  <c r="G53" i="66"/>
  <c r="J43" i="27"/>
  <c r="T43" i="27" s="1"/>
  <c r="J43" i="41"/>
  <c r="T43" i="41" s="1"/>
  <c r="J49" i="27"/>
  <c r="T49" i="27" s="1"/>
  <c r="J49" i="41"/>
  <c r="T49" i="41" s="1"/>
  <c r="J47" i="27"/>
  <c r="T47" i="27" s="1"/>
  <c r="J47" i="41"/>
  <c r="T47" i="41" s="1"/>
  <c r="J46" i="27"/>
  <c r="T46" i="27" s="1"/>
  <c r="J46" i="41"/>
  <c r="T46" i="41" s="1"/>
  <c r="G52" i="31"/>
  <c r="G52" i="66"/>
  <c r="G60" i="31"/>
  <c r="G60" i="66"/>
  <c r="J44" i="27"/>
  <c r="T44" i="27" s="1"/>
  <c r="J44" i="41"/>
  <c r="T44" i="41" s="1"/>
  <c r="G54" i="31"/>
  <c r="G54" i="66"/>
  <c r="G58" i="31"/>
  <c r="G58" i="66"/>
  <c r="G57" i="31"/>
  <c r="G57" i="66"/>
  <c r="G50" i="31"/>
  <c r="G50" i="66"/>
  <c r="G55" i="31"/>
  <c r="G55" i="66"/>
  <c r="G61" i="31"/>
  <c r="G61" i="66"/>
  <c r="J39" i="27"/>
  <c r="T39" i="27" s="1"/>
  <c r="J39" i="41"/>
  <c r="T39" i="41" s="1"/>
  <c r="J38" i="27"/>
  <c r="T38" i="27" s="1"/>
  <c r="J38" i="41"/>
  <c r="T38" i="41" s="1"/>
  <c r="O24" i="28"/>
  <c r="O19" i="28"/>
  <c r="O20" i="28"/>
  <c r="O16" i="28"/>
  <c r="O21" i="28"/>
  <c r="O23" i="28"/>
  <c r="O25" i="28"/>
  <c r="O18" i="28"/>
  <c r="O15" i="28"/>
  <c r="F38" i="28"/>
  <c r="L38" i="28" s="1"/>
  <c r="O26" i="28"/>
  <c r="E48" i="28"/>
  <c r="K48" i="28" s="1"/>
  <c r="F44" i="28"/>
  <c r="L44" i="28" s="1"/>
  <c r="F48" i="28"/>
  <c r="L48" i="28" s="1"/>
  <c r="E47" i="28"/>
  <c r="K47" i="28" s="1"/>
  <c r="E49" i="28"/>
  <c r="K49" i="28" s="1"/>
  <c r="E50" i="28"/>
  <c r="K50" i="28" s="1"/>
  <c r="E41" i="28"/>
  <c r="K41" i="28" s="1"/>
  <c r="F39" i="28"/>
  <c r="L39" i="28" s="1"/>
  <c r="E42" i="28"/>
  <c r="K42" i="28" s="1"/>
  <c r="F41" i="28"/>
  <c r="L41" i="28" s="1"/>
  <c r="E39" i="28"/>
  <c r="K39" i="28" s="1"/>
  <c r="E58" i="28"/>
  <c r="K58" i="28" s="1"/>
  <c r="F40" i="28"/>
  <c r="L40" i="28" s="1"/>
  <c r="E43" i="28"/>
  <c r="K43" i="28" s="1"/>
  <c r="F49" i="28"/>
  <c r="L49" i="28" s="1"/>
  <c r="F43" i="28"/>
  <c r="L43" i="28" s="1"/>
  <c r="F47" i="28"/>
  <c r="L47" i="28" s="1"/>
  <c r="E40" i="28"/>
  <c r="K40" i="28" s="1"/>
  <c r="F45" i="28"/>
  <c r="L45" i="28" s="1"/>
  <c r="F42" i="28"/>
  <c r="L42" i="28" s="1"/>
  <c r="E44" i="28"/>
  <c r="K44" i="28" s="1"/>
  <c r="E45" i="28"/>
  <c r="K45" i="28" s="1"/>
  <c r="F46" i="28"/>
  <c r="L46" i="28" s="1"/>
  <c r="O34" i="28"/>
  <c r="F40" i="27"/>
  <c r="P40" i="27" s="1"/>
  <c r="F44" i="27"/>
  <c r="P44" i="27" s="1"/>
  <c r="F47" i="27"/>
  <c r="P47" i="27" s="1"/>
  <c r="E50" i="27"/>
  <c r="O50" i="27" s="1"/>
  <c r="F43" i="27"/>
  <c r="P43" i="27" s="1"/>
  <c r="F42" i="27"/>
  <c r="P42" i="27" s="1"/>
  <c r="F45" i="27"/>
  <c r="P45" i="27" s="1"/>
  <c r="F46" i="27"/>
  <c r="P46" i="27" s="1"/>
  <c r="F41" i="27"/>
  <c r="P41" i="27" s="1"/>
  <c r="F51" i="27"/>
  <c r="P51" i="27" s="1"/>
  <c r="F48" i="27"/>
  <c r="P48" i="27" s="1"/>
  <c r="F49" i="27"/>
  <c r="P49" i="27" s="1"/>
  <c r="F38" i="27"/>
  <c r="P38" i="27" s="1"/>
  <c r="G51" i="31"/>
  <c r="G59" i="31"/>
  <c r="E34" i="29"/>
  <c r="M34" i="29" s="1"/>
  <c r="CE59" i="39"/>
  <c r="CD71" i="39"/>
  <c r="CE51" i="39"/>
  <c r="CD63" i="39"/>
  <c r="F26" i="29"/>
  <c r="N26" i="29" s="1"/>
  <c r="F29" i="29"/>
  <c r="N29" i="29" s="1"/>
  <c r="F33" i="29"/>
  <c r="N33" i="29" s="1"/>
  <c r="E30" i="29"/>
  <c r="M30" i="29" s="1"/>
  <c r="F35" i="29"/>
  <c r="N35" i="29" s="1"/>
  <c r="F27" i="29"/>
  <c r="N27" i="29" s="1"/>
  <c r="E29" i="29"/>
  <c r="M29" i="29" s="1"/>
  <c r="F32" i="29"/>
  <c r="N32" i="29" s="1"/>
  <c r="E38" i="29"/>
  <c r="M38" i="29" s="1"/>
  <c r="E33" i="29"/>
  <c r="M33" i="29" s="1"/>
  <c r="F31" i="29"/>
  <c r="N31" i="29" s="1"/>
  <c r="F37" i="29"/>
  <c r="N37" i="29" s="1"/>
  <c r="E32" i="29"/>
  <c r="M32" i="29" s="1"/>
  <c r="F30" i="29"/>
  <c r="N30" i="29" s="1"/>
  <c r="E35" i="29"/>
  <c r="M35" i="29" s="1"/>
  <c r="E28" i="29"/>
  <c r="M28" i="29" s="1"/>
  <c r="F34" i="29"/>
  <c r="N34" i="29" s="1"/>
  <c r="E36" i="29"/>
  <c r="M36" i="29" s="1"/>
  <c r="E31" i="29"/>
  <c r="M31" i="29" s="1"/>
  <c r="F28" i="29"/>
  <c r="N28" i="29" s="1"/>
  <c r="E37" i="29"/>
  <c r="M37" i="29" s="1"/>
  <c r="F36" i="29"/>
  <c r="N36" i="29" s="1"/>
  <c r="E27" i="29"/>
  <c r="M27" i="29" s="1"/>
  <c r="CD62" i="39"/>
  <c r="H62" i="29" s="1"/>
  <c r="P62" i="29" s="1"/>
  <c r="CE50" i="39"/>
  <c r="CD69" i="39"/>
  <c r="H69" i="29" s="1"/>
  <c r="P69" i="29" s="1"/>
  <c r="CE57" i="39"/>
  <c r="CD67" i="39"/>
  <c r="H67" i="29" s="1"/>
  <c r="P67" i="29" s="1"/>
  <c r="CE55" i="39"/>
  <c r="CD65" i="39"/>
  <c r="H65" i="29" s="1"/>
  <c r="P65" i="29" s="1"/>
  <c r="CE53" i="39"/>
  <c r="CD73" i="39"/>
  <c r="H73" i="29" s="1"/>
  <c r="P73" i="29" s="1"/>
  <c r="CE61" i="39"/>
  <c r="CE60" i="39"/>
  <c r="CD72" i="39"/>
  <c r="H72" i="29" s="1"/>
  <c r="P72" i="29" s="1"/>
  <c r="CC89" i="39"/>
  <c r="CC101" i="39" s="1"/>
  <c r="CC113" i="39" s="1"/>
  <c r="CE58" i="39"/>
  <c r="CD70" i="39"/>
  <c r="H70" i="29" s="1"/>
  <c r="P70" i="29" s="1"/>
  <c r="CE54" i="39"/>
  <c r="CD66" i="39"/>
  <c r="H66" i="29" s="1"/>
  <c r="P66" i="29" s="1"/>
  <c r="CE56" i="39"/>
  <c r="CD68" i="39"/>
  <c r="H68" i="29" s="1"/>
  <c r="P68" i="29" s="1"/>
  <c r="CE52" i="39"/>
  <c r="CD64" i="39"/>
  <c r="H64" i="29" s="1"/>
  <c r="P64" i="29" s="1"/>
  <c r="E56" i="27" l="1"/>
  <c r="O56" i="27" s="1"/>
  <c r="E59" i="27"/>
  <c r="O59" i="27" s="1"/>
  <c r="L41" i="30"/>
  <c r="E70" i="27"/>
  <c r="O70" i="27" s="1"/>
  <c r="E61" i="27"/>
  <c r="O61" i="27" s="1"/>
  <c r="E57" i="27"/>
  <c r="O57" i="27" s="1"/>
  <c r="E55" i="27"/>
  <c r="O55" i="27" s="1"/>
  <c r="E54" i="27"/>
  <c r="O54" i="27" s="1"/>
  <c r="E51" i="27"/>
  <c r="O51" i="27" s="1"/>
  <c r="E60" i="27"/>
  <c r="O60" i="27" s="1"/>
  <c r="E52" i="27"/>
  <c r="O52" i="27" s="1"/>
  <c r="E53" i="27"/>
  <c r="O53" i="27" s="1"/>
  <c r="G63" i="66"/>
  <c r="H63" i="29"/>
  <c r="P63" i="29" s="1"/>
  <c r="M61" i="31"/>
  <c r="M50" i="31"/>
  <c r="M58" i="31"/>
  <c r="M52" i="31"/>
  <c r="G71" i="66"/>
  <c r="H71" i="29"/>
  <c r="P71" i="29" s="1"/>
  <c r="M59" i="31"/>
  <c r="M51" i="31"/>
  <c r="M55" i="31"/>
  <c r="M57" i="31"/>
  <c r="M54" i="31"/>
  <c r="M60" i="31"/>
  <c r="M53" i="31"/>
  <c r="M56" i="31"/>
  <c r="E50" i="30"/>
  <c r="L38" i="30"/>
  <c r="E56" i="30"/>
  <c r="L44" i="30"/>
  <c r="E58" i="30"/>
  <c r="L46" i="30"/>
  <c r="E54" i="30"/>
  <c r="L42" i="30"/>
  <c r="E60" i="30"/>
  <c r="L48" i="30"/>
  <c r="E55" i="30"/>
  <c r="L43" i="30"/>
  <c r="E51" i="30"/>
  <c r="L39" i="30"/>
  <c r="E65" i="30"/>
  <c r="L53" i="30"/>
  <c r="E59" i="30"/>
  <c r="L47" i="30"/>
  <c r="E57" i="30"/>
  <c r="L45" i="30"/>
  <c r="E61" i="30"/>
  <c r="L49" i="30"/>
  <c r="E64" i="30"/>
  <c r="L52" i="30"/>
  <c r="G72" i="31"/>
  <c r="G72" i="66"/>
  <c r="J60" i="27"/>
  <c r="T60" i="27" s="1"/>
  <c r="J60" i="41"/>
  <c r="T60" i="41" s="1"/>
  <c r="G64" i="31"/>
  <c r="G64" i="66"/>
  <c r="G66" i="31"/>
  <c r="G66" i="66"/>
  <c r="J58" i="27"/>
  <c r="T58" i="27" s="1"/>
  <c r="J58" i="41"/>
  <c r="T58" i="41" s="1"/>
  <c r="J61" i="27"/>
  <c r="T61" i="27" s="1"/>
  <c r="J61" i="41"/>
  <c r="T61" i="41" s="1"/>
  <c r="J55" i="27"/>
  <c r="T55" i="27" s="1"/>
  <c r="J55" i="41"/>
  <c r="T55" i="41" s="1"/>
  <c r="G69" i="31"/>
  <c r="G69" i="66"/>
  <c r="J56" i="27"/>
  <c r="T56" i="27" s="1"/>
  <c r="J56" i="41"/>
  <c r="T56" i="41" s="1"/>
  <c r="G70" i="31"/>
  <c r="G70" i="66"/>
  <c r="J52" i="27"/>
  <c r="T52" i="27" s="1"/>
  <c r="J52" i="41"/>
  <c r="T52" i="41" s="1"/>
  <c r="J54" i="27"/>
  <c r="T54" i="27" s="1"/>
  <c r="J54" i="41"/>
  <c r="T54" i="41" s="1"/>
  <c r="G73" i="31"/>
  <c r="G73" i="66"/>
  <c r="G67" i="31"/>
  <c r="G67" i="66"/>
  <c r="J59" i="27"/>
  <c r="T59" i="27" s="1"/>
  <c r="J59" i="41"/>
  <c r="T59" i="41" s="1"/>
  <c r="J53" i="27"/>
  <c r="T53" i="27" s="1"/>
  <c r="J53" i="41"/>
  <c r="T53" i="41" s="1"/>
  <c r="J50" i="27"/>
  <c r="T50" i="27" s="1"/>
  <c r="J50" i="41"/>
  <c r="T50" i="41" s="1"/>
  <c r="G68" i="31"/>
  <c r="G68" i="66"/>
  <c r="G65" i="31"/>
  <c r="G65" i="66"/>
  <c r="J57" i="27"/>
  <c r="T57" i="27" s="1"/>
  <c r="J57" i="41"/>
  <c r="T57" i="41" s="1"/>
  <c r="G62" i="31"/>
  <c r="G62" i="66"/>
  <c r="J51" i="27"/>
  <c r="T51" i="27" s="1"/>
  <c r="J51" i="41"/>
  <c r="T51" i="41" s="1"/>
  <c r="O32" i="28"/>
  <c r="O27" i="28"/>
  <c r="O33" i="28"/>
  <c r="O28" i="28"/>
  <c r="O29" i="28"/>
  <c r="O30" i="28"/>
  <c r="O37" i="28"/>
  <c r="O36" i="28"/>
  <c r="O31" i="28"/>
  <c r="O35" i="28"/>
  <c r="F58" i="28"/>
  <c r="L58" i="28" s="1"/>
  <c r="O46" i="28"/>
  <c r="E56" i="28"/>
  <c r="K56" i="28" s="1"/>
  <c r="F57" i="28"/>
  <c r="L57" i="28" s="1"/>
  <c r="F59" i="28"/>
  <c r="L59" i="28" s="1"/>
  <c r="F61" i="28"/>
  <c r="L61" i="28" s="1"/>
  <c r="F52" i="28"/>
  <c r="L52" i="28" s="1"/>
  <c r="E51" i="28"/>
  <c r="K51" i="28" s="1"/>
  <c r="E54" i="28"/>
  <c r="K54" i="28" s="1"/>
  <c r="E53" i="28"/>
  <c r="K53" i="28" s="1"/>
  <c r="E61" i="28"/>
  <c r="K61" i="28" s="1"/>
  <c r="F60" i="28"/>
  <c r="L60" i="28" s="1"/>
  <c r="E60" i="28"/>
  <c r="K60" i="28" s="1"/>
  <c r="E57" i="28"/>
  <c r="K57" i="28" s="1"/>
  <c r="F54" i="28"/>
  <c r="L54" i="28" s="1"/>
  <c r="E52" i="28"/>
  <c r="K52" i="28" s="1"/>
  <c r="F55" i="28"/>
  <c r="L55" i="28" s="1"/>
  <c r="E55" i="28"/>
  <c r="K55" i="28" s="1"/>
  <c r="E70" i="28"/>
  <c r="K70" i="28" s="1"/>
  <c r="F53" i="28"/>
  <c r="L53" i="28" s="1"/>
  <c r="F51" i="28"/>
  <c r="L51" i="28" s="1"/>
  <c r="E62" i="28"/>
  <c r="K62" i="28" s="1"/>
  <c r="E59" i="28"/>
  <c r="K59" i="28" s="1"/>
  <c r="O47" i="28"/>
  <c r="F56" i="28"/>
  <c r="L56" i="28" s="1"/>
  <c r="F50" i="28"/>
  <c r="L50" i="28" s="1"/>
  <c r="O38" i="28"/>
  <c r="F50" i="27"/>
  <c r="P50" i="27" s="1"/>
  <c r="F61" i="27"/>
  <c r="P61" i="27" s="1"/>
  <c r="F63" i="27"/>
  <c r="P63" i="27" s="1"/>
  <c r="F58" i="27"/>
  <c r="P58" i="27" s="1"/>
  <c r="F54" i="27"/>
  <c r="P54" i="27" s="1"/>
  <c r="F59" i="27"/>
  <c r="P59" i="27" s="1"/>
  <c r="F56" i="27"/>
  <c r="P56" i="27" s="1"/>
  <c r="F60" i="27"/>
  <c r="P60" i="27" s="1"/>
  <c r="F53" i="27"/>
  <c r="P53" i="27" s="1"/>
  <c r="F57" i="27"/>
  <c r="P57" i="27" s="1"/>
  <c r="F55" i="27"/>
  <c r="P55" i="27" s="1"/>
  <c r="E62" i="27"/>
  <c r="O62" i="27" s="1"/>
  <c r="F52" i="27"/>
  <c r="P52" i="27" s="1"/>
  <c r="G63" i="31"/>
  <c r="G71" i="31"/>
  <c r="E46" i="29"/>
  <c r="M46" i="29" s="1"/>
  <c r="CD83" i="39"/>
  <c r="CE71" i="39"/>
  <c r="CE63" i="39"/>
  <c r="CD75" i="39"/>
  <c r="E47" i="29"/>
  <c r="M47" i="29" s="1"/>
  <c r="F42" i="29"/>
  <c r="N42" i="29" s="1"/>
  <c r="F46" i="29"/>
  <c r="N46" i="29" s="1"/>
  <c r="F48" i="29"/>
  <c r="N48" i="29" s="1"/>
  <c r="F40" i="29"/>
  <c r="N40" i="29" s="1"/>
  <c r="E48" i="29"/>
  <c r="M48" i="29" s="1"/>
  <c r="F49" i="29"/>
  <c r="N49" i="29" s="1"/>
  <c r="E45" i="29"/>
  <c r="M45" i="29" s="1"/>
  <c r="F44" i="29"/>
  <c r="N44" i="29" s="1"/>
  <c r="F39" i="29"/>
  <c r="N39" i="29" s="1"/>
  <c r="E42" i="29"/>
  <c r="M42" i="29" s="1"/>
  <c r="F41" i="29"/>
  <c r="N41" i="29" s="1"/>
  <c r="E40" i="29"/>
  <c r="M40" i="29" s="1"/>
  <c r="E44" i="29"/>
  <c r="M44" i="29" s="1"/>
  <c r="E39" i="29"/>
  <c r="M39" i="29" s="1"/>
  <c r="E49" i="29"/>
  <c r="M49" i="29" s="1"/>
  <c r="E43" i="29"/>
  <c r="M43" i="29" s="1"/>
  <c r="F43" i="29"/>
  <c r="N43" i="29" s="1"/>
  <c r="E50" i="29"/>
  <c r="M50" i="29" s="1"/>
  <c r="E41" i="29"/>
  <c r="M41" i="29" s="1"/>
  <c r="F47" i="29"/>
  <c r="N47" i="29" s="1"/>
  <c r="F45" i="29"/>
  <c r="N45" i="29" s="1"/>
  <c r="F38" i="29"/>
  <c r="N38" i="29" s="1"/>
  <c r="CD79" i="39"/>
  <c r="CE67" i="39"/>
  <c r="CD85" i="39"/>
  <c r="CE73" i="39"/>
  <c r="CD77" i="39"/>
  <c r="CE65" i="39"/>
  <c r="CD81" i="39"/>
  <c r="CE69" i="39"/>
  <c r="CE62" i="39"/>
  <c r="CD74" i="39"/>
  <c r="P7" i="58"/>
  <c r="S7" i="58" s="1"/>
  <c r="P13" i="58"/>
  <c r="S13" i="58" s="1"/>
  <c r="CE70" i="39"/>
  <c r="CD82" i="39"/>
  <c r="CE72" i="39"/>
  <c r="CD84" i="39"/>
  <c r="CE68" i="39"/>
  <c r="CD80" i="39"/>
  <c r="CE64" i="39"/>
  <c r="CD76" i="39"/>
  <c r="CE66" i="39"/>
  <c r="CD78" i="39"/>
  <c r="E68" i="27" l="1"/>
  <c r="O68" i="27" s="1"/>
  <c r="E71" i="27"/>
  <c r="O71" i="27" s="1"/>
  <c r="E73" i="27"/>
  <c r="O73" i="27" s="1"/>
  <c r="E82" i="27"/>
  <c r="O82" i="27" s="1"/>
  <c r="E64" i="27"/>
  <c r="O64" i="27" s="1"/>
  <c r="E69" i="27"/>
  <c r="O69" i="27" s="1"/>
  <c r="E72" i="27"/>
  <c r="O72" i="27" s="1"/>
  <c r="E66" i="27"/>
  <c r="O66" i="27" s="1"/>
  <c r="E67" i="27"/>
  <c r="O67" i="27" s="1"/>
  <c r="E63" i="27"/>
  <c r="O63" i="27" s="1"/>
  <c r="E65" i="27"/>
  <c r="O65" i="27" s="1"/>
  <c r="G76" i="66"/>
  <c r="H76" i="29"/>
  <c r="P76" i="29" s="1"/>
  <c r="G82" i="66"/>
  <c r="H82" i="29"/>
  <c r="P82" i="29" s="1"/>
  <c r="G81" i="66"/>
  <c r="H81" i="29"/>
  <c r="P81" i="29" s="1"/>
  <c r="G83" i="66"/>
  <c r="H83" i="29"/>
  <c r="P83" i="29" s="1"/>
  <c r="M62" i="31"/>
  <c r="M65" i="31"/>
  <c r="M73" i="31"/>
  <c r="M64" i="31"/>
  <c r="M72" i="31"/>
  <c r="G84" i="66"/>
  <c r="H84" i="29"/>
  <c r="P84" i="29" s="1"/>
  <c r="G74" i="66"/>
  <c r="H74" i="29"/>
  <c r="P74" i="29" s="1"/>
  <c r="G85" i="66"/>
  <c r="H85" i="29"/>
  <c r="P85" i="29" s="1"/>
  <c r="G79" i="66"/>
  <c r="H79" i="29"/>
  <c r="P79" i="29" s="1"/>
  <c r="G75" i="66"/>
  <c r="H75" i="29"/>
  <c r="P75" i="29" s="1"/>
  <c r="M71" i="31"/>
  <c r="G78" i="66"/>
  <c r="H78" i="29"/>
  <c r="P78" i="29" s="1"/>
  <c r="G80" i="66"/>
  <c r="H80" i="29"/>
  <c r="P80" i="29" s="1"/>
  <c r="M63" i="31"/>
  <c r="M68" i="31"/>
  <c r="M67" i="31"/>
  <c r="M70" i="31"/>
  <c r="M69" i="31"/>
  <c r="M66" i="31"/>
  <c r="G77" i="66"/>
  <c r="H77" i="29"/>
  <c r="P77" i="29" s="1"/>
  <c r="E76" i="30"/>
  <c r="L64" i="30"/>
  <c r="E69" i="30"/>
  <c r="L57" i="30"/>
  <c r="E77" i="30"/>
  <c r="L65" i="30"/>
  <c r="E67" i="30"/>
  <c r="L55" i="30"/>
  <c r="E66" i="30"/>
  <c r="L54" i="30"/>
  <c r="E68" i="30"/>
  <c r="L56" i="30"/>
  <c r="E73" i="30"/>
  <c r="L61" i="30"/>
  <c r="E71" i="30"/>
  <c r="L59" i="30"/>
  <c r="E63" i="30"/>
  <c r="L51" i="30"/>
  <c r="E72" i="30"/>
  <c r="L60" i="30"/>
  <c r="E70" i="30"/>
  <c r="L58" i="30"/>
  <c r="E62" i="30"/>
  <c r="L50" i="30"/>
  <c r="O45" i="28"/>
  <c r="J72" i="27"/>
  <c r="T72" i="27" s="1"/>
  <c r="J72" i="41"/>
  <c r="T72" i="41" s="1"/>
  <c r="J62" i="27"/>
  <c r="T62" i="27" s="1"/>
  <c r="J62" i="41"/>
  <c r="T62" i="41" s="1"/>
  <c r="J65" i="27"/>
  <c r="T65" i="27" s="1"/>
  <c r="J65" i="41"/>
  <c r="T65" i="41" s="1"/>
  <c r="J63" i="27"/>
  <c r="T63" i="27" s="1"/>
  <c r="J63" i="41"/>
  <c r="T63" i="41" s="1"/>
  <c r="J66" i="27"/>
  <c r="T66" i="27" s="1"/>
  <c r="J66" i="41"/>
  <c r="T66" i="41" s="1"/>
  <c r="J68" i="27"/>
  <c r="T68" i="27" s="1"/>
  <c r="J68" i="41"/>
  <c r="T68" i="41" s="1"/>
  <c r="J69" i="27"/>
  <c r="T69" i="27" s="1"/>
  <c r="J69" i="41"/>
  <c r="T69" i="41" s="1"/>
  <c r="J71" i="27"/>
  <c r="T71" i="27" s="1"/>
  <c r="J71" i="41"/>
  <c r="T71" i="41" s="1"/>
  <c r="J73" i="27"/>
  <c r="T73" i="27" s="1"/>
  <c r="J73" i="41"/>
  <c r="T73" i="41" s="1"/>
  <c r="J67" i="27"/>
  <c r="T67" i="27" s="1"/>
  <c r="J67" i="41"/>
  <c r="T67" i="41" s="1"/>
  <c r="J64" i="27"/>
  <c r="T64" i="27" s="1"/>
  <c r="J64" i="41"/>
  <c r="T64" i="41" s="1"/>
  <c r="J70" i="27"/>
  <c r="T70" i="27" s="1"/>
  <c r="J70" i="41"/>
  <c r="T70" i="41" s="1"/>
  <c r="E58" i="29"/>
  <c r="M58" i="29" s="1"/>
  <c r="O49" i="28"/>
  <c r="O40" i="28"/>
  <c r="O43" i="28"/>
  <c r="O48" i="28"/>
  <c r="O42" i="28"/>
  <c r="O44" i="28"/>
  <c r="O41" i="28"/>
  <c r="O39" i="28"/>
  <c r="F62" i="28"/>
  <c r="L62" i="28" s="1"/>
  <c r="O50" i="28"/>
  <c r="E71" i="28"/>
  <c r="K71" i="28" s="1"/>
  <c r="F63" i="28"/>
  <c r="L63" i="28" s="1"/>
  <c r="E82" i="28"/>
  <c r="K82" i="28" s="1"/>
  <c r="F67" i="28"/>
  <c r="L67" i="28" s="1"/>
  <c r="F66" i="28"/>
  <c r="L66" i="28" s="1"/>
  <c r="E72" i="28"/>
  <c r="K72" i="28" s="1"/>
  <c r="E73" i="28"/>
  <c r="K73" i="28" s="1"/>
  <c r="E66" i="28"/>
  <c r="K66" i="28" s="1"/>
  <c r="F64" i="28"/>
  <c r="L64" i="28" s="1"/>
  <c r="F71" i="28"/>
  <c r="L71" i="28" s="1"/>
  <c r="E68" i="28"/>
  <c r="K68" i="28" s="1"/>
  <c r="F68" i="28"/>
  <c r="L68" i="28" s="1"/>
  <c r="E74" i="28"/>
  <c r="K74" i="28" s="1"/>
  <c r="F65" i="28"/>
  <c r="L65" i="28" s="1"/>
  <c r="E67" i="28"/>
  <c r="K67" i="28" s="1"/>
  <c r="E64" i="28"/>
  <c r="K64" i="28" s="1"/>
  <c r="E69" i="28"/>
  <c r="K69" i="28" s="1"/>
  <c r="F72" i="28"/>
  <c r="L72" i="28" s="1"/>
  <c r="E65" i="28"/>
  <c r="K65" i="28" s="1"/>
  <c r="E63" i="28"/>
  <c r="K63" i="28" s="1"/>
  <c r="O51" i="28"/>
  <c r="F73" i="28"/>
  <c r="L73" i="28" s="1"/>
  <c r="F69" i="28"/>
  <c r="L69" i="28" s="1"/>
  <c r="F70" i="28"/>
  <c r="L70" i="28" s="1"/>
  <c r="O58" i="28"/>
  <c r="F64" i="27"/>
  <c r="P64" i="27" s="1"/>
  <c r="E74" i="27"/>
  <c r="O74" i="27" s="1"/>
  <c r="F69" i="27"/>
  <c r="P69" i="27" s="1"/>
  <c r="F72" i="27"/>
  <c r="P72" i="27" s="1"/>
  <c r="F68" i="27"/>
  <c r="P68" i="27" s="1"/>
  <c r="F66" i="27"/>
  <c r="P66" i="27" s="1"/>
  <c r="F73" i="27"/>
  <c r="P73" i="27" s="1"/>
  <c r="F67" i="27"/>
  <c r="P67" i="27" s="1"/>
  <c r="F65" i="27"/>
  <c r="P65" i="27" s="1"/>
  <c r="F71" i="27"/>
  <c r="P71" i="27" s="1"/>
  <c r="F70" i="27"/>
  <c r="P70" i="27" s="1"/>
  <c r="F75" i="27"/>
  <c r="P75" i="27" s="1"/>
  <c r="F62" i="27"/>
  <c r="P62" i="27" s="1"/>
  <c r="G77" i="31"/>
  <c r="G83" i="31"/>
  <c r="G84" i="31"/>
  <c r="G81" i="31"/>
  <c r="G75" i="31"/>
  <c r="G76" i="31"/>
  <c r="G78" i="31"/>
  <c r="G80" i="31"/>
  <c r="G82" i="31"/>
  <c r="G74" i="31"/>
  <c r="G85" i="31"/>
  <c r="G79" i="31"/>
  <c r="CE83" i="39"/>
  <c r="CD95" i="39"/>
  <c r="H95" i="29" s="1"/>
  <c r="P95" i="29" s="1"/>
  <c r="CE75" i="39"/>
  <c r="CD87" i="39"/>
  <c r="H87" i="29" s="1"/>
  <c r="P87" i="29" s="1"/>
  <c r="F50" i="29"/>
  <c r="N50" i="29" s="1"/>
  <c r="F59" i="29"/>
  <c r="N59" i="29" s="1"/>
  <c r="E62" i="29"/>
  <c r="M62" i="29" s="1"/>
  <c r="E55" i="29"/>
  <c r="M55" i="29" s="1"/>
  <c r="E51" i="29"/>
  <c r="M51" i="29" s="1"/>
  <c r="F53" i="29"/>
  <c r="N53" i="29" s="1"/>
  <c r="F51" i="29"/>
  <c r="N51" i="29" s="1"/>
  <c r="E57" i="29"/>
  <c r="M57" i="29" s="1"/>
  <c r="E60" i="29"/>
  <c r="M60" i="29" s="1"/>
  <c r="F60" i="29"/>
  <c r="N60" i="29" s="1"/>
  <c r="F54" i="29"/>
  <c r="N54" i="29" s="1"/>
  <c r="F57" i="29"/>
  <c r="N57" i="29" s="1"/>
  <c r="E53" i="29"/>
  <c r="M53" i="29" s="1"/>
  <c r="F55" i="29"/>
  <c r="N55" i="29" s="1"/>
  <c r="E61" i="29"/>
  <c r="M61" i="29" s="1"/>
  <c r="E56" i="29"/>
  <c r="M56" i="29" s="1"/>
  <c r="E52" i="29"/>
  <c r="M52" i="29" s="1"/>
  <c r="E54" i="29"/>
  <c r="M54" i="29" s="1"/>
  <c r="F56" i="29"/>
  <c r="N56" i="29" s="1"/>
  <c r="F61" i="29"/>
  <c r="N61" i="29" s="1"/>
  <c r="F52" i="29"/>
  <c r="N52" i="29" s="1"/>
  <c r="F58" i="29"/>
  <c r="N58" i="29" s="1"/>
  <c r="E59" i="29"/>
  <c r="M59" i="29" s="1"/>
  <c r="CD93" i="39"/>
  <c r="H93" i="29" s="1"/>
  <c r="P93" i="29" s="1"/>
  <c r="CE81" i="39"/>
  <c r="CD97" i="39"/>
  <c r="H97" i="29" s="1"/>
  <c r="P97" i="29" s="1"/>
  <c r="CE85" i="39"/>
  <c r="CD89" i="39"/>
  <c r="H89" i="29" s="1"/>
  <c r="P89" i="29" s="1"/>
  <c r="CE77" i="39"/>
  <c r="CD91" i="39"/>
  <c r="H91" i="29" s="1"/>
  <c r="P91" i="29" s="1"/>
  <c r="CE79" i="39"/>
  <c r="CD86" i="39"/>
  <c r="H86" i="29" s="1"/>
  <c r="P86" i="29" s="1"/>
  <c r="CE74" i="39"/>
  <c r="P3" i="58"/>
  <c r="S3" i="58" s="1"/>
  <c r="P9" i="58"/>
  <c r="S9" i="58" s="1"/>
  <c r="P11" i="58"/>
  <c r="S11" i="58" s="1"/>
  <c r="P25" i="58"/>
  <c r="S25" i="58" s="1"/>
  <c r="P2" i="58"/>
  <c r="S2" i="58" s="1"/>
  <c r="P10" i="58"/>
  <c r="S10" i="58" s="1"/>
  <c r="P5" i="58"/>
  <c r="S5" i="58" s="1"/>
  <c r="P12" i="58"/>
  <c r="S12" i="58" s="1"/>
  <c r="CE82" i="39"/>
  <c r="CD94" i="39"/>
  <c r="H94" i="29" s="1"/>
  <c r="P94" i="29" s="1"/>
  <c r="CE84" i="39"/>
  <c r="CD96" i="39"/>
  <c r="H96" i="29" s="1"/>
  <c r="P96" i="29" s="1"/>
  <c r="P19" i="58"/>
  <c r="S19" i="58" s="1"/>
  <c r="CE78" i="39"/>
  <c r="CD90" i="39"/>
  <c r="H90" i="29" s="1"/>
  <c r="P90" i="29" s="1"/>
  <c r="CE80" i="39"/>
  <c r="CD92" i="39"/>
  <c r="H92" i="29" s="1"/>
  <c r="P92" i="29" s="1"/>
  <c r="CE76" i="39"/>
  <c r="CD88" i="39"/>
  <c r="H88" i="29" s="1"/>
  <c r="P88" i="29" s="1"/>
  <c r="P6" i="58"/>
  <c r="S6" i="58" s="1"/>
  <c r="P8" i="58"/>
  <c r="S8" i="58" s="1"/>
  <c r="P4" i="58"/>
  <c r="S4" i="58" s="1"/>
  <c r="E80" i="27" l="1"/>
  <c r="O80" i="27" s="1"/>
  <c r="E83" i="27"/>
  <c r="O83" i="27" s="1"/>
  <c r="E85" i="27"/>
  <c r="O85" i="27" s="1"/>
  <c r="E94" i="27"/>
  <c r="O94" i="27" s="1"/>
  <c r="E84" i="27"/>
  <c r="O84" i="27" s="1"/>
  <c r="E76" i="27"/>
  <c r="O76" i="27" s="1"/>
  <c r="E78" i="27"/>
  <c r="O78" i="27" s="1"/>
  <c r="E81" i="27"/>
  <c r="O81" i="27" s="1"/>
  <c r="E79" i="27"/>
  <c r="O79" i="27" s="1"/>
  <c r="E75" i="27"/>
  <c r="O75" i="27" s="1"/>
  <c r="E77" i="27"/>
  <c r="O77" i="27" s="1"/>
  <c r="E74" i="30"/>
  <c r="L62" i="30"/>
  <c r="E84" i="30"/>
  <c r="L72" i="30"/>
  <c r="E83" i="30"/>
  <c r="L71" i="30"/>
  <c r="E80" i="30"/>
  <c r="L68" i="30"/>
  <c r="E79" i="30"/>
  <c r="L67" i="30"/>
  <c r="E81" i="30"/>
  <c r="L69" i="30"/>
  <c r="E82" i="30"/>
  <c r="L70" i="30"/>
  <c r="E75" i="30"/>
  <c r="L63" i="30"/>
  <c r="E85" i="30"/>
  <c r="L73" i="30"/>
  <c r="E78" i="30"/>
  <c r="L66" i="30"/>
  <c r="E89" i="30"/>
  <c r="L77" i="30"/>
  <c r="E88" i="30"/>
  <c r="L76" i="30"/>
  <c r="E70" i="29"/>
  <c r="M70" i="29" s="1"/>
  <c r="J80" i="27"/>
  <c r="T80" i="27" s="1"/>
  <c r="J80" i="41"/>
  <c r="T80" i="41" s="1"/>
  <c r="CD108" i="39"/>
  <c r="G108" i="31" s="1"/>
  <c r="G96" i="66"/>
  <c r="J77" i="27"/>
  <c r="T77" i="27" s="1"/>
  <c r="J77" i="41"/>
  <c r="T77" i="41" s="1"/>
  <c r="J81" i="27"/>
  <c r="T81" i="27" s="1"/>
  <c r="J81" i="41"/>
  <c r="T81" i="41" s="1"/>
  <c r="M79" i="31"/>
  <c r="M80" i="31"/>
  <c r="M75" i="31"/>
  <c r="M83" i="31"/>
  <c r="CD106" i="39"/>
  <c r="G106" i="31" s="1"/>
  <c r="G94" i="66"/>
  <c r="J82" i="27"/>
  <c r="T82" i="27" s="1"/>
  <c r="J82" i="41"/>
  <c r="T82" i="41" s="1"/>
  <c r="J76" i="27"/>
  <c r="T76" i="27" s="1"/>
  <c r="J76" i="41"/>
  <c r="T76" i="41" s="1"/>
  <c r="J78" i="27"/>
  <c r="T78" i="27" s="1"/>
  <c r="J78" i="41"/>
  <c r="T78" i="41" s="1"/>
  <c r="J84" i="27"/>
  <c r="T84" i="27" s="1"/>
  <c r="J84" i="41"/>
  <c r="T84" i="41" s="1"/>
  <c r="CD101" i="39"/>
  <c r="G101" i="31" s="1"/>
  <c r="G89" i="66"/>
  <c r="CD105" i="39"/>
  <c r="CD117" i="39" s="1"/>
  <c r="H117" i="29" s="1"/>
  <c r="G93" i="66"/>
  <c r="CD99" i="39"/>
  <c r="G99" i="31" s="1"/>
  <c r="G87" i="66"/>
  <c r="CD107" i="39"/>
  <c r="CD119" i="39" s="1"/>
  <c r="H119" i="29" s="1"/>
  <c r="G95" i="66"/>
  <c r="M85" i="31"/>
  <c r="M78" i="31"/>
  <c r="M81" i="31"/>
  <c r="M77" i="31"/>
  <c r="CD100" i="39"/>
  <c r="G100" i="31" s="1"/>
  <c r="G88" i="66"/>
  <c r="CD102" i="39"/>
  <c r="G102" i="31" s="1"/>
  <c r="G90" i="66"/>
  <c r="CD104" i="39"/>
  <c r="G104" i="31" s="1"/>
  <c r="G92" i="66"/>
  <c r="J74" i="27"/>
  <c r="T74" i="27" s="1"/>
  <c r="J74" i="41"/>
  <c r="T74" i="41" s="1"/>
  <c r="J79" i="27"/>
  <c r="T79" i="27" s="1"/>
  <c r="J79" i="41"/>
  <c r="T79" i="41" s="1"/>
  <c r="J85" i="27"/>
  <c r="T85" i="27" s="1"/>
  <c r="J85" i="41"/>
  <c r="T85" i="41" s="1"/>
  <c r="J75" i="27"/>
  <c r="T75" i="27" s="1"/>
  <c r="J75" i="41"/>
  <c r="T75" i="41" s="1"/>
  <c r="J83" i="27"/>
  <c r="T83" i="27" s="1"/>
  <c r="J83" i="41"/>
  <c r="T83" i="41" s="1"/>
  <c r="M74" i="31"/>
  <c r="M76" i="31"/>
  <c r="CD98" i="39"/>
  <c r="G98" i="31" s="1"/>
  <c r="G86" i="66"/>
  <c r="CD103" i="39"/>
  <c r="CD115" i="39" s="1"/>
  <c r="H115" i="29" s="1"/>
  <c r="G91" i="66"/>
  <c r="CD109" i="39"/>
  <c r="G109" i="31" s="1"/>
  <c r="G97" i="66"/>
  <c r="M82" i="31"/>
  <c r="M84" i="31"/>
  <c r="O53" i="28"/>
  <c r="O57" i="28"/>
  <c r="O55" i="28"/>
  <c r="O56" i="28"/>
  <c r="O61" i="28"/>
  <c r="O59" i="28"/>
  <c r="O52" i="28"/>
  <c r="O54" i="28"/>
  <c r="O60" i="28"/>
  <c r="F82" i="28"/>
  <c r="L82" i="28" s="1"/>
  <c r="O70" i="28"/>
  <c r="F85" i="28"/>
  <c r="L85" i="28" s="1"/>
  <c r="E77" i="28"/>
  <c r="K77" i="28" s="1"/>
  <c r="E81" i="28"/>
  <c r="K81" i="28" s="1"/>
  <c r="E79" i="28"/>
  <c r="K79" i="28" s="1"/>
  <c r="E86" i="28"/>
  <c r="K86" i="28" s="1"/>
  <c r="E80" i="28"/>
  <c r="K80" i="28" s="1"/>
  <c r="F76" i="28"/>
  <c r="L76" i="28" s="1"/>
  <c r="E85" i="28"/>
  <c r="K85" i="28" s="1"/>
  <c r="F78" i="28"/>
  <c r="L78" i="28" s="1"/>
  <c r="E94" i="28"/>
  <c r="K94" i="28" s="1"/>
  <c r="E83" i="28"/>
  <c r="K83" i="28" s="1"/>
  <c r="F81" i="28"/>
  <c r="L81" i="28" s="1"/>
  <c r="E75" i="28"/>
  <c r="K75" i="28" s="1"/>
  <c r="F84" i="28"/>
  <c r="L84" i="28" s="1"/>
  <c r="E76" i="28"/>
  <c r="K76" i="28" s="1"/>
  <c r="O64" i="28"/>
  <c r="F77" i="28"/>
  <c r="L77" i="28" s="1"/>
  <c r="F80" i="28"/>
  <c r="L80" i="28" s="1"/>
  <c r="F83" i="28"/>
  <c r="L83" i="28" s="1"/>
  <c r="E78" i="28"/>
  <c r="K78" i="28" s="1"/>
  <c r="E84" i="28"/>
  <c r="K84" i="28" s="1"/>
  <c r="F79" i="28"/>
  <c r="L79" i="28" s="1"/>
  <c r="F75" i="28"/>
  <c r="L75" i="28" s="1"/>
  <c r="F74" i="28"/>
  <c r="L74" i="28" s="1"/>
  <c r="O62" i="28"/>
  <c r="F74" i="27"/>
  <c r="P74" i="27" s="1"/>
  <c r="F82" i="27"/>
  <c r="P82" i="27" s="1"/>
  <c r="F79" i="27"/>
  <c r="P79" i="27" s="1"/>
  <c r="F85" i="27"/>
  <c r="P85" i="27" s="1"/>
  <c r="F84" i="27"/>
  <c r="P84" i="27" s="1"/>
  <c r="F81" i="27"/>
  <c r="P81" i="27" s="1"/>
  <c r="E86" i="27"/>
  <c r="O86" i="27" s="1"/>
  <c r="F87" i="27"/>
  <c r="P87" i="27" s="1"/>
  <c r="F83" i="27"/>
  <c r="P83" i="27" s="1"/>
  <c r="F77" i="27"/>
  <c r="P77" i="27" s="1"/>
  <c r="F78" i="27"/>
  <c r="P78" i="27" s="1"/>
  <c r="F80" i="27"/>
  <c r="P80" i="27" s="1"/>
  <c r="F76" i="27"/>
  <c r="P76" i="27" s="1"/>
  <c r="CD118" i="39"/>
  <c r="H118" i="29" s="1"/>
  <c r="G107" i="31"/>
  <c r="G95" i="31"/>
  <c r="G87" i="31"/>
  <c r="G88" i="31"/>
  <c r="G90" i="31"/>
  <c r="G96" i="31"/>
  <c r="G93" i="31"/>
  <c r="G92" i="31"/>
  <c r="G89" i="31"/>
  <c r="G94" i="31"/>
  <c r="G91" i="31"/>
  <c r="G86" i="31"/>
  <c r="G97" i="31"/>
  <c r="CE95" i="39"/>
  <c r="CE87" i="39"/>
  <c r="E71" i="29"/>
  <c r="M71" i="29" s="1"/>
  <c r="F64" i="29"/>
  <c r="N64" i="29" s="1"/>
  <c r="F68" i="29"/>
  <c r="N68" i="29" s="1"/>
  <c r="E64" i="29"/>
  <c r="M64" i="29" s="1"/>
  <c r="E73" i="29"/>
  <c r="M73" i="29" s="1"/>
  <c r="E65" i="29"/>
  <c r="M65" i="29" s="1"/>
  <c r="F66" i="29"/>
  <c r="N66" i="29" s="1"/>
  <c r="E72" i="29"/>
  <c r="M72" i="29" s="1"/>
  <c r="F63" i="29"/>
  <c r="N63" i="29" s="1"/>
  <c r="E67" i="29"/>
  <c r="M67" i="29" s="1"/>
  <c r="F71" i="29"/>
  <c r="N71" i="29" s="1"/>
  <c r="F70" i="29"/>
  <c r="N70" i="29" s="1"/>
  <c r="F73" i="29"/>
  <c r="N73" i="29" s="1"/>
  <c r="E66" i="29"/>
  <c r="M66" i="29" s="1"/>
  <c r="E68" i="29"/>
  <c r="M68" i="29" s="1"/>
  <c r="F67" i="29"/>
  <c r="N67" i="29" s="1"/>
  <c r="F69" i="29"/>
  <c r="N69" i="29" s="1"/>
  <c r="F72" i="29"/>
  <c r="N72" i="29" s="1"/>
  <c r="E69" i="29"/>
  <c r="M69" i="29" s="1"/>
  <c r="F65" i="29"/>
  <c r="N65" i="29" s="1"/>
  <c r="E63" i="29"/>
  <c r="M63" i="29" s="1"/>
  <c r="E74" i="29"/>
  <c r="M74" i="29" s="1"/>
  <c r="F62" i="29"/>
  <c r="N62" i="29" s="1"/>
  <c r="CE90" i="39"/>
  <c r="CE94" i="39"/>
  <c r="CE86" i="39"/>
  <c r="CE97" i="39"/>
  <c r="CE93" i="39"/>
  <c r="CE88" i="39"/>
  <c r="CE96" i="39"/>
  <c r="CE89" i="39"/>
  <c r="CE92" i="39"/>
  <c r="CE91" i="39"/>
  <c r="P37" i="58"/>
  <c r="S37" i="58" s="1"/>
  <c r="P21" i="58"/>
  <c r="S21" i="58" s="1"/>
  <c r="P15" i="58"/>
  <c r="S15" i="58" s="1"/>
  <c r="P23" i="58"/>
  <c r="S23" i="58" s="1"/>
  <c r="P22" i="58"/>
  <c r="S22" i="58" s="1"/>
  <c r="P24" i="58"/>
  <c r="S24" i="58" s="1"/>
  <c r="P17" i="58"/>
  <c r="S17" i="58" s="1"/>
  <c r="P31" i="58"/>
  <c r="S31" i="58" s="1"/>
  <c r="P14" i="58"/>
  <c r="S14" i="58" s="1"/>
  <c r="P20" i="58"/>
  <c r="S20" i="58" s="1"/>
  <c r="P16" i="58"/>
  <c r="S16" i="58" s="1"/>
  <c r="P18" i="58"/>
  <c r="S18" i="58" s="1"/>
  <c r="E95" i="27" l="1"/>
  <c r="O95" i="27" s="1"/>
  <c r="E92" i="27"/>
  <c r="O92" i="27" s="1"/>
  <c r="G105" i="31"/>
  <c r="G103" i="31"/>
  <c r="M103" i="31" s="1"/>
  <c r="CD114" i="39"/>
  <c r="H114" i="29" s="1"/>
  <c r="E106" i="27"/>
  <c r="O106" i="27" s="1"/>
  <c r="E97" i="27"/>
  <c r="O97" i="27" s="1"/>
  <c r="E87" i="27"/>
  <c r="O87" i="27" s="1"/>
  <c r="E91" i="27"/>
  <c r="O91" i="27" s="1"/>
  <c r="E96" i="27"/>
  <c r="O96" i="27" s="1"/>
  <c r="E89" i="27"/>
  <c r="O89" i="27" s="1"/>
  <c r="E93" i="27"/>
  <c r="O93" i="27" s="1"/>
  <c r="E90" i="27"/>
  <c r="O90" i="27" s="1"/>
  <c r="E88" i="27"/>
  <c r="O88" i="27" s="1"/>
  <c r="CD120" i="39"/>
  <c r="H120" i="29" s="1"/>
  <c r="CD112" i="39"/>
  <c r="H112" i="29" s="1"/>
  <c r="CD111" i="39"/>
  <c r="H111" i="29" s="1"/>
  <c r="CD121" i="39"/>
  <c r="H121" i="29" s="1"/>
  <c r="CD110" i="39"/>
  <c r="H110" i="29" s="1"/>
  <c r="CD113" i="39"/>
  <c r="H113" i="29" s="1"/>
  <c r="CD116" i="39"/>
  <c r="H116" i="29" s="1"/>
  <c r="P116" i="29" s="1"/>
  <c r="M92" i="31"/>
  <c r="M88" i="31"/>
  <c r="P117" i="29"/>
  <c r="P112" i="29"/>
  <c r="M91" i="31"/>
  <c r="M93" i="31"/>
  <c r="M87" i="31"/>
  <c r="M105" i="31"/>
  <c r="M108" i="31"/>
  <c r="M100" i="31"/>
  <c r="M99" i="31"/>
  <c r="M109" i="31"/>
  <c r="M98" i="31"/>
  <c r="M132" i="31"/>
  <c r="G109" i="66"/>
  <c r="H109" i="29"/>
  <c r="P109" i="29" s="1"/>
  <c r="G98" i="66"/>
  <c r="H98" i="29"/>
  <c r="P98" i="29" s="1"/>
  <c r="M122" i="31"/>
  <c r="AQ15" i="33" s="1"/>
  <c r="AS15" i="33" s="1"/>
  <c r="O29" i="35" s="1"/>
  <c r="P29" i="35" s="1"/>
  <c r="G104" i="66"/>
  <c r="H104" i="29"/>
  <c r="P104" i="29" s="1"/>
  <c r="G100" i="66"/>
  <c r="H100" i="29"/>
  <c r="P100" i="29" s="1"/>
  <c r="M129" i="31"/>
  <c r="M133" i="31"/>
  <c r="G99" i="66"/>
  <c r="H99" i="29"/>
  <c r="P99" i="29" s="1"/>
  <c r="G101" i="66"/>
  <c r="H101" i="29"/>
  <c r="P101" i="29" s="1"/>
  <c r="M131" i="31"/>
  <c r="M128" i="31"/>
  <c r="G108" i="66"/>
  <c r="H108" i="29"/>
  <c r="P108" i="29" s="1"/>
  <c r="M97" i="31"/>
  <c r="M94" i="31"/>
  <c r="M96" i="31"/>
  <c r="M95" i="31"/>
  <c r="P113" i="29"/>
  <c r="P114" i="29"/>
  <c r="P119" i="29"/>
  <c r="P118" i="29"/>
  <c r="P115" i="29"/>
  <c r="M89" i="31"/>
  <c r="M90" i="31"/>
  <c r="M101" i="31"/>
  <c r="M102" i="31"/>
  <c r="M107" i="31"/>
  <c r="M106" i="31"/>
  <c r="M104" i="31"/>
  <c r="M130" i="31"/>
  <c r="G103" i="66"/>
  <c r="H103" i="29"/>
  <c r="P103" i="29" s="1"/>
  <c r="M124" i="31"/>
  <c r="G102" i="66"/>
  <c r="H102" i="29"/>
  <c r="P102" i="29" s="1"/>
  <c r="M125" i="31"/>
  <c r="M126" i="31"/>
  <c r="G107" i="66"/>
  <c r="H107" i="29"/>
  <c r="P107" i="29" s="1"/>
  <c r="G105" i="66"/>
  <c r="H105" i="29"/>
  <c r="P105" i="29" s="1"/>
  <c r="G106" i="66"/>
  <c r="H106" i="29"/>
  <c r="P106" i="29" s="1"/>
  <c r="M123" i="31"/>
  <c r="M127" i="31"/>
  <c r="E100" i="30"/>
  <c r="L88" i="30"/>
  <c r="E90" i="30"/>
  <c r="L78" i="30"/>
  <c r="E87" i="30"/>
  <c r="L75" i="30"/>
  <c r="E93" i="30"/>
  <c r="L81" i="30"/>
  <c r="E92" i="30"/>
  <c r="L80" i="30"/>
  <c r="E96" i="30"/>
  <c r="L84" i="30"/>
  <c r="E101" i="30"/>
  <c r="L89" i="30"/>
  <c r="E97" i="30"/>
  <c r="L85" i="30"/>
  <c r="E94" i="30"/>
  <c r="L82" i="30"/>
  <c r="E91" i="30"/>
  <c r="L79" i="30"/>
  <c r="E95" i="30"/>
  <c r="L83" i="30"/>
  <c r="E86" i="30"/>
  <c r="L74" i="30"/>
  <c r="E82" i="29"/>
  <c r="M82" i="29" s="1"/>
  <c r="J92" i="27"/>
  <c r="T92" i="27" s="1"/>
  <c r="J92" i="41"/>
  <c r="T92" i="41" s="1"/>
  <c r="J96" i="27"/>
  <c r="T96" i="27" s="1"/>
  <c r="J96" i="41"/>
  <c r="T96" i="41" s="1"/>
  <c r="J87" i="27"/>
  <c r="T87" i="27" s="1"/>
  <c r="J87" i="41"/>
  <c r="T87" i="41" s="1"/>
  <c r="J91" i="27"/>
  <c r="T91" i="27" s="1"/>
  <c r="J91" i="41"/>
  <c r="T91" i="41" s="1"/>
  <c r="J88" i="27"/>
  <c r="T88" i="27" s="1"/>
  <c r="J88" i="41"/>
  <c r="T88" i="41" s="1"/>
  <c r="J86" i="27"/>
  <c r="T86" i="27" s="1"/>
  <c r="J86" i="41"/>
  <c r="T86" i="41" s="1"/>
  <c r="J95" i="27"/>
  <c r="T95" i="27" s="1"/>
  <c r="J95" i="41"/>
  <c r="T95" i="41" s="1"/>
  <c r="G113" i="31"/>
  <c r="G114" i="31"/>
  <c r="G114" i="66"/>
  <c r="G119" i="31"/>
  <c r="G119" i="66"/>
  <c r="G118" i="31"/>
  <c r="G118" i="66"/>
  <c r="G115" i="31"/>
  <c r="G115" i="66"/>
  <c r="J89" i="27"/>
  <c r="T89" i="27" s="1"/>
  <c r="J89" i="41"/>
  <c r="T89" i="41" s="1"/>
  <c r="J93" i="27"/>
  <c r="T93" i="27" s="1"/>
  <c r="J93" i="41"/>
  <c r="T93" i="41" s="1"/>
  <c r="J94" i="27"/>
  <c r="T94" i="27" s="1"/>
  <c r="J94" i="41"/>
  <c r="T94" i="41" s="1"/>
  <c r="G134" i="31"/>
  <c r="M86" i="31"/>
  <c r="J97" i="27"/>
  <c r="T97" i="27" s="1"/>
  <c r="J97" i="41"/>
  <c r="T97" i="41" s="1"/>
  <c r="J90" i="27"/>
  <c r="T90" i="27" s="1"/>
  <c r="J90" i="41"/>
  <c r="T90" i="41" s="1"/>
  <c r="G117" i="31"/>
  <c r="G117" i="66"/>
  <c r="G120" i="31"/>
  <c r="G120" i="66"/>
  <c r="G112" i="31"/>
  <c r="G112" i="66"/>
  <c r="G110" i="31"/>
  <c r="G110" i="66"/>
  <c r="O72" i="28"/>
  <c r="O66" i="28"/>
  <c r="O73" i="28"/>
  <c r="O63" i="28"/>
  <c r="O71" i="28"/>
  <c r="O69" i="28"/>
  <c r="O68" i="28"/>
  <c r="O67" i="28"/>
  <c r="O65" i="28"/>
  <c r="F86" i="28"/>
  <c r="L86" i="28" s="1"/>
  <c r="O74" i="28"/>
  <c r="F91" i="28"/>
  <c r="L91" i="28" s="1"/>
  <c r="E90" i="28"/>
  <c r="K90" i="28" s="1"/>
  <c r="F92" i="28"/>
  <c r="L92" i="28" s="1"/>
  <c r="E88" i="28"/>
  <c r="K88" i="28" s="1"/>
  <c r="E87" i="28"/>
  <c r="K87" i="28" s="1"/>
  <c r="E95" i="28"/>
  <c r="K95" i="28" s="1"/>
  <c r="F90" i="28"/>
  <c r="L90" i="28" s="1"/>
  <c r="F88" i="28"/>
  <c r="L88" i="28" s="1"/>
  <c r="E98" i="28"/>
  <c r="K98" i="28" s="1"/>
  <c r="E93" i="28"/>
  <c r="K93" i="28" s="1"/>
  <c r="F97" i="28"/>
  <c r="L97" i="28" s="1"/>
  <c r="F87" i="28"/>
  <c r="L87" i="28" s="1"/>
  <c r="E96" i="28"/>
  <c r="K96" i="28" s="1"/>
  <c r="F95" i="28"/>
  <c r="L95" i="28" s="1"/>
  <c r="F89" i="28"/>
  <c r="L89" i="28" s="1"/>
  <c r="F96" i="28"/>
  <c r="L96" i="28" s="1"/>
  <c r="F93" i="28"/>
  <c r="L93" i="28" s="1"/>
  <c r="E106" i="28"/>
  <c r="K106" i="28" s="1"/>
  <c r="E97" i="28"/>
  <c r="K97" i="28" s="1"/>
  <c r="O85" i="28"/>
  <c r="E92" i="28"/>
  <c r="K92" i="28" s="1"/>
  <c r="E91" i="28"/>
  <c r="K91" i="28" s="1"/>
  <c r="E89" i="28"/>
  <c r="K89" i="28" s="1"/>
  <c r="F94" i="28"/>
  <c r="L94" i="28" s="1"/>
  <c r="O82" i="28"/>
  <c r="F88" i="27"/>
  <c r="P88" i="27" s="1"/>
  <c r="F90" i="27"/>
  <c r="P90" i="27" s="1"/>
  <c r="F89" i="27"/>
  <c r="P89" i="27" s="1"/>
  <c r="E98" i="27"/>
  <c r="O98" i="27" s="1"/>
  <c r="F96" i="27"/>
  <c r="P96" i="27" s="1"/>
  <c r="F91" i="27"/>
  <c r="P91" i="27" s="1"/>
  <c r="F94" i="27"/>
  <c r="P94" i="27" s="1"/>
  <c r="E104" i="27"/>
  <c r="O104" i="27" s="1"/>
  <c r="F92" i="27"/>
  <c r="P92" i="27" s="1"/>
  <c r="F95" i="27"/>
  <c r="P95" i="27" s="1"/>
  <c r="F99" i="27"/>
  <c r="P99" i="27" s="1"/>
  <c r="F93" i="27"/>
  <c r="P93" i="27" s="1"/>
  <c r="F97" i="27"/>
  <c r="P97" i="27" s="1"/>
  <c r="F86" i="27"/>
  <c r="P86" i="27" s="1"/>
  <c r="CE104" i="39"/>
  <c r="CE109" i="39"/>
  <c r="CE102" i="39"/>
  <c r="G145" i="31"/>
  <c r="G137" i="31"/>
  <c r="G144" i="31"/>
  <c r="G140" i="31"/>
  <c r="G138" i="31"/>
  <c r="G135" i="31"/>
  <c r="CE103" i="39"/>
  <c r="CE100" i="39"/>
  <c r="CE98" i="39"/>
  <c r="CE107" i="39"/>
  <c r="G139" i="31"/>
  <c r="G136" i="31"/>
  <c r="G143" i="31"/>
  <c r="CE108" i="39"/>
  <c r="CE99" i="39"/>
  <c r="CE101" i="39"/>
  <c r="CE105" i="39"/>
  <c r="CE106" i="39"/>
  <c r="G142" i="31"/>
  <c r="G141" i="31"/>
  <c r="F74" i="29"/>
  <c r="N74" i="29" s="1"/>
  <c r="E75" i="29"/>
  <c r="M75" i="29" s="1"/>
  <c r="E81" i="29"/>
  <c r="M81" i="29" s="1"/>
  <c r="F81" i="29"/>
  <c r="N81" i="29" s="1"/>
  <c r="E80" i="29"/>
  <c r="M80" i="29" s="1"/>
  <c r="F85" i="29"/>
  <c r="N85" i="29" s="1"/>
  <c r="F83" i="29"/>
  <c r="N83" i="29" s="1"/>
  <c r="E84" i="29"/>
  <c r="M84" i="29" s="1"/>
  <c r="E77" i="29"/>
  <c r="M77" i="29" s="1"/>
  <c r="E76" i="29"/>
  <c r="M76" i="29" s="1"/>
  <c r="F76" i="29"/>
  <c r="N76" i="29" s="1"/>
  <c r="E86" i="29"/>
  <c r="M86" i="29" s="1"/>
  <c r="F77" i="29"/>
  <c r="N77" i="29" s="1"/>
  <c r="F84" i="29"/>
  <c r="N84" i="29" s="1"/>
  <c r="F79" i="29"/>
  <c r="N79" i="29" s="1"/>
  <c r="E78" i="29"/>
  <c r="M78" i="29" s="1"/>
  <c r="F82" i="29"/>
  <c r="N82" i="29" s="1"/>
  <c r="E79" i="29"/>
  <c r="M79" i="29" s="1"/>
  <c r="F75" i="29"/>
  <c r="N75" i="29" s="1"/>
  <c r="F78" i="29"/>
  <c r="N78" i="29" s="1"/>
  <c r="E85" i="29"/>
  <c r="M85" i="29" s="1"/>
  <c r="F80" i="29"/>
  <c r="N80" i="29" s="1"/>
  <c r="E83" i="29"/>
  <c r="M83" i="29" s="1"/>
  <c r="P33" i="58"/>
  <c r="S33" i="58" s="1"/>
  <c r="P27" i="58"/>
  <c r="S27" i="58" s="1"/>
  <c r="P35" i="58"/>
  <c r="S35" i="58" s="1"/>
  <c r="P49" i="58"/>
  <c r="S49" i="58" s="1"/>
  <c r="P26" i="58"/>
  <c r="S26" i="58" s="1"/>
  <c r="P43" i="58"/>
  <c r="S43" i="58" s="1"/>
  <c r="P34" i="58"/>
  <c r="S34" i="58" s="1"/>
  <c r="P36" i="58"/>
  <c r="S36" i="58" s="1"/>
  <c r="P29" i="58"/>
  <c r="S29" i="58" s="1"/>
  <c r="P28" i="58"/>
  <c r="S28" i="58" s="1"/>
  <c r="P30" i="58"/>
  <c r="S30" i="58" s="1"/>
  <c r="P32" i="58"/>
  <c r="S32" i="58" s="1"/>
  <c r="E107" i="27" l="1"/>
  <c r="O107" i="27" s="1"/>
  <c r="E118" i="27"/>
  <c r="O118" i="27" s="1"/>
  <c r="K106" i="27"/>
  <c r="U106" i="27" s="1"/>
  <c r="E105" i="27"/>
  <c r="O105" i="27" s="1"/>
  <c r="E108" i="27"/>
  <c r="O108" i="27" s="1"/>
  <c r="E109" i="27"/>
  <c r="O109" i="27" s="1"/>
  <c r="E99" i="27"/>
  <c r="O99" i="27" s="1"/>
  <c r="E102" i="27"/>
  <c r="O102" i="27" s="1"/>
  <c r="E101" i="27"/>
  <c r="O101" i="27" s="1"/>
  <c r="E103" i="27"/>
  <c r="O103" i="27" s="1"/>
  <c r="E100" i="27"/>
  <c r="O100" i="27" s="1"/>
  <c r="G113" i="66"/>
  <c r="P120" i="29"/>
  <c r="P110" i="29"/>
  <c r="G111" i="66"/>
  <c r="G116" i="66"/>
  <c r="P111" i="29"/>
  <c r="G111" i="31"/>
  <c r="M111" i="31" s="1"/>
  <c r="G116" i="31"/>
  <c r="M116" i="31" s="1"/>
  <c r="G121" i="66"/>
  <c r="P121" i="29"/>
  <c r="G121" i="31"/>
  <c r="M121" i="31" s="1"/>
  <c r="M141" i="31"/>
  <c r="M136" i="31"/>
  <c r="M140" i="31"/>
  <c r="M110" i="31"/>
  <c r="AQ14" i="33" s="1"/>
  <c r="M120" i="31"/>
  <c r="M134" i="31"/>
  <c r="M118" i="31"/>
  <c r="M114" i="31"/>
  <c r="H142" i="29"/>
  <c r="P142" i="29" s="1"/>
  <c r="P130" i="29"/>
  <c r="M142" i="31"/>
  <c r="M139" i="31"/>
  <c r="M144" i="31"/>
  <c r="H140" i="29"/>
  <c r="P140" i="29" s="1"/>
  <c r="P128" i="29"/>
  <c r="H138" i="29"/>
  <c r="P138" i="29" s="1"/>
  <c r="P126" i="29"/>
  <c r="H134" i="29"/>
  <c r="P134" i="29" s="1"/>
  <c r="P122" i="29"/>
  <c r="H135" i="29"/>
  <c r="P135" i="29" s="1"/>
  <c r="P123" i="29"/>
  <c r="H144" i="29"/>
  <c r="P144" i="29" s="1"/>
  <c r="P132" i="29"/>
  <c r="M135" i="31"/>
  <c r="M137" i="31"/>
  <c r="M112" i="31"/>
  <c r="M117" i="31"/>
  <c r="M115" i="31"/>
  <c r="M119" i="31"/>
  <c r="M113" i="31"/>
  <c r="M143" i="31"/>
  <c r="M138" i="31"/>
  <c r="M145" i="31"/>
  <c r="H139" i="29"/>
  <c r="P139" i="29" s="1"/>
  <c r="P127" i="29"/>
  <c r="H143" i="29"/>
  <c r="P143" i="29" s="1"/>
  <c r="P131" i="29"/>
  <c r="H137" i="29"/>
  <c r="P137" i="29" s="1"/>
  <c r="P125" i="29"/>
  <c r="H145" i="29"/>
  <c r="P145" i="29" s="1"/>
  <c r="P133" i="29"/>
  <c r="H136" i="29"/>
  <c r="P136" i="29" s="1"/>
  <c r="P124" i="29"/>
  <c r="H141" i="29"/>
  <c r="P141" i="29" s="1"/>
  <c r="P129" i="29"/>
  <c r="E94" i="29"/>
  <c r="M94" i="29" s="1"/>
  <c r="E98" i="30"/>
  <c r="L86" i="30"/>
  <c r="E103" i="30"/>
  <c r="L91" i="30"/>
  <c r="E109" i="30"/>
  <c r="L97" i="30"/>
  <c r="E108" i="30"/>
  <c r="L96" i="30"/>
  <c r="E105" i="30"/>
  <c r="L93" i="30"/>
  <c r="E102" i="30"/>
  <c r="L90" i="30"/>
  <c r="E107" i="30"/>
  <c r="L95" i="30"/>
  <c r="E106" i="30"/>
  <c r="L94" i="30"/>
  <c r="E113" i="30"/>
  <c r="E125" i="30" s="1"/>
  <c r="L101" i="30"/>
  <c r="E104" i="30"/>
  <c r="L92" i="30"/>
  <c r="E99" i="30"/>
  <c r="L87" i="30"/>
  <c r="E112" i="30"/>
  <c r="E124" i="30" s="1"/>
  <c r="L100" i="30"/>
  <c r="K104" i="27"/>
  <c r="U104" i="27" s="1"/>
  <c r="J106" i="27"/>
  <c r="T106" i="27" s="1"/>
  <c r="J106" i="41"/>
  <c r="T106" i="41" s="1"/>
  <c r="J108" i="27"/>
  <c r="T108" i="27" s="1"/>
  <c r="J108" i="41"/>
  <c r="T108" i="41" s="1"/>
  <c r="J107" i="27"/>
  <c r="T107" i="27" s="1"/>
  <c r="J107" i="41"/>
  <c r="T107" i="41" s="1"/>
  <c r="J104" i="27"/>
  <c r="T104" i="27" s="1"/>
  <c r="J104" i="41"/>
  <c r="T104" i="41" s="1"/>
  <c r="J105" i="27"/>
  <c r="T105" i="27" s="1"/>
  <c r="J105" i="41"/>
  <c r="T105" i="41" s="1"/>
  <c r="J98" i="27"/>
  <c r="T98" i="27" s="1"/>
  <c r="J98" i="41"/>
  <c r="T98" i="41" s="1"/>
  <c r="J101" i="27"/>
  <c r="T101" i="27" s="1"/>
  <c r="J101" i="41"/>
  <c r="T101" i="41" s="1"/>
  <c r="J100" i="27"/>
  <c r="T100" i="27" s="1"/>
  <c r="J100" i="41"/>
  <c r="T100" i="41" s="1"/>
  <c r="J102" i="27"/>
  <c r="T102" i="27" s="1"/>
  <c r="J102" i="41"/>
  <c r="T102" i="41" s="1"/>
  <c r="J99" i="27"/>
  <c r="T99" i="27" s="1"/>
  <c r="J99" i="41"/>
  <c r="T99" i="41" s="1"/>
  <c r="J103" i="27"/>
  <c r="T103" i="27" s="1"/>
  <c r="J103" i="41"/>
  <c r="T103" i="41" s="1"/>
  <c r="J109" i="27"/>
  <c r="T109" i="27" s="1"/>
  <c r="J109" i="41"/>
  <c r="T109" i="41" s="1"/>
  <c r="O79" i="28"/>
  <c r="F96" i="29"/>
  <c r="N96" i="29" s="1"/>
  <c r="E97" i="29"/>
  <c r="M97" i="29" s="1"/>
  <c r="F97" i="29"/>
  <c r="N97" i="29" s="1"/>
  <c r="E98" i="29"/>
  <c r="M98" i="29" s="1"/>
  <c r="E96" i="29"/>
  <c r="M96" i="29" s="1"/>
  <c r="O80" i="28"/>
  <c r="O84" i="28"/>
  <c r="O75" i="28"/>
  <c r="O77" i="28"/>
  <c r="O81" i="28"/>
  <c r="O83" i="28"/>
  <c r="O76" i="28"/>
  <c r="O78" i="28"/>
  <c r="F106" i="28"/>
  <c r="L106" i="28" s="1"/>
  <c r="O94" i="28"/>
  <c r="E103" i="28"/>
  <c r="K103" i="28" s="1"/>
  <c r="E109" i="28"/>
  <c r="K109" i="28" s="1"/>
  <c r="F105" i="28"/>
  <c r="L105" i="28" s="1"/>
  <c r="F101" i="28"/>
  <c r="L101" i="28" s="1"/>
  <c r="E108" i="28"/>
  <c r="K108" i="28" s="1"/>
  <c r="F109" i="28"/>
  <c r="L109" i="28" s="1"/>
  <c r="E110" i="28"/>
  <c r="F102" i="28"/>
  <c r="L102" i="28" s="1"/>
  <c r="E99" i="28"/>
  <c r="K99" i="28" s="1"/>
  <c r="F104" i="28"/>
  <c r="L104" i="28" s="1"/>
  <c r="F103" i="28"/>
  <c r="L103" i="28" s="1"/>
  <c r="E101" i="28"/>
  <c r="K101" i="28" s="1"/>
  <c r="O89" i="28"/>
  <c r="E104" i="28"/>
  <c r="K104" i="28" s="1"/>
  <c r="E118" i="28"/>
  <c r="F108" i="28"/>
  <c r="L108" i="28" s="1"/>
  <c r="F107" i="28"/>
  <c r="L107" i="28" s="1"/>
  <c r="F99" i="28"/>
  <c r="L99" i="28" s="1"/>
  <c r="E105" i="28"/>
  <c r="K105" i="28" s="1"/>
  <c r="F100" i="28"/>
  <c r="L100" i="28" s="1"/>
  <c r="E107" i="28"/>
  <c r="K107" i="28" s="1"/>
  <c r="O95" i="28"/>
  <c r="E100" i="28"/>
  <c r="K100" i="28" s="1"/>
  <c r="O88" i="28"/>
  <c r="E102" i="28"/>
  <c r="K102" i="28" s="1"/>
  <c r="O90" i="28"/>
  <c r="F98" i="28"/>
  <c r="L98" i="28" s="1"/>
  <c r="O86" i="28"/>
  <c r="F98" i="27"/>
  <c r="P98" i="27" s="1"/>
  <c r="F111" i="27"/>
  <c r="P111" i="27" s="1"/>
  <c r="F104" i="27"/>
  <c r="P104" i="27" s="1"/>
  <c r="F106" i="27"/>
  <c r="P106" i="27" s="1"/>
  <c r="F103" i="27"/>
  <c r="P103" i="27" s="1"/>
  <c r="F108" i="27"/>
  <c r="P108" i="27" s="1"/>
  <c r="F109" i="27"/>
  <c r="P109" i="27" s="1"/>
  <c r="F105" i="27"/>
  <c r="P105" i="27" s="1"/>
  <c r="F107" i="27"/>
  <c r="P107" i="27" s="1"/>
  <c r="E116" i="27"/>
  <c r="O116" i="27" s="1"/>
  <c r="E110" i="27"/>
  <c r="O110" i="27" s="1"/>
  <c r="F101" i="27"/>
  <c r="P101" i="27" s="1"/>
  <c r="F102" i="27"/>
  <c r="P102" i="27" s="1"/>
  <c r="F100" i="27"/>
  <c r="P100" i="27" s="1"/>
  <c r="CE110" i="39"/>
  <c r="CE115" i="39"/>
  <c r="CE121" i="39"/>
  <c r="CE118" i="39"/>
  <c r="CE113" i="39"/>
  <c r="CE120" i="39"/>
  <c r="CE119" i="39"/>
  <c r="CE112" i="39"/>
  <c r="CE114" i="39"/>
  <c r="CE116" i="39"/>
  <c r="CE117" i="39"/>
  <c r="CE111" i="39"/>
  <c r="E95" i="29"/>
  <c r="M95" i="29" s="1"/>
  <c r="F87" i="29"/>
  <c r="N87" i="29" s="1"/>
  <c r="F94" i="29"/>
  <c r="N94" i="29" s="1"/>
  <c r="F91" i="29"/>
  <c r="N91" i="29" s="1"/>
  <c r="F89" i="29"/>
  <c r="N89" i="29" s="1"/>
  <c r="F88" i="29"/>
  <c r="N88" i="29" s="1"/>
  <c r="E89" i="29"/>
  <c r="M89" i="29" s="1"/>
  <c r="F93" i="29"/>
  <c r="N93" i="29" s="1"/>
  <c r="E87" i="29"/>
  <c r="M87" i="29" s="1"/>
  <c r="F92" i="29"/>
  <c r="N92" i="29" s="1"/>
  <c r="F90" i="29"/>
  <c r="N90" i="29" s="1"/>
  <c r="E91" i="29"/>
  <c r="M91" i="29" s="1"/>
  <c r="E90" i="29"/>
  <c r="M90" i="29" s="1"/>
  <c r="E88" i="29"/>
  <c r="M88" i="29" s="1"/>
  <c r="F95" i="29"/>
  <c r="N95" i="29" s="1"/>
  <c r="E92" i="29"/>
  <c r="M92" i="29" s="1"/>
  <c r="E93" i="29"/>
  <c r="M93" i="29" s="1"/>
  <c r="F86" i="29"/>
  <c r="N86" i="29" s="1"/>
  <c r="X4" i="26"/>
  <c r="P61" i="58"/>
  <c r="S61" i="58" s="1"/>
  <c r="P45" i="58"/>
  <c r="S45" i="58" s="1"/>
  <c r="P39" i="58"/>
  <c r="S39" i="58" s="1"/>
  <c r="P47" i="58"/>
  <c r="S47" i="58" s="1"/>
  <c r="P41" i="58"/>
  <c r="S41" i="58" s="1"/>
  <c r="P48" i="58"/>
  <c r="S48" i="58" s="1"/>
  <c r="P55" i="58"/>
  <c r="S55" i="58" s="1"/>
  <c r="P38" i="58"/>
  <c r="S38" i="58" s="1"/>
  <c r="P46" i="58"/>
  <c r="S46" i="58" s="1"/>
  <c r="P42" i="58"/>
  <c r="S42" i="58" s="1"/>
  <c r="P44" i="58"/>
  <c r="S44" i="58" s="1"/>
  <c r="P40" i="58"/>
  <c r="S40" i="58" s="1"/>
  <c r="K118" i="28" l="1"/>
  <c r="E130" i="28"/>
  <c r="K130" i="28" s="1"/>
  <c r="K110" i="28"/>
  <c r="E122" i="28"/>
  <c r="K122" i="28" s="1"/>
  <c r="E119" i="27"/>
  <c r="O119" i="27" s="1"/>
  <c r="K107" i="27"/>
  <c r="U107" i="27" s="1"/>
  <c r="E130" i="27"/>
  <c r="O130" i="27" s="1"/>
  <c r="K118" i="27"/>
  <c r="U118" i="27" s="1"/>
  <c r="E117" i="27"/>
  <c r="O117" i="27" s="1"/>
  <c r="K105" i="27"/>
  <c r="U105" i="27" s="1"/>
  <c r="E120" i="27"/>
  <c r="O120" i="27" s="1"/>
  <c r="E111" i="27"/>
  <c r="O111" i="27" s="1"/>
  <c r="E121" i="27"/>
  <c r="O121" i="27" s="1"/>
  <c r="K109" i="27"/>
  <c r="U109" i="27" s="1"/>
  <c r="K108" i="27"/>
  <c r="U108" i="27" s="1"/>
  <c r="E113" i="27"/>
  <c r="O113" i="27" s="1"/>
  <c r="E115" i="27"/>
  <c r="O115" i="27" s="1"/>
  <c r="K103" i="27"/>
  <c r="U103" i="27" s="1"/>
  <c r="E114" i="27"/>
  <c r="O114" i="27" s="1"/>
  <c r="K101" i="27"/>
  <c r="U101" i="27" s="1"/>
  <c r="K102" i="27"/>
  <c r="U102" i="27" s="1"/>
  <c r="E112" i="27"/>
  <c r="O112" i="27" s="1"/>
  <c r="K100" i="27"/>
  <c r="U100" i="27" s="1"/>
  <c r="E106" i="29"/>
  <c r="M106" i="29" s="1"/>
  <c r="L112" i="30"/>
  <c r="E116" i="30"/>
  <c r="E128" i="30" s="1"/>
  <c r="L104" i="30"/>
  <c r="E118" i="30"/>
  <c r="E130" i="30" s="1"/>
  <c r="L106" i="30"/>
  <c r="E114" i="30"/>
  <c r="E126" i="30" s="1"/>
  <c r="L102" i="30"/>
  <c r="E120" i="30"/>
  <c r="E132" i="30" s="1"/>
  <c r="L108" i="30"/>
  <c r="E115" i="30"/>
  <c r="E127" i="30" s="1"/>
  <c r="L103" i="30"/>
  <c r="E111" i="30"/>
  <c r="E123" i="30" s="1"/>
  <c r="L99" i="30"/>
  <c r="L113" i="30"/>
  <c r="E119" i="30"/>
  <c r="E131" i="30" s="1"/>
  <c r="L107" i="30"/>
  <c r="E117" i="30"/>
  <c r="E129" i="30" s="1"/>
  <c r="L105" i="30"/>
  <c r="E121" i="30"/>
  <c r="E133" i="30" s="1"/>
  <c r="L109" i="30"/>
  <c r="E110" i="30"/>
  <c r="E122" i="30" s="1"/>
  <c r="L98" i="30"/>
  <c r="L102" i="27"/>
  <c r="V102" i="27" s="1"/>
  <c r="L105" i="27"/>
  <c r="V105" i="27" s="1"/>
  <c r="L106" i="27"/>
  <c r="V106" i="27" s="1"/>
  <c r="L101" i="27"/>
  <c r="V101" i="27" s="1"/>
  <c r="K116" i="27"/>
  <c r="U116" i="27" s="1"/>
  <c r="L109" i="27"/>
  <c r="V109" i="27" s="1"/>
  <c r="L104" i="27"/>
  <c r="V104" i="27" s="1"/>
  <c r="K110" i="27"/>
  <c r="U110" i="27" s="1"/>
  <c r="L108" i="27"/>
  <c r="V108" i="27" s="1"/>
  <c r="L100" i="27"/>
  <c r="V100" i="27" s="1"/>
  <c r="L107" i="27"/>
  <c r="V107" i="27" s="1"/>
  <c r="L103" i="27"/>
  <c r="V103" i="27" s="1"/>
  <c r="L111" i="27"/>
  <c r="V111" i="27" s="1"/>
  <c r="J117" i="27"/>
  <c r="J117" i="41"/>
  <c r="T117" i="41" s="1"/>
  <c r="J119" i="27"/>
  <c r="J119" i="41"/>
  <c r="T119" i="41" s="1"/>
  <c r="J121" i="27"/>
  <c r="J121" i="41"/>
  <c r="T121" i="41" s="1"/>
  <c r="J116" i="27"/>
  <c r="J116" i="41"/>
  <c r="T116" i="41" s="1"/>
  <c r="J120" i="27"/>
  <c r="J120" i="41"/>
  <c r="T120" i="41" s="1"/>
  <c r="J115" i="27"/>
  <c r="J115" i="41"/>
  <c r="T115" i="41" s="1"/>
  <c r="J114" i="27"/>
  <c r="J114" i="41"/>
  <c r="T114" i="41" s="1"/>
  <c r="J113" i="27"/>
  <c r="J113" i="41"/>
  <c r="T113" i="41" s="1"/>
  <c r="J110" i="27"/>
  <c r="J110" i="41"/>
  <c r="T110" i="41" s="1"/>
  <c r="J111" i="27"/>
  <c r="J111" i="41"/>
  <c r="T111" i="41" s="1"/>
  <c r="J112" i="27"/>
  <c r="J112" i="41"/>
  <c r="T112" i="41" s="1"/>
  <c r="J118" i="27"/>
  <c r="J118" i="41"/>
  <c r="T118" i="41" s="1"/>
  <c r="F108" i="29"/>
  <c r="N108" i="29" s="1"/>
  <c r="E110" i="29"/>
  <c r="F109" i="29"/>
  <c r="N109" i="29" s="1"/>
  <c r="E109" i="29"/>
  <c r="M109" i="29" s="1"/>
  <c r="E108" i="29"/>
  <c r="M108" i="29" s="1"/>
  <c r="E105" i="29"/>
  <c r="M105" i="29" s="1"/>
  <c r="E102" i="29"/>
  <c r="M102" i="29" s="1"/>
  <c r="E99" i="29"/>
  <c r="M99" i="29" s="1"/>
  <c r="F101" i="29"/>
  <c r="N101" i="29" s="1"/>
  <c r="E107" i="29"/>
  <c r="M107" i="29" s="1"/>
  <c r="E104" i="29"/>
  <c r="M104" i="29" s="1"/>
  <c r="E103" i="29"/>
  <c r="M103" i="29" s="1"/>
  <c r="F105" i="29"/>
  <c r="N105" i="29" s="1"/>
  <c r="F103" i="29"/>
  <c r="N103" i="29" s="1"/>
  <c r="F107" i="29"/>
  <c r="N107" i="29" s="1"/>
  <c r="F102" i="29"/>
  <c r="N102" i="29" s="1"/>
  <c r="E101" i="29"/>
  <c r="M101" i="29" s="1"/>
  <c r="F106" i="29"/>
  <c r="N106" i="29" s="1"/>
  <c r="F98" i="29"/>
  <c r="N98" i="29" s="1"/>
  <c r="E100" i="29"/>
  <c r="M100" i="29" s="1"/>
  <c r="F104" i="29"/>
  <c r="N104" i="29" s="1"/>
  <c r="F100" i="29"/>
  <c r="N100" i="29" s="1"/>
  <c r="F99" i="29"/>
  <c r="N99" i="29" s="1"/>
  <c r="O92" i="28"/>
  <c r="O87" i="28"/>
  <c r="O96" i="28"/>
  <c r="O91" i="28"/>
  <c r="O93" i="28"/>
  <c r="O97" i="28"/>
  <c r="F110" i="28"/>
  <c r="O98" i="28"/>
  <c r="E112" i="28"/>
  <c r="F112" i="28"/>
  <c r="F111" i="28"/>
  <c r="F120" i="28"/>
  <c r="E116" i="28"/>
  <c r="F115" i="28"/>
  <c r="E111" i="28"/>
  <c r="O99" i="28"/>
  <c r="E120" i="28"/>
  <c r="F117" i="28"/>
  <c r="E115" i="28"/>
  <c r="E114" i="28"/>
  <c r="E119" i="28"/>
  <c r="E117" i="28"/>
  <c r="O105" i="28"/>
  <c r="F119" i="28"/>
  <c r="E113" i="28"/>
  <c r="F116" i="28"/>
  <c r="F114" i="28"/>
  <c r="F121" i="28"/>
  <c r="F113" i="28"/>
  <c r="E121" i="28"/>
  <c r="F118" i="28"/>
  <c r="O106" i="28"/>
  <c r="F112" i="27"/>
  <c r="P112" i="27" s="1"/>
  <c r="F113" i="27"/>
  <c r="P113" i="27" s="1"/>
  <c r="E128" i="27"/>
  <c r="F119" i="27"/>
  <c r="P119" i="27" s="1"/>
  <c r="F121" i="27"/>
  <c r="P121" i="27" s="1"/>
  <c r="F115" i="27"/>
  <c r="P115" i="27" s="1"/>
  <c r="F116" i="27"/>
  <c r="P116" i="27" s="1"/>
  <c r="F123" i="27"/>
  <c r="P123" i="27" s="1"/>
  <c r="F114" i="27"/>
  <c r="P114" i="27" s="1"/>
  <c r="E122" i="27"/>
  <c r="K122" i="27" s="1"/>
  <c r="F117" i="27"/>
  <c r="P117" i="27" s="1"/>
  <c r="F120" i="27"/>
  <c r="P120" i="27" s="1"/>
  <c r="F118" i="27"/>
  <c r="P118" i="27" s="1"/>
  <c r="F110" i="27"/>
  <c r="P110" i="27" s="1"/>
  <c r="X5" i="26"/>
  <c r="P59" i="58"/>
  <c r="S59" i="58" s="1"/>
  <c r="P51" i="58"/>
  <c r="S51" i="58" s="1"/>
  <c r="P57" i="58"/>
  <c r="S57" i="58" s="1"/>
  <c r="P73" i="58"/>
  <c r="S73" i="58" s="1"/>
  <c r="P60" i="58"/>
  <c r="S60" i="58" s="1"/>
  <c r="P53" i="58"/>
  <c r="S53" i="58" s="1"/>
  <c r="P58" i="58"/>
  <c r="S58" i="58" s="1"/>
  <c r="P50" i="58"/>
  <c r="S50" i="58" s="1"/>
  <c r="P67" i="58"/>
  <c r="S67" i="58" s="1"/>
  <c r="P56" i="58"/>
  <c r="S56" i="58" s="1"/>
  <c r="P52" i="58"/>
  <c r="S52" i="58" s="1"/>
  <c r="P54" i="58"/>
  <c r="S54" i="58" s="1"/>
  <c r="K120" i="27" l="1"/>
  <c r="U120" i="27" s="1"/>
  <c r="M110" i="29"/>
  <c r="E122" i="29"/>
  <c r="M122" i="29" s="1"/>
  <c r="L113" i="28"/>
  <c r="F125" i="28"/>
  <c r="L125" i="28" s="1"/>
  <c r="K117" i="28"/>
  <c r="E129" i="28"/>
  <c r="K129" i="28" s="1"/>
  <c r="L111" i="28"/>
  <c r="F123" i="28"/>
  <c r="L123" i="28" s="1"/>
  <c r="L121" i="28"/>
  <c r="F133" i="28"/>
  <c r="L133" i="28" s="1"/>
  <c r="K119" i="28"/>
  <c r="E131" i="28"/>
  <c r="K131" i="28" s="1"/>
  <c r="K120" i="28"/>
  <c r="E132" i="28"/>
  <c r="K132" i="28" s="1"/>
  <c r="L115" i="28"/>
  <c r="F127" i="28"/>
  <c r="L127" i="28" s="1"/>
  <c r="L112" i="28"/>
  <c r="F124" i="28"/>
  <c r="L124" i="28" s="1"/>
  <c r="K113" i="28"/>
  <c r="E125" i="28"/>
  <c r="K125" i="28" s="1"/>
  <c r="L117" i="28"/>
  <c r="F129" i="28"/>
  <c r="L129" i="28" s="1"/>
  <c r="K111" i="28"/>
  <c r="E123" i="28"/>
  <c r="K123" i="28" s="1"/>
  <c r="L110" i="28"/>
  <c r="F122" i="28"/>
  <c r="L122" i="28" s="1"/>
  <c r="L118" i="28"/>
  <c r="O118" i="28" s="1"/>
  <c r="F130" i="28"/>
  <c r="L130" i="28" s="1"/>
  <c r="L114" i="28"/>
  <c r="F126" i="28"/>
  <c r="L126" i="28" s="1"/>
  <c r="L119" i="28"/>
  <c r="F131" i="28"/>
  <c r="L131" i="28" s="1"/>
  <c r="K114" i="28"/>
  <c r="E126" i="28"/>
  <c r="K126" i="28" s="1"/>
  <c r="K116" i="28"/>
  <c r="E128" i="28"/>
  <c r="K128" i="28" s="1"/>
  <c r="K112" i="28"/>
  <c r="E124" i="28"/>
  <c r="K124" i="28" s="1"/>
  <c r="K121" i="28"/>
  <c r="E133" i="28"/>
  <c r="K133" i="28" s="1"/>
  <c r="L116" i="28"/>
  <c r="F128" i="28"/>
  <c r="L128" i="28" s="1"/>
  <c r="K115" i="28"/>
  <c r="E127" i="28"/>
  <c r="K127" i="28" s="1"/>
  <c r="L120" i="28"/>
  <c r="F132" i="28"/>
  <c r="L132" i="28" s="1"/>
  <c r="O122" i="27"/>
  <c r="K119" i="27"/>
  <c r="U119" i="27" s="1"/>
  <c r="E131" i="27"/>
  <c r="O131" i="27" s="1"/>
  <c r="K130" i="27"/>
  <c r="U130" i="27" s="1"/>
  <c r="O128" i="27"/>
  <c r="K128" i="27"/>
  <c r="U128" i="27" s="1"/>
  <c r="E132" i="27"/>
  <c r="O132" i="27" s="1"/>
  <c r="E142" i="27"/>
  <c r="O142" i="27" s="1"/>
  <c r="E129" i="27"/>
  <c r="O129" i="27" s="1"/>
  <c r="K117" i="27"/>
  <c r="U117" i="27" s="1"/>
  <c r="E123" i="27"/>
  <c r="O123" i="27" s="1"/>
  <c r="K111" i="27"/>
  <c r="U111" i="27" s="1"/>
  <c r="E133" i="27"/>
  <c r="O133" i="27" s="1"/>
  <c r="K121" i="27"/>
  <c r="U121" i="27" s="1"/>
  <c r="K115" i="27"/>
  <c r="U115" i="27" s="1"/>
  <c r="K114" i="27"/>
  <c r="U114" i="27" s="1"/>
  <c r="E125" i="27"/>
  <c r="K113" i="27"/>
  <c r="U113" i="27" s="1"/>
  <c r="E126" i="27"/>
  <c r="O126" i="27" s="1"/>
  <c r="E127" i="27"/>
  <c r="O127" i="27" s="1"/>
  <c r="E124" i="27"/>
  <c r="O124" i="27" s="1"/>
  <c r="K112" i="27"/>
  <c r="U112" i="27" s="1"/>
  <c r="J124" i="27"/>
  <c r="T112" i="27"/>
  <c r="J122" i="27"/>
  <c r="T110" i="27"/>
  <c r="J126" i="27"/>
  <c r="T114" i="27"/>
  <c r="J132" i="27"/>
  <c r="T120" i="27"/>
  <c r="J133" i="27"/>
  <c r="T121" i="27"/>
  <c r="J129" i="27"/>
  <c r="T117" i="27"/>
  <c r="J130" i="27"/>
  <c r="T118" i="27"/>
  <c r="J123" i="27"/>
  <c r="T111" i="27"/>
  <c r="J125" i="27"/>
  <c r="T113" i="27"/>
  <c r="J127" i="27"/>
  <c r="T115" i="27"/>
  <c r="J128" i="27"/>
  <c r="T116" i="27"/>
  <c r="J131" i="27"/>
  <c r="T119" i="27"/>
  <c r="E118" i="29"/>
  <c r="L110" i="30"/>
  <c r="L117" i="30"/>
  <c r="E137" i="30"/>
  <c r="L137" i="30" s="1"/>
  <c r="L125" i="30"/>
  <c r="L115" i="30"/>
  <c r="L114" i="30"/>
  <c r="L116" i="30"/>
  <c r="L121" i="30"/>
  <c r="L119" i="30"/>
  <c r="L111" i="30"/>
  <c r="L120" i="30"/>
  <c r="L118" i="30"/>
  <c r="E136" i="30"/>
  <c r="L136" i="30" s="1"/>
  <c r="L124" i="30"/>
  <c r="F118" i="29"/>
  <c r="U122" i="27"/>
  <c r="L116" i="27"/>
  <c r="V116" i="27" s="1"/>
  <c r="L121" i="27"/>
  <c r="V121" i="27" s="1"/>
  <c r="L113" i="27"/>
  <c r="V113" i="27" s="1"/>
  <c r="L118" i="27"/>
  <c r="V118" i="27" s="1"/>
  <c r="L117" i="27"/>
  <c r="V117" i="27" s="1"/>
  <c r="L114" i="27"/>
  <c r="V114" i="27" s="1"/>
  <c r="L115" i="27"/>
  <c r="V115" i="27" s="1"/>
  <c r="L119" i="27"/>
  <c r="V119" i="27" s="1"/>
  <c r="L112" i="27"/>
  <c r="V112" i="27" s="1"/>
  <c r="L110" i="27"/>
  <c r="V110" i="27" s="1"/>
  <c r="L120" i="27"/>
  <c r="V120" i="27" s="1"/>
  <c r="L123" i="27"/>
  <c r="V123" i="27" s="1"/>
  <c r="F121" i="29"/>
  <c r="E120" i="29"/>
  <c r="F120" i="29"/>
  <c r="O109" i="28"/>
  <c r="E121" i="29"/>
  <c r="F115" i="29"/>
  <c r="E115" i="29"/>
  <c r="E111" i="29"/>
  <c r="E117" i="29"/>
  <c r="F114" i="29"/>
  <c r="F116" i="29"/>
  <c r="E113" i="29"/>
  <c r="F113" i="29"/>
  <c r="F119" i="29"/>
  <c r="F117" i="29"/>
  <c r="E116" i="29"/>
  <c r="F111" i="29"/>
  <c r="E114" i="29"/>
  <c r="F110" i="29"/>
  <c r="E119" i="29"/>
  <c r="F112" i="29"/>
  <c r="E112" i="29"/>
  <c r="O103" i="28"/>
  <c r="O108" i="28"/>
  <c r="O101" i="28"/>
  <c r="O107" i="28"/>
  <c r="O104" i="28"/>
  <c r="O100" i="28"/>
  <c r="O102" i="28"/>
  <c r="E142" i="28"/>
  <c r="K142" i="28" s="1"/>
  <c r="E134" i="28"/>
  <c r="K134" i="28" s="1"/>
  <c r="O110" i="28"/>
  <c r="F122" i="27"/>
  <c r="P122" i="27" s="1"/>
  <c r="F132" i="27"/>
  <c r="P132" i="27" s="1"/>
  <c r="E134" i="27"/>
  <c r="O134" i="27" s="1"/>
  <c r="F128" i="27"/>
  <c r="F133" i="27"/>
  <c r="P133" i="27" s="1"/>
  <c r="E140" i="27"/>
  <c r="O140" i="27" s="1"/>
  <c r="F125" i="27"/>
  <c r="P125" i="27" s="1"/>
  <c r="F130" i="27"/>
  <c r="P130" i="27" s="1"/>
  <c r="F129" i="27"/>
  <c r="P129" i="27" s="1"/>
  <c r="F126" i="27"/>
  <c r="P126" i="27" s="1"/>
  <c r="F135" i="27"/>
  <c r="P135" i="27" s="1"/>
  <c r="F127" i="27"/>
  <c r="P127" i="27" s="1"/>
  <c r="F131" i="27"/>
  <c r="P131" i="27" s="1"/>
  <c r="F124" i="27"/>
  <c r="P124" i="27" s="1"/>
  <c r="X6" i="26"/>
  <c r="P69" i="58"/>
  <c r="S69" i="58" s="1"/>
  <c r="P71" i="58"/>
  <c r="S71" i="58" s="1"/>
  <c r="P63" i="58"/>
  <c r="S63" i="58" s="1"/>
  <c r="P79" i="58"/>
  <c r="S79" i="58" s="1"/>
  <c r="P70" i="58"/>
  <c r="S70" i="58" s="1"/>
  <c r="P72" i="58"/>
  <c r="S72" i="58" s="1"/>
  <c r="P62" i="58"/>
  <c r="S62" i="58" s="1"/>
  <c r="P65" i="58"/>
  <c r="S65" i="58" s="1"/>
  <c r="P64" i="58"/>
  <c r="S64" i="58" s="1"/>
  <c r="P66" i="58"/>
  <c r="S66" i="58" s="1"/>
  <c r="P68" i="58"/>
  <c r="S68" i="58" s="1"/>
  <c r="O113" i="28" l="1"/>
  <c r="N112" i="29"/>
  <c r="F124" i="29"/>
  <c r="N124" i="29" s="1"/>
  <c r="M121" i="29"/>
  <c r="E133" i="29"/>
  <c r="M133" i="29" s="1"/>
  <c r="N111" i="29"/>
  <c r="F123" i="29"/>
  <c r="N123" i="29" s="1"/>
  <c r="M113" i="29"/>
  <c r="E125" i="29"/>
  <c r="M125" i="29" s="1"/>
  <c r="M111" i="29"/>
  <c r="E123" i="29"/>
  <c r="M123" i="29" s="1"/>
  <c r="N113" i="29"/>
  <c r="F125" i="29"/>
  <c r="N125" i="29" s="1"/>
  <c r="N121" i="29"/>
  <c r="F133" i="29"/>
  <c r="N133" i="29" s="1"/>
  <c r="M119" i="29"/>
  <c r="E131" i="29"/>
  <c r="M131" i="29" s="1"/>
  <c r="N110" i="29"/>
  <c r="F122" i="29"/>
  <c r="N122" i="29" s="1"/>
  <c r="N117" i="29"/>
  <c r="F129" i="29"/>
  <c r="N129" i="29" s="1"/>
  <c r="N116" i="29"/>
  <c r="F128" i="29"/>
  <c r="N128" i="29" s="1"/>
  <c r="M115" i="29"/>
  <c r="E127" i="29"/>
  <c r="M127" i="29" s="1"/>
  <c r="N120" i="29"/>
  <c r="F132" i="29"/>
  <c r="N132" i="29" s="1"/>
  <c r="N118" i="29"/>
  <c r="F130" i="29"/>
  <c r="N130" i="29" s="1"/>
  <c r="M117" i="29"/>
  <c r="E129" i="29"/>
  <c r="M129" i="29" s="1"/>
  <c r="M116" i="29"/>
  <c r="E128" i="29"/>
  <c r="M128" i="29" s="1"/>
  <c r="M112" i="29"/>
  <c r="E124" i="29"/>
  <c r="M124" i="29" s="1"/>
  <c r="M114" i="29"/>
  <c r="E126" i="29"/>
  <c r="M126" i="29" s="1"/>
  <c r="N119" i="29"/>
  <c r="F131" i="29"/>
  <c r="N131" i="29" s="1"/>
  <c r="N114" i="29"/>
  <c r="F126" i="29"/>
  <c r="N126" i="29" s="1"/>
  <c r="N115" i="29"/>
  <c r="F127" i="29"/>
  <c r="N127" i="29" s="1"/>
  <c r="M120" i="29"/>
  <c r="E132" i="29"/>
  <c r="M132" i="29" s="1"/>
  <c r="M118" i="29"/>
  <c r="E130" i="29"/>
  <c r="M130" i="29" s="1"/>
  <c r="K131" i="27"/>
  <c r="U131" i="27" s="1"/>
  <c r="E143" i="27"/>
  <c r="O143" i="27" s="1"/>
  <c r="K129" i="27"/>
  <c r="U129" i="27" s="1"/>
  <c r="O125" i="27"/>
  <c r="K125" i="27"/>
  <c r="U125" i="27" s="1"/>
  <c r="K142" i="27"/>
  <c r="U142" i="27" s="1"/>
  <c r="P128" i="27"/>
  <c r="L128" i="27"/>
  <c r="V128" i="27" s="1"/>
  <c r="E141" i="27"/>
  <c r="O141" i="27" s="1"/>
  <c r="E144" i="27"/>
  <c r="O144" i="27" s="1"/>
  <c r="K132" i="27"/>
  <c r="U132" i="27" s="1"/>
  <c r="E135" i="27"/>
  <c r="O135" i="27" s="1"/>
  <c r="E145" i="27"/>
  <c r="O145" i="27" s="1"/>
  <c r="K133" i="27"/>
  <c r="U133" i="27" s="1"/>
  <c r="K123" i="27"/>
  <c r="U123" i="27" s="1"/>
  <c r="E137" i="27"/>
  <c r="O137" i="27" s="1"/>
  <c r="E138" i="27"/>
  <c r="O138" i="27" s="1"/>
  <c r="E139" i="27"/>
  <c r="O139" i="27" s="1"/>
  <c r="K126" i="27"/>
  <c r="U126" i="27" s="1"/>
  <c r="K127" i="27"/>
  <c r="U127" i="27" s="1"/>
  <c r="E136" i="27"/>
  <c r="O136" i="27" s="1"/>
  <c r="K124" i="27"/>
  <c r="U124" i="27" s="1"/>
  <c r="P85" i="58"/>
  <c r="S85" i="58" s="1"/>
  <c r="J143" i="27"/>
  <c r="T143" i="27" s="1"/>
  <c r="T131" i="27"/>
  <c r="J139" i="27"/>
  <c r="T139" i="27" s="1"/>
  <c r="T127" i="27"/>
  <c r="J135" i="27"/>
  <c r="T135" i="27" s="1"/>
  <c r="T123" i="27"/>
  <c r="J141" i="27"/>
  <c r="T141" i="27" s="1"/>
  <c r="T129" i="27"/>
  <c r="J144" i="27"/>
  <c r="T144" i="27" s="1"/>
  <c r="T132" i="27"/>
  <c r="J134" i="27"/>
  <c r="T134" i="27" s="1"/>
  <c r="T122" i="27"/>
  <c r="J140" i="27"/>
  <c r="T140" i="27" s="1"/>
  <c r="T128" i="27"/>
  <c r="J137" i="27"/>
  <c r="T137" i="27" s="1"/>
  <c r="T125" i="27"/>
  <c r="J142" i="27"/>
  <c r="T142" i="27" s="1"/>
  <c r="T130" i="27"/>
  <c r="J145" i="27"/>
  <c r="T145" i="27" s="1"/>
  <c r="T133" i="27"/>
  <c r="J138" i="27"/>
  <c r="T138" i="27" s="1"/>
  <c r="T126" i="27"/>
  <c r="J136" i="27"/>
  <c r="T136" i="27" s="1"/>
  <c r="T124" i="27"/>
  <c r="E144" i="30"/>
  <c r="L144" i="30" s="1"/>
  <c r="L132" i="30"/>
  <c r="E143" i="30"/>
  <c r="L143" i="30" s="1"/>
  <c r="L131" i="30"/>
  <c r="E140" i="30"/>
  <c r="L140" i="30" s="1"/>
  <c r="L128" i="30"/>
  <c r="E139" i="30"/>
  <c r="L139" i="30" s="1"/>
  <c r="L127" i="30"/>
  <c r="E141" i="30"/>
  <c r="L141" i="30" s="1"/>
  <c r="L129" i="30"/>
  <c r="E142" i="30"/>
  <c r="L142" i="30" s="1"/>
  <c r="L130" i="30"/>
  <c r="E135" i="30"/>
  <c r="L135" i="30" s="1"/>
  <c r="L123" i="30"/>
  <c r="E145" i="30"/>
  <c r="L145" i="30" s="1"/>
  <c r="L133" i="30"/>
  <c r="E138" i="30"/>
  <c r="L138" i="30" s="1"/>
  <c r="L126" i="30"/>
  <c r="E134" i="30"/>
  <c r="L134" i="30" s="1"/>
  <c r="L122" i="30"/>
  <c r="L124" i="27"/>
  <c r="V124" i="27" s="1"/>
  <c r="L127" i="27"/>
  <c r="V127" i="27" s="1"/>
  <c r="L129" i="27"/>
  <c r="V129" i="27" s="1"/>
  <c r="L125" i="27"/>
  <c r="V125" i="27" s="1"/>
  <c r="L132" i="27"/>
  <c r="V132" i="27" s="1"/>
  <c r="L135" i="27"/>
  <c r="V135" i="27" s="1"/>
  <c r="K140" i="27"/>
  <c r="U140" i="27" s="1"/>
  <c r="L131" i="27"/>
  <c r="V131" i="27" s="1"/>
  <c r="L126" i="27"/>
  <c r="V126" i="27" s="1"/>
  <c r="L130" i="27"/>
  <c r="V130" i="27" s="1"/>
  <c r="L133" i="27"/>
  <c r="V133" i="27" s="1"/>
  <c r="K134" i="27"/>
  <c r="U134" i="27" s="1"/>
  <c r="L122" i="27"/>
  <c r="V122" i="27" s="1"/>
  <c r="O114" i="28"/>
  <c r="O112" i="28"/>
  <c r="O116" i="28"/>
  <c r="O119" i="28"/>
  <c r="O120" i="28"/>
  <c r="O117" i="28"/>
  <c r="O121" i="28"/>
  <c r="O111" i="28"/>
  <c r="O115" i="28"/>
  <c r="F134" i="28"/>
  <c r="O122" i="28"/>
  <c r="F144" i="28"/>
  <c r="L144" i="28" s="1"/>
  <c r="E138" i="28"/>
  <c r="K138" i="28" s="1"/>
  <c r="F145" i="28"/>
  <c r="L145" i="28" s="1"/>
  <c r="E136" i="28"/>
  <c r="K136" i="28" s="1"/>
  <c r="E140" i="28"/>
  <c r="K140" i="28" s="1"/>
  <c r="E144" i="28"/>
  <c r="K144" i="28" s="1"/>
  <c r="E143" i="28"/>
  <c r="K143" i="28" s="1"/>
  <c r="E137" i="28"/>
  <c r="K137" i="28" s="1"/>
  <c r="F137" i="28"/>
  <c r="L137" i="28" s="1"/>
  <c r="F136" i="28"/>
  <c r="L136" i="28" s="1"/>
  <c r="F139" i="28"/>
  <c r="L139" i="28" s="1"/>
  <c r="F141" i="28"/>
  <c r="L141" i="28" s="1"/>
  <c r="E141" i="28"/>
  <c r="K141" i="28" s="1"/>
  <c r="F140" i="28"/>
  <c r="L140" i="28" s="1"/>
  <c r="E145" i="28"/>
  <c r="O133" i="28"/>
  <c r="F135" i="28"/>
  <c r="L135" i="28" s="1"/>
  <c r="E135" i="28"/>
  <c r="K135" i="28" s="1"/>
  <c r="E139" i="28"/>
  <c r="K139" i="28" s="1"/>
  <c r="F143" i="28"/>
  <c r="L143" i="28" s="1"/>
  <c r="F138" i="28"/>
  <c r="L138" i="28" s="1"/>
  <c r="F142" i="28"/>
  <c r="O130" i="28"/>
  <c r="F136" i="27"/>
  <c r="P136" i="27" s="1"/>
  <c r="F143" i="27"/>
  <c r="P143" i="27" s="1"/>
  <c r="F139" i="27"/>
  <c r="P139" i="27" s="1"/>
  <c r="F138" i="27"/>
  <c r="P138" i="27" s="1"/>
  <c r="F141" i="27"/>
  <c r="P141" i="27" s="1"/>
  <c r="F142" i="27"/>
  <c r="P142" i="27" s="1"/>
  <c r="F137" i="27"/>
  <c r="P137" i="27" s="1"/>
  <c r="F145" i="27"/>
  <c r="P145" i="27" s="1"/>
  <c r="F140" i="27"/>
  <c r="P140" i="27" s="1"/>
  <c r="F144" i="27"/>
  <c r="P144" i="27" s="1"/>
  <c r="F134" i="27"/>
  <c r="P134" i="27" s="1"/>
  <c r="E134" i="29"/>
  <c r="M134" i="29" s="1"/>
  <c r="X7" i="26"/>
  <c r="P83" i="58"/>
  <c r="S83" i="58" s="1"/>
  <c r="P75" i="58"/>
  <c r="S75" i="58" s="1"/>
  <c r="P81" i="58"/>
  <c r="S81" i="58" s="1"/>
  <c r="P77" i="58"/>
  <c r="S77" i="58" s="1"/>
  <c r="P74" i="58"/>
  <c r="S74" i="58" s="1"/>
  <c r="P82" i="58"/>
  <c r="S82" i="58" s="1"/>
  <c r="P84" i="58"/>
  <c r="S84" i="58" s="1"/>
  <c r="P78" i="58"/>
  <c r="S78" i="58" s="1"/>
  <c r="P80" i="58"/>
  <c r="S80" i="58" s="1"/>
  <c r="P76" i="58"/>
  <c r="S76" i="58" s="1"/>
  <c r="P14" i="33" l="1"/>
  <c r="R14" i="33" s="1"/>
  <c r="K143" i="27"/>
  <c r="U143" i="27" s="1"/>
  <c r="K144" i="27"/>
  <c r="U144" i="27" s="1"/>
  <c r="K135" i="27"/>
  <c r="U135" i="27" s="1"/>
  <c r="K141" i="27"/>
  <c r="U141" i="27" s="1"/>
  <c r="K145" i="27"/>
  <c r="U145" i="27" s="1"/>
  <c r="K137" i="27"/>
  <c r="U137" i="27" s="1"/>
  <c r="K138" i="27"/>
  <c r="U138" i="27" s="1"/>
  <c r="E142" i="29"/>
  <c r="M142" i="29" s="1"/>
  <c r="K139" i="27"/>
  <c r="U139" i="27" s="1"/>
  <c r="K136" i="27"/>
  <c r="U136" i="27" s="1"/>
  <c r="P97" i="58"/>
  <c r="S97" i="58" s="1"/>
  <c r="P91" i="58"/>
  <c r="S91" i="58" s="1"/>
  <c r="L142" i="28"/>
  <c r="O142" i="28" s="1"/>
  <c r="K145" i="28"/>
  <c r="O145" i="28" s="1"/>
  <c r="L134" i="28"/>
  <c r="O134" i="28" s="1"/>
  <c r="L140" i="27"/>
  <c r="V140" i="27" s="1"/>
  <c r="L141" i="27"/>
  <c r="V141" i="27" s="1"/>
  <c r="L136" i="27"/>
  <c r="V136" i="27" s="1"/>
  <c r="L145" i="27"/>
  <c r="V145" i="27" s="1"/>
  <c r="L138" i="27"/>
  <c r="V138" i="27" s="1"/>
  <c r="L134" i="27"/>
  <c r="V134" i="27" s="1"/>
  <c r="L137" i="27"/>
  <c r="V137" i="27" s="1"/>
  <c r="L139" i="27"/>
  <c r="V139" i="27" s="1"/>
  <c r="L144" i="27"/>
  <c r="V144" i="27" s="1"/>
  <c r="L142" i="27"/>
  <c r="V142" i="27" s="1"/>
  <c r="L143" i="27"/>
  <c r="V143" i="27" s="1"/>
  <c r="O127" i="28"/>
  <c r="O132" i="28"/>
  <c r="O139" i="28"/>
  <c r="O144" i="28"/>
  <c r="O135" i="28"/>
  <c r="O141" i="28"/>
  <c r="O125" i="28"/>
  <c r="O143" i="28"/>
  <c r="O140" i="28"/>
  <c r="O124" i="28"/>
  <c r="O126" i="28"/>
  <c r="O137" i="28"/>
  <c r="O136" i="28"/>
  <c r="O138" i="28"/>
  <c r="O123" i="28"/>
  <c r="O129" i="28"/>
  <c r="O131" i="28"/>
  <c r="O128" i="28"/>
  <c r="E143" i="29"/>
  <c r="M143" i="29" s="1"/>
  <c r="F138" i="29"/>
  <c r="N138" i="29" s="1"/>
  <c r="E141" i="29"/>
  <c r="M141" i="29" s="1"/>
  <c r="E136" i="29"/>
  <c r="M136" i="29" s="1"/>
  <c r="E139" i="29"/>
  <c r="M139" i="29" s="1"/>
  <c r="E145" i="29"/>
  <c r="M145" i="29" s="1"/>
  <c r="F143" i="29"/>
  <c r="N143" i="29" s="1"/>
  <c r="F141" i="29"/>
  <c r="N141" i="29" s="1"/>
  <c r="E138" i="29"/>
  <c r="M138" i="29" s="1"/>
  <c r="F142" i="29"/>
  <c r="N142" i="29" s="1"/>
  <c r="E137" i="29"/>
  <c r="M137" i="29" s="1"/>
  <c r="F145" i="29"/>
  <c r="N145" i="29" s="1"/>
  <c r="F135" i="29"/>
  <c r="N135" i="29" s="1"/>
  <c r="F139" i="29"/>
  <c r="N139" i="29" s="1"/>
  <c r="F140" i="29"/>
  <c r="N140" i="29" s="1"/>
  <c r="E144" i="29"/>
  <c r="M144" i="29" s="1"/>
  <c r="E140" i="29"/>
  <c r="M140" i="29" s="1"/>
  <c r="E135" i="29"/>
  <c r="M135" i="29" s="1"/>
  <c r="F136" i="29"/>
  <c r="N136" i="29" s="1"/>
  <c r="F137" i="29"/>
  <c r="N137" i="29" s="1"/>
  <c r="F144" i="29"/>
  <c r="N144" i="29" s="1"/>
  <c r="F134" i="29"/>
  <c r="N134" i="29" s="1"/>
  <c r="X8" i="26"/>
  <c r="P15" i="33" l="1"/>
  <c r="R15" i="33" s="1"/>
  <c r="P88" i="58"/>
  <c r="S88" i="58" s="1"/>
  <c r="P89" i="58"/>
  <c r="S89" i="58" s="1"/>
  <c r="P86" i="58"/>
  <c r="S86" i="58" s="1"/>
  <c r="P95" i="58"/>
  <c r="S95" i="58" s="1"/>
  <c r="P93" i="58"/>
  <c r="S93" i="58" s="1"/>
  <c r="P90" i="58"/>
  <c r="S90" i="58" s="1"/>
  <c r="P92" i="58"/>
  <c r="S92" i="58" s="1"/>
  <c r="P96" i="58"/>
  <c r="S96" i="58" s="1"/>
  <c r="P94" i="58"/>
  <c r="S94" i="58" s="1"/>
  <c r="P87" i="58"/>
  <c r="S87" i="58" s="1"/>
  <c r="P115" i="58"/>
  <c r="S115" i="58" s="1"/>
  <c r="P103" i="58"/>
  <c r="S103" i="58" s="1"/>
  <c r="P121" i="58"/>
  <c r="S121" i="58" s="1"/>
  <c r="P109" i="58"/>
  <c r="S109" i="58" s="1"/>
  <c r="X9" i="26"/>
  <c r="DQ247" i="6"/>
  <c r="DQ248" i="6"/>
  <c r="DQ252" i="6"/>
  <c r="DQ243" i="6"/>
  <c r="DQ251" i="6"/>
  <c r="DQ242" i="6"/>
  <c r="DQ250" i="6"/>
  <c r="DQ246" i="6"/>
  <c r="DQ244" i="6"/>
  <c r="DQ249" i="6"/>
  <c r="DQ253" i="6"/>
  <c r="DQ245" i="6"/>
  <c r="P118" i="58" l="1"/>
  <c r="S118" i="58" s="1"/>
  <c r="P106" i="58"/>
  <c r="S106" i="58" s="1"/>
  <c r="P116" i="58"/>
  <c r="S116" i="58" s="1"/>
  <c r="P104" i="58"/>
  <c r="S104" i="58" s="1"/>
  <c r="P107" i="58"/>
  <c r="S107" i="58" s="1"/>
  <c r="P113" i="58"/>
  <c r="S113" i="58" s="1"/>
  <c r="P101" i="58"/>
  <c r="S101" i="58" s="1"/>
  <c r="P111" i="58"/>
  <c r="S111" i="58" s="1"/>
  <c r="P99" i="58"/>
  <c r="S99" i="58" s="1"/>
  <c r="P108" i="58"/>
  <c r="S108" i="58" s="1"/>
  <c r="P114" i="58"/>
  <c r="S114" i="58" s="1"/>
  <c r="P102" i="58"/>
  <c r="S102" i="58" s="1"/>
  <c r="P117" i="58"/>
  <c r="S117" i="58" s="1"/>
  <c r="P105" i="58"/>
  <c r="S105" i="58" s="1"/>
  <c r="P110" i="58"/>
  <c r="S110" i="58" s="1"/>
  <c r="P98" i="58"/>
  <c r="S98" i="58" s="1"/>
  <c r="P112" i="58"/>
  <c r="S112" i="58" s="1"/>
  <c r="P100" i="58"/>
  <c r="S100" i="58" s="1"/>
  <c r="D97" i="28"/>
  <c r="P16" i="33"/>
  <c r="D93" i="28"/>
  <c r="CZ93" i="39"/>
  <c r="CZ97" i="39"/>
  <c r="D90" i="28"/>
  <c r="CZ90" i="39"/>
  <c r="D95" i="28"/>
  <c r="CZ95" i="39"/>
  <c r="D86" i="28"/>
  <c r="CZ86" i="39"/>
  <c r="D88" i="28"/>
  <c r="CZ88" i="39"/>
  <c r="D89" i="28"/>
  <c r="CZ89" i="39"/>
  <c r="DP253" i="6"/>
  <c r="D94" i="28"/>
  <c r="CZ94" i="39"/>
  <c r="D87" i="28"/>
  <c r="CZ87" i="39"/>
  <c r="D92" i="28"/>
  <c r="CZ92" i="39"/>
  <c r="D96" i="28"/>
  <c r="CZ96" i="39"/>
  <c r="D91" i="28"/>
  <c r="CZ91" i="39"/>
  <c r="X10" i="26"/>
  <c r="Q91" i="47"/>
  <c r="Q97" i="47"/>
  <c r="Q94" i="47"/>
  <c r="Q89" i="47"/>
  <c r="Q93" i="47"/>
  <c r="Q88" i="47"/>
  <c r="Q96" i="47"/>
  <c r="Q92" i="47"/>
  <c r="CY94" i="39" l="1"/>
  <c r="DP250" i="6"/>
  <c r="CY93" i="39"/>
  <c r="DP249" i="6"/>
  <c r="CY89" i="39"/>
  <c r="DP245" i="6"/>
  <c r="CY92" i="39"/>
  <c r="DP248" i="6"/>
  <c r="CY96" i="39"/>
  <c r="DP252" i="6"/>
  <c r="CY91" i="39"/>
  <c r="DP247" i="6"/>
  <c r="CY88" i="39"/>
  <c r="DP244" i="6"/>
  <c r="CY87" i="39"/>
  <c r="DP243" i="6"/>
  <c r="CY90" i="39"/>
  <c r="DP246" i="6"/>
  <c r="CY95" i="39"/>
  <c r="DP251" i="6"/>
  <c r="CY86" i="39"/>
  <c r="DP242" i="6"/>
  <c r="N12" i="26"/>
  <c r="P120" i="58"/>
  <c r="S120" i="58" s="1"/>
  <c r="P119" i="58"/>
  <c r="S119" i="58" s="1"/>
  <c r="Q90" i="47"/>
  <c r="Q95" i="47"/>
  <c r="Q87" i="47"/>
  <c r="Q86" i="47"/>
  <c r="CY97" i="39"/>
  <c r="R16" i="33"/>
  <c r="H11" i="26"/>
  <c r="I11" i="26"/>
  <c r="P91" i="47"/>
  <c r="P97" i="47"/>
  <c r="P96" i="47"/>
  <c r="P92" i="47"/>
  <c r="P95" i="47"/>
  <c r="P87" i="47"/>
  <c r="P90" i="47"/>
  <c r="C11" i="26"/>
  <c r="H84" i="26"/>
  <c r="P88" i="47"/>
  <c r="P93" i="47"/>
  <c r="P86" i="47"/>
  <c r="I84" i="26"/>
  <c r="P89" i="47"/>
  <c r="P94" i="47"/>
  <c r="N13" i="26" l="1"/>
  <c r="M4" i="68"/>
  <c r="M4" i="36"/>
  <c r="R157" i="47"/>
  <c r="J84" i="26"/>
  <c r="S157" i="47"/>
  <c r="C32" i="68" l="1"/>
  <c r="C53" i="68"/>
  <c r="C11" i="68"/>
  <c r="B52" i="36"/>
  <c r="B51" i="36"/>
  <c r="B50" i="36"/>
  <c r="B49" i="36"/>
  <c r="B48" i="36"/>
  <c r="B47" i="36"/>
  <c r="B46" i="36"/>
  <c r="B45" i="36"/>
  <c r="B40" i="36"/>
  <c r="B39" i="36"/>
  <c r="B19" i="36"/>
  <c r="B29" i="36" s="1"/>
  <c r="B38" i="36" s="1"/>
  <c r="B18" i="36"/>
  <c r="B28" i="36" s="1"/>
  <c r="B37" i="36" s="1"/>
  <c r="B36" i="36"/>
  <c r="B22" i="36"/>
  <c r="B21" i="36"/>
  <c r="B20" i="36"/>
  <c r="B17" i="36"/>
  <c r="B16" i="36"/>
  <c r="B15" i="36"/>
  <c r="AD5" i="32"/>
  <c r="AD6" i="32" s="1"/>
  <c r="AD7" i="32" s="1"/>
  <c r="AD8" i="32" s="1"/>
  <c r="AD9" i="32" s="1"/>
  <c r="AD10" i="32" s="1"/>
  <c r="AD11" i="32" s="1"/>
  <c r="AD12" i="32" s="1"/>
  <c r="AD13" i="32" s="1"/>
  <c r="AD14" i="32" s="1"/>
  <c r="AD15" i="32" s="1"/>
  <c r="Z5" i="32"/>
  <c r="Z6" i="32" s="1"/>
  <c r="Z7" i="32" s="1"/>
  <c r="Z8" i="32" s="1"/>
  <c r="Z9" i="32" s="1"/>
  <c r="Z10" i="32" s="1"/>
  <c r="Z11" i="32" s="1"/>
  <c r="Z12" i="32" s="1"/>
  <c r="Z13" i="32" s="1"/>
  <c r="Z14" i="32" s="1"/>
  <c r="Z15" i="32" s="1"/>
  <c r="V5" i="32"/>
  <c r="V6" i="32" s="1"/>
  <c r="V7" i="32" s="1"/>
  <c r="V8" i="32" s="1"/>
  <c r="V9" i="32" s="1"/>
  <c r="V10" i="32" s="1"/>
  <c r="V11" i="32" s="1"/>
  <c r="V12" i="32" s="1"/>
  <c r="V13" i="32" s="1"/>
  <c r="V14" i="32" s="1"/>
  <c r="V15" i="32" s="1"/>
  <c r="R5" i="32"/>
  <c r="R6" i="32" s="1"/>
  <c r="R7" i="32" s="1"/>
  <c r="R8" i="32" s="1"/>
  <c r="R9" i="32" s="1"/>
  <c r="R10" i="32" s="1"/>
  <c r="R11" i="32" s="1"/>
  <c r="R12" i="32" s="1"/>
  <c r="R13" i="32" s="1"/>
  <c r="R14" i="32" s="1"/>
  <c r="R15" i="32" s="1"/>
  <c r="N5" i="32"/>
  <c r="N6" i="32" s="1"/>
  <c r="N7" i="32" s="1"/>
  <c r="N8" i="32" s="1"/>
  <c r="N9" i="32" s="1"/>
  <c r="N10" i="32" s="1"/>
  <c r="N11" i="32" s="1"/>
  <c r="N12" i="32" s="1"/>
  <c r="N13" i="32" s="1"/>
  <c r="N14" i="32" s="1"/>
  <c r="N15" i="32" s="1"/>
  <c r="J5" i="32"/>
  <c r="J6" i="32" s="1"/>
  <c r="J7" i="32" s="1"/>
  <c r="J8" i="32" s="1"/>
  <c r="J9" i="32" s="1"/>
  <c r="J10" i="32" s="1"/>
  <c r="J11" i="32" s="1"/>
  <c r="J12" i="32" s="1"/>
  <c r="J13" i="32" s="1"/>
  <c r="J14" i="32" s="1"/>
  <c r="J15" i="32" s="1"/>
  <c r="F5" i="32"/>
  <c r="F6" i="32" s="1"/>
  <c r="F7" i="32" s="1"/>
  <c r="F8" i="32" s="1"/>
  <c r="F9" i="32" s="1"/>
  <c r="F10" i="32" s="1"/>
  <c r="F11" i="32" s="1"/>
  <c r="F12" i="32" s="1"/>
  <c r="F13" i="32" s="1"/>
  <c r="F14" i="32" s="1"/>
  <c r="F15" i="32" s="1"/>
  <c r="B5" i="32"/>
  <c r="J110" i="9"/>
  <c r="D110" i="9"/>
  <c r="E110" i="9"/>
  <c r="F110" i="9"/>
  <c r="G110" i="9"/>
  <c r="H110" i="9"/>
  <c r="I110" i="9"/>
  <c r="C110" i="9"/>
  <c r="J27" i="36" l="1"/>
  <c r="J31" i="36"/>
  <c r="K29" i="36"/>
  <c r="J30" i="36"/>
  <c r="J28" i="36"/>
  <c r="K28" i="36"/>
  <c r="K31" i="36"/>
  <c r="J29" i="36"/>
  <c r="K27" i="36"/>
  <c r="K30" i="36"/>
  <c r="B6" i="32"/>
  <c r="I28" i="36"/>
  <c r="I31" i="36"/>
  <c r="I29" i="36"/>
  <c r="I27" i="36"/>
  <c r="I30" i="36"/>
  <c r="V34" i="35"/>
  <c r="D31" i="36"/>
  <c r="F31" i="36"/>
  <c r="H30" i="36"/>
  <c r="C30" i="36"/>
  <c r="E30" i="36"/>
  <c r="C31" i="36"/>
  <c r="E31" i="36"/>
  <c r="D30" i="36"/>
  <c r="F30" i="36"/>
  <c r="H31" i="36"/>
  <c r="N16" i="32"/>
  <c r="N17" i="32" s="1"/>
  <c r="AD16" i="32"/>
  <c r="AD17" i="32" s="1"/>
  <c r="R16" i="32"/>
  <c r="R17" i="32" s="1"/>
  <c r="F16" i="32"/>
  <c r="F17" i="32" s="1"/>
  <c r="V16" i="32"/>
  <c r="V17" i="32" s="1"/>
  <c r="J16" i="32"/>
  <c r="J17" i="32" s="1"/>
  <c r="Z16" i="32"/>
  <c r="Z17" i="32" s="1"/>
  <c r="DQ179" i="6"/>
  <c r="DQ174" i="6"/>
  <c r="DQ191" i="6"/>
  <c r="DQ186" i="6"/>
  <c r="DQ205" i="6"/>
  <c r="DQ165" i="6"/>
  <c r="DQ201" i="6"/>
  <c r="DQ193" i="6"/>
  <c r="DQ182" i="6"/>
  <c r="DQ178" i="6"/>
  <c r="DQ173" i="6"/>
  <c r="DQ213" i="6"/>
  <c r="DQ198" i="6"/>
  <c r="DQ177" i="6"/>
  <c r="DQ171" i="6"/>
  <c r="DQ160" i="6"/>
  <c r="DQ197" i="6"/>
  <c r="DQ187" i="6"/>
  <c r="DQ181" i="6"/>
  <c r="DQ175" i="6"/>
  <c r="DQ170" i="6"/>
  <c r="DQ227" i="6"/>
  <c r="DQ223" i="6"/>
  <c r="DQ219" i="6"/>
  <c r="DQ190" i="6"/>
  <c r="DQ185" i="6"/>
  <c r="DQ229" i="6"/>
  <c r="DQ225" i="6"/>
  <c r="DQ221" i="6"/>
  <c r="DQ228" i="6"/>
  <c r="DQ224" i="6"/>
  <c r="DQ220" i="6"/>
  <c r="DQ226" i="6"/>
  <c r="DQ222" i="6"/>
  <c r="DQ189" i="6"/>
  <c r="DQ183" i="6"/>
  <c r="DQ180" i="6"/>
  <c r="DQ176" i="6"/>
  <c r="DQ184" i="6"/>
  <c r="DQ172" i="6"/>
  <c r="DQ218" i="6"/>
  <c r="DQ212" i="6"/>
  <c r="DQ194" i="6"/>
  <c r="DQ168" i="6"/>
  <c r="DQ231" i="6"/>
  <c r="DQ237" i="6"/>
  <c r="DQ241" i="6"/>
  <c r="DQ232" i="6"/>
  <c r="DQ234" i="6"/>
  <c r="DQ238" i="6"/>
  <c r="DQ236" i="6"/>
  <c r="DQ239" i="6"/>
  <c r="DQ230" i="6"/>
  <c r="DQ235" i="6"/>
  <c r="DQ233" i="6"/>
  <c r="DQ240" i="6"/>
  <c r="BB5" i="33"/>
  <c r="BH5" i="33"/>
  <c r="DQ206" i="6"/>
  <c r="DQ210" i="6"/>
  <c r="DQ214" i="6"/>
  <c r="DQ207" i="6"/>
  <c r="DQ211" i="6"/>
  <c r="DQ215" i="6"/>
  <c r="DQ208" i="6"/>
  <c r="DQ216" i="6"/>
  <c r="DQ209" i="6"/>
  <c r="DQ217" i="6"/>
  <c r="DQ158" i="6"/>
  <c r="DQ162" i="6"/>
  <c r="DQ166" i="6"/>
  <c r="DQ159" i="6"/>
  <c r="DQ163" i="6"/>
  <c r="DQ167" i="6"/>
  <c r="DQ161" i="6"/>
  <c r="DQ169" i="6"/>
  <c r="DQ164" i="6"/>
  <c r="DQ202" i="6"/>
  <c r="DQ195" i="6"/>
  <c r="DQ199" i="6"/>
  <c r="DQ203" i="6"/>
  <c r="DQ196" i="6"/>
  <c r="DQ200" i="6"/>
  <c r="DQ204" i="6"/>
  <c r="DQ192" i="6"/>
  <c r="DQ188" i="6"/>
  <c r="E11" i="72" l="1"/>
  <c r="H11" i="72" s="1"/>
  <c r="E8" i="72"/>
  <c r="H8" i="72" s="1"/>
  <c r="E9" i="72"/>
  <c r="H9" i="72" s="1"/>
  <c r="E10" i="72"/>
  <c r="H10" i="72" s="1"/>
  <c r="E7" i="72"/>
  <c r="H7" i="72" s="1"/>
  <c r="B7" i="32"/>
  <c r="AE6" i="32"/>
  <c r="K6" i="32"/>
  <c r="C6" i="32"/>
  <c r="O6" i="32"/>
  <c r="AB34" i="35"/>
  <c r="K32" i="36"/>
  <c r="J32" i="36"/>
  <c r="G30" i="36"/>
  <c r="V33" i="35"/>
  <c r="G31" i="36"/>
  <c r="AB33" i="35"/>
  <c r="I7" i="26"/>
  <c r="X6" i="32"/>
  <c r="AB6" i="32"/>
  <c r="T6" i="32"/>
  <c r="L6" i="32"/>
  <c r="D6" i="32"/>
  <c r="H6" i="32"/>
  <c r="BI5" i="33"/>
  <c r="P6" i="32"/>
  <c r="D48" i="28"/>
  <c r="CZ48" i="39"/>
  <c r="D43" i="28"/>
  <c r="CZ43" i="39"/>
  <c r="D46" i="28"/>
  <c r="CZ46" i="39"/>
  <c r="D11" i="28"/>
  <c r="CZ11" i="39"/>
  <c r="D6" i="28"/>
  <c r="CZ6" i="39"/>
  <c r="D60" i="28"/>
  <c r="CZ60" i="39"/>
  <c r="D51" i="28"/>
  <c r="CZ51" i="39"/>
  <c r="DP218" i="6"/>
  <c r="D74" i="28"/>
  <c r="CZ74" i="39"/>
  <c r="D78" i="28"/>
  <c r="CZ78" i="39"/>
  <c r="D75" i="28"/>
  <c r="CZ75" i="39"/>
  <c r="D12" i="28"/>
  <c r="CZ12" i="39"/>
  <c r="D56" i="28"/>
  <c r="CZ56" i="39"/>
  <c r="D28" i="28"/>
  <c r="CZ28" i="39"/>
  <c r="D20" i="28"/>
  <c r="CZ20" i="39"/>
  <c r="D66" i="28"/>
  <c r="CZ66" i="39"/>
  <c r="D72" i="28"/>
  <c r="CZ72" i="39"/>
  <c r="D29" i="28"/>
  <c r="CZ29" i="39"/>
  <c r="D71" i="28"/>
  <c r="CZ71" i="39"/>
  <c r="D31" i="28"/>
  <c r="CZ31" i="39"/>
  <c r="D21" i="28"/>
  <c r="CZ21" i="39"/>
  <c r="D22" i="28"/>
  <c r="CZ22" i="39"/>
  <c r="D35" i="28"/>
  <c r="CZ35" i="39"/>
  <c r="D23" i="28"/>
  <c r="CZ23" i="39"/>
  <c r="D44" i="28"/>
  <c r="CZ44" i="39"/>
  <c r="D39" i="28"/>
  <c r="CZ39" i="39"/>
  <c r="D8" i="28"/>
  <c r="CZ8" i="39"/>
  <c r="D7" i="28"/>
  <c r="CZ7" i="39"/>
  <c r="D2" i="28"/>
  <c r="CZ2" i="39"/>
  <c r="D52" i="28"/>
  <c r="CZ52" i="39"/>
  <c r="D58" i="28"/>
  <c r="CZ58" i="39"/>
  <c r="D84" i="28"/>
  <c r="CZ84" i="39"/>
  <c r="D83" i="28"/>
  <c r="CZ83" i="39"/>
  <c r="D76" i="28"/>
  <c r="CZ76" i="39"/>
  <c r="D38" i="28"/>
  <c r="CZ38" i="39"/>
  <c r="D62" i="28"/>
  <c r="CZ62" i="39"/>
  <c r="D24" i="28"/>
  <c r="CZ24" i="39"/>
  <c r="D70" i="28"/>
  <c r="CZ70" i="39"/>
  <c r="D65" i="28"/>
  <c r="CZ65" i="39"/>
  <c r="D34" i="28"/>
  <c r="CZ34" i="39"/>
  <c r="D14" i="28"/>
  <c r="CZ14" i="39"/>
  <c r="D41" i="28"/>
  <c r="CZ41" i="39"/>
  <c r="D42" i="28"/>
  <c r="CZ42" i="39"/>
  <c r="D26" i="28"/>
  <c r="CZ26" i="39"/>
  <c r="D9" i="28"/>
  <c r="CZ9" i="39"/>
  <c r="D18" i="28"/>
  <c r="CZ18" i="39"/>
  <c r="D32" i="28"/>
  <c r="CZ32" i="39"/>
  <c r="D40" i="28"/>
  <c r="CZ40" i="39"/>
  <c r="D13" i="28"/>
  <c r="CZ13" i="39"/>
  <c r="D3" i="28"/>
  <c r="CZ3" i="39"/>
  <c r="D61" i="28"/>
  <c r="CZ61" i="39"/>
  <c r="D59" i="28"/>
  <c r="CZ59" i="39"/>
  <c r="D54" i="28"/>
  <c r="CZ54" i="39"/>
  <c r="D77" i="28"/>
  <c r="CZ77" i="39"/>
  <c r="D80" i="28"/>
  <c r="CZ80" i="39"/>
  <c r="D85" i="28"/>
  <c r="CZ85" i="39"/>
  <c r="D27" i="28"/>
  <c r="CZ27" i="39"/>
  <c r="D64" i="28"/>
  <c r="CZ64" i="39"/>
  <c r="D69" i="28"/>
  <c r="CZ69" i="39"/>
  <c r="D63" i="28"/>
  <c r="CZ63" i="39"/>
  <c r="D19" i="28"/>
  <c r="CZ19" i="39"/>
  <c r="D4" i="28"/>
  <c r="CZ4" i="39"/>
  <c r="D57" i="28"/>
  <c r="CZ57" i="39"/>
  <c r="D37" i="28"/>
  <c r="CZ37" i="39"/>
  <c r="D49" i="28"/>
  <c r="CZ49" i="39"/>
  <c r="D36" i="28"/>
  <c r="CZ36" i="39"/>
  <c r="D47" i="28"/>
  <c r="CZ47" i="39"/>
  <c r="D5" i="28"/>
  <c r="CZ5" i="39"/>
  <c r="D10" i="28"/>
  <c r="CZ10" i="39"/>
  <c r="D53" i="28"/>
  <c r="CZ53" i="39"/>
  <c r="D55" i="28"/>
  <c r="CZ55" i="39"/>
  <c r="D50" i="28"/>
  <c r="CZ50" i="39"/>
  <c r="D79" i="28"/>
  <c r="CZ79" i="39"/>
  <c r="D82" i="28"/>
  <c r="CZ82" i="39"/>
  <c r="D81" i="28"/>
  <c r="CZ81" i="39"/>
  <c r="D16" i="28"/>
  <c r="CZ16" i="39"/>
  <c r="D33" i="28"/>
  <c r="CZ33" i="39"/>
  <c r="D68" i="28"/>
  <c r="CZ68" i="39"/>
  <c r="D73" i="28"/>
  <c r="CZ73" i="39"/>
  <c r="D67" i="28"/>
  <c r="CZ67" i="39"/>
  <c r="D25" i="28"/>
  <c r="CZ25" i="39"/>
  <c r="D15" i="28"/>
  <c r="CZ15" i="39"/>
  <c r="D17" i="28"/>
  <c r="CZ17" i="39"/>
  <c r="D45" i="28"/>
  <c r="CZ45" i="39"/>
  <c r="D30" i="28"/>
  <c r="CZ30" i="39"/>
  <c r="I6" i="26"/>
  <c r="I10" i="26"/>
  <c r="I5" i="26"/>
  <c r="I9" i="26"/>
  <c r="I4" i="26"/>
  <c r="I8" i="26"/>
  <c r="V112" i="9"/>
  <c r="AC6" i="33"/>
  <c r="AC7" i="33" s="1"/>
  <c r="AD5" i="33"/>
  <c r="I5" i="35" s="1"/>
  <c r="L5" i="33"/>
  <c r="N5" i="33"/>
  <c r="M5" i="33"/>
  <c r="Q5" i="33" s="1"/>
  <c r="B6" i="33"/>
  <c r="AU6" i="33"/>
  <c r="AV5" i="33"/>
  <c r="U5" i="35" s="1"/>
  <c r="P34" i="35"/>
  <c r="J34" i="35"/>
  <c r="D34" i="35"/>
  <c r="Q5" i="47"/>
  <c r="Q50" i="47"/>
  <c r="Q74" i="47"/>
  <c r="Q75" i="47"/>
  <c r="Q72" i="47"/>
  <c r="Q71" i="47"/>
  <c r="Q22" i="47"/>
  <c r="Q35" i="47"/>
  <c r="BB91" i="39"/>
  <c r="BB94" i="39"/>
  <c r="BB89" i="39"/>
  <c r="I76" i="26"/>
  <c r="I78" i="26"/>
  <c r="I80" i="26"/>
  <c r="I82" i="26"/>
  <c r="Q36" i="47"/>
  <c r="Q6" i="47"/>
  <c r="Q60" i="47"/>
  <c r="Q51" i="47"/>
  <c r="X2" i="41"/>
  <c r="Q84" i="47"/>
  <c r="Q83" i="47"/>
  <c r="Q12" i="47"/>
  <c r="Q56" i="47"/>
  <c r="Q66" i="47"/>
  <c r="Q65" i="47"/>
  <c r="Q14" i="47"/>
  <c r="Q26" i="47"/>
  <c r="Q9" i="47"/>
  <c r="Q18" i="47"/>
  <c r="BB96" i="39"/>
  <c r="BB87" i="39"/>
  <c r="BB90" i="39"/>
  <c r="Q8" i="47"/>
  <c r="Q2" i="47"/>
  <c r="Q52" i="47"/>
  <c r="Q77" i="47"/>
  <c r="Q80" i="47"/>
  <c r="Q85" i="47"/>
  <c r="Q38" i="47"/>
  <c r="Q62" i="47"/>
  <c r="Q16" i="47"/>
  <c r="Q24" i="47"/>
  <c r="Q19" i="47"/>
  <c r="Q4" i="47"/>
  <c r="Q37" i="47"/>
  <c r="Q49" i="47"/>
  <c r="BB92" i="39"/>
  <c r="BB88" i="39"/>
  <c r="BB97" i="39"/>
  <c r="I77" i="26"/>
  <c r="I79" i="26"/>
  <c r="I81" i="26"/>
  <c r="I83" i="26"/>
  <c r="Q39" i="47"/>
  <c r="Q13" i="47"/>
  <c r="Q61" i="47"/>
  <c r="Q59" i="47"/>
  <c r="Q54" i="47"/>
  <c r="Q79" i="47"/>
  <c r="Q82" i="47"/>
  <c r="Q29" i="47"/>
  <c r="Q68" i="47"/>
  <c r="Q73" i="47"/>
  <c r="Q67" i="47"/>
  <c r="Q25" i="47"/>
  <c r="BB95" i="39"/>
  <c r="BB86" i="39"/>
  <c r="BB93" i="39"/>
  <c r="I75" i="26"/>
  <c r="Z70" i="6"/>
  <c r="BC85" i="6" s="1"/>
  <c r="AE63" i="6"/>
  <c r="Y67" i="6"/>
  <c r="BB82" i="6" s="1"/>
  <c r="Z69" i="6"/>
  <c r="BC84" i="6" s="1"/>
  <c r="Z64" i="6"/>
  <c r="BC79" i="6" s="1"/>
  <c r="Z66" i="6"/>
  <c r="BC81" i="6" s="1"/>
  <c r="Z65" i="6"/>
  <c r="BC80" i="6" s="1"/>
  <c r="Z72" i="6"/>
  <c r="BC87" i="6" s="1"/>
  <c r="AE67" i="6"/>
  <c r="AD61" i="6"/>
  <c r="AE68" i="6"/>
  <c r="AE64" i="6"/>
  <c r="Y63" i="6"/>
  <c r="BB78" i="6" s="1"/>
  <c r="AE71" i="6"/>
  <c r="AE72" i="6"/>
  <c r="AE65" i="6"/>
  <c r="Y64" i="6"/>
  <c r="BB79" i="6" s="1"/>
  <c r="Y72" i="6"/>
  <c r="BB87" i="6" s="1"/>
  <c r="AE70" i="6"/>
  <c r="AE66" i="6"/>
  <c r="Y70" i="6"/>
  <c r="BB85" i="6" s="1"/>
  <c r="Y61" i="6"/>
  <c r="BB76" i="6" s="1"/>
  <c r="Z68" i="6"/>
  <c r="BC83" i="6" s="1"/>
  <c r="AE61" i="6"/>
  <c r="Y68" i="6"/>
  <c r="BB83" i="6" s="1"/>
  <c r="Z67" i="6"/>
  <c r="BC82" i="6" s="1"/>
  <c r="Z71" i="6"/>
  <c r="BC86" i="6" s="1"/>
  <c r="AE62" i="6"/>
  <c r="Y65" i="6"/>
  <c r="BB80" i="6" s="1"/>
  <c r="Y69" i="6"/>
  <c r="BB84" i="6" s="1"/>
  <c r="AE69" i="6"/>
  <c r="Y66" i="6"/>
  <c r="BB81" i="6" s="1"/>
  <c r="Y71" i="6"/>
  <c r="BB86" i="6" s="1"/>
  <c r="Y62" i="6"/>
  <c r="BB77" i="6" s="1"/>
  <c r="P5" i="32"/>
  <c r="AB5" i="32"/>
  <c r="K6" i="33"/>
  <c r="L5" i="32"/>
  <c r="B8" i="32"/>
  <c r="C27" i="36"/>
  <c r="C29" i="36"/>
  <c r="C28" i="36"/>
  <c r="AA5" i="35"/>
  <c r="BA6" i="33"/>
  <c r="BB6" i="33" s="1"/>
  <c r="C9" i="36" s="1"/>
  <c r="H5" i="32"/>
  <c r="T5" i="32"/>
  <c r="BG6" i="33"/>
  <c r="BH6" i="33" s="1"/>
  <c r="C10" i="36" s="1"/>
  <c r="AF5" i="32"/>
  <c r="X5" i="32"/>
  <c r="AD71" i="6"/>
  <c r="AD63" i="6"/>
  <c r="AD72" i="6"/>
  <c r="AD64" i="6"/>
  <c r="AD67" i="6"/>
  <c r="AD68" i="6"/>
  <c r="AD69" i="6"/>
  <c r="AD65" i="6"/>
  <c r="AD70" i="6"/>
  <c r="AD66" i="6"/>
  <c r="AD62" i="6"/>
  <c r="AA8" i="32" l="1"/>
  <c r="G8" i="32"/>
  <c r="C8" i="32"/>
  <c r="S8" i="32"/>
  <c r="K8" i="32"/>
  <c r="O8" i="32"/>
  <c r="AE8" i="32"/>
  <c r="W8" i="32"/>
  <c r="O7" i="32"/>
  <c r="C48" i="36" s="1"/>
  <c r="AE7" i="32"/>
  <c r="C52" i="36" s="1"/>
  <c r="W7" i="32"/>
  <c r="C50" i="36" s="1"/>
  <c r="G7" i="32"/>
  <c r="C46" i="36" s="1"/>
  <c r="C7" i="32"/>
  <c r="C45" i="36" s="1"/>
  <c r="S7" i="32"/>
  <c r="C49" i="36" s="1"/>
  <c r="K7" i="32"/>
  <c r="C47" i="36" s="1"/>
  <c r="AA7" i="32"/>
  <c r="C51" i="36" s="1"/>
  <c r="CY83" i="39"/>
  <c r="DP239" i="6"/>
  <c r="CY66" i="39"/>
  <c r="DP222" i="6"/>
  <c r="CY64" i="39"/>
  <c r="DP220" i="6"/>
  <c r="CY23" i="39"/>
  <c r="DP179" i="6"/>
  <c r="CY34" i="39"/>
  <c r="DP190" i="6"/>
  <c r="CY32" i="39"/>
  <c r="DP188" i="6"/>
  <c r="CY44" i="39"/>
  <c r="DP200" i="6"/>
  <c r="CY58" i="39"/>
  <c r="DP214" i="6"/>
  <c r="CY57" i="39"/>
  <c r="DP213" i="6"/>
  <c r="CY4" i="39"/>
  <c r="DP160" i="6"/>
  <c r="CY8" i="39"/>
  <c r="DP164" i="6"/>
  <c r="CY54" i="39"/>
  <c r="DP210" i="6"/>
  <c r="CY76" i="39"/>
  <c r="DP232" i="6"/>
  <c r="CY70" i="39"/>
  <c r="DP226" i="6"/>
  <c r="CY65" i="39"/>
  <c r="DP221" i="6"/>
  <c r="CY20" i="39"/>
  <c r="DP176" i="6"/>
  <c r="CY27" i="39"/>
  <c r="DP183" i="6"/>
  <c r="CY33" i="39"/>
  <c r="DP189" i="6"/>
  <c r="CY45" i="39"/>
  <c r="DP201" i="6"/>
  <c r="CY51" i="39"/>
  <c r="DP207" i="6"/>
  <c r="CY56" i="39"/>
  <c r="DP212" i="6"/>
  <c r="CY12" i="39"/>
  <c r="DP168" i="6"/>
  <c r="CY75" i="39"/>
  <c r="DP231" i="6"/>
  <c r="CY81" i="39"/>
  <c r="DP237" i="6"/>
  <c r="CY69" i="39"/>
  <c r="DP225" i="6"/>
  <c r="CY15" i="39"/>
  <c r="DP171" i="6"/>
  <c r="CY24" i="39"/>
  <c r="DP180" i="6"/>
  <c r="CY31" i="39"/>
  <c r="DP187" i="6"/>
  <c r="CY38" i="39"/>
  <c r="DP194" i="6"/>
  <c r="CY41" i="39"/>
  <c r="DP197" i="6"/>
  <c r="CY55" i="39"/>
  <c r="DP211" i="6"/>
  <c r="CY5" i="39"/>
  <c r="DP161" i="6"/>
  <c r="CY13" i="39"/>
  <c r="DP169" i="6"/>
  <c r="CY74" i="39"/>
  <c r="DP230" i="6"/>
  <c r="CY77" i="39"/>
  <c r="DP233" i="6"/>
  <c r="CY67" i="39"/>
  <c r="DP223" i="6"/>
  <c r="CY14" i="39"/>
  <c r="DP170" i="6"/>
  <c r="CY25" i="39"/>
  <c r="DP181" i="6"/>
  <c r="CY35" i="39"/>
  <c r="DP191" i="6"/>
  <c r="CY42" i="39"/>
  <c r="DP198" i="6"/>
  <c r="CY48" i="39"/>
  <c r="DP204" i="6"/>
  <c r="CY59" i="39"/>
  <c r="DP215" i="6"/>
  <c r="CY6" i="39"/>
  <c r="DP162" i="6"/>
  <c r="CY9" i="39"/>
  <c r="DP165" i="6"/>
  <c r="CY78" i="39"/>
  <c r="DP234" i="6"/>
  <c r="CY85" i="39"/>
  <c r="DP241" i="6"/>
  <c r="CY71" i="39"/>
  <c r="DP227" i="6"/>
  <c r="CY18" i="39"/>
  <c r="DP174" i="6"/>
  <c r="CY16" i="39"/>
  <c r="DP172" i="6"/>
  <c r="CY28" i="39"/>
  <c r="DP184" i="6"/>
  <c r="CY46" i="39"/>
  <c r="DP202" i="6"/>
  <c r="CY49" i="39"/>
  <c r="DP205" i="6"/>
  <c r="CY52" i="39"/>
  <c r="DP208" i="6"/>
  <c r="CY10" i="39"/>
  <c r="DP166" i="6"/>
  <c r="CY3" i="39"/>
  <c r="DP159" i="6"/>
  <c r="CY82" i="39"/>
  <c r="DP238" i="6"/>
  <c r="CY80" i="39"/>
  <c r="DP236" i="6"/>
  <c r="CY68" i="39"/>
  <c r="DP224" i="6"/>
  <c r="CY22" i="39"/>
  <c r="DP178" i="6"/>
  <c r="CY17" i="39"/>
  <c r="DP173" i="6"/>
  <c r="CY36" i="39"/>
  <c r="DP192" i="6"/>
  <c r="CY39" i="39"/>
  <c r="DP195" i="6"/>
  <c r="CY40" i="39"/>
  <c r="DP196" i="6"/>
  <c r="CY60" i="39"/>
  <c r="DP216" i="6"/>
  <c r="CY2" i="39"/>
  <c r="DP158" i="6"/>
  <c r="CY84" i="39"/>
  <c r="DP240" i="6"/>
  <c r="CY63" i="39"/>
  <c r="DP219" i="6"/>
  <c r="CY72" i="39"/>
  <c r="DP228" i="6"/>
  <c r="CY21" i="39"/>
  <c r="DP177" i="6"/>
  <c r="CY26" i="39"/>
  <c r="DP182" i="6"/>
  <c r="CY29" i="39"/>
  <c r="DP185" i="6"/>
  <c r="CY43" i="39"/>
  <c r="DP199" i="6"/>
  <c r="CY50" i="39"/>
  <c r="DP206" i="6"/>
  <c r="CY53" i="39"/>
  <c r="DP209" i="6"/>
  <c r="CY7" i="39"/>
  <c r="DP163" i="6"/>
  <c r="CY79" i="39"/>
  <c r="DP235" i="6"/>
  <c r="CY73" i="39"/>
  <c r="DP229" i="6"/>
  <c r="CY19" i="39"/>
  <c r="DP175" i="6"/>
  <c r="CY30" i="39"/>
  <c r="DP186" i="6"/>
  <c r="CY37" i="39"/>
  <c r="DP193" i="6"/>
  <c r="CY47" i="39"/>
  <c r="DP203" i="6"/>
  <c r="CY61" i="39"/>
  <c r="DP217" i="6"/>
  <c r="CY11" i="39"/>
  <c r="DP167" i="6"/>
  <c r="V121" i="9"/>
  <c r="W5" i="35"/>
  <c r="X5" i="35" s="1"/>
  <c r="AC5" i="35"/>
  <c r="P15" i="47"/>
  <c r="Q15" i="47"/>
  <c r="P27" i="47"/>
  <c r="Q27" i="47"/>
  <c r="P63" i="47"/>
  <c r="Q63" i="47"/>
  <c r="P7" i="47"/>
  <c r="Q7" i="47"/>
  <c r="P41" i="47"/>
  <c r="Q41" i="47"/>
  <c r="P28" i="47"/>
  <c r="Q28" i="47"/>
  <c r="P31" i="47"/>
  <c r="Q31" i="47"/>
  <c r="CY62" i="39"/>
  <c r="P17" i="47"/>
  <c r="Q17" i="47"/>
  <c r="P3" i="47"/>
  <c r="Q3" i="47"/>
  <c r="P57" i="47"/>
  <c r="Q57" i="47"/>
  <c r="P45" i="47"/>
  <c r="Q45" i="47"/>
  <c r="P44" i="47"/>
  <c r="Q44" i="47"/>
  <c r="P64" i="47"/>
  <c r="Q64" i="47"/>
  <c r="P46" i="47"/>
  <c r="Q46" i="47"/>
  <c r="P48" i="47"/>
  <c r="Q48" i="47"/>
  <c r="P42" i="47"/>
  <c r="Q42" i="47"/>
  <c r="P76" i="47"/>
  <c r="Q76" i="47"/>
  <c r="P47" i="47"/>
  <c r="Q47" i="47"/>
  <c r="P78" i="47"/>
  <c r="Q78" i="47"/>
  <c r="P53" i="47"/>
  <c r="Q53" i="47"/>
  <c r="P32" i="47"/>
  <c r="Q32" i="47"/>
  <c r="P81" i="47"/>
  <c r="Q81" i="47"/>
  <c r="P69" i="47"/>
  <c r="Q69" i="47"/>
  <c r="P70" i="47"/>
  <c r="Q70" i="47"/>
  <c r="P58" i="47"/>
  <c r="Q58" i="47"/>
  <c r="P23" i="47"/>
  <c r="Q23" i="47"/>
  <c r="P20" i="47"/>
  <c r="Q20" i="47"/>
  <c r="P21" i="47"/>
  <c r="Q21" i="47"/>
  <c r="P33" i="47"/>
  <c r="Q33" i="47"/>
  <c r="P10" i="47"/>
  <c r="Q10" i="47"/>
  <c r="P30" i="47"/>
  <c r="Q30" i="47"/>
  <c r="P43" i="47"/>
  <c r="Q43" i="47"/>
  <c r="P34" i="47"/>
  <c r="Q34" i="47"/>
  <c r="P11" i="47"/>
  <c r="Q11" i="47"/>
  <c r="P55" i="47"/>
  <c r="Q55" i="47"/>
  <c r="P40" i="47"/>
  <c r="Q40" i="47"/>
  <c r="V119" i="9"/>
  <c r="V120" i="9"/>
  <c r="AF6" i="32"/>
  <c r="R133" i="27"/>
  <c r="R126" i="27"/>
  <c r="R132" i="27"/>
  <c r="R122" i="27"/>
  <c r="C32" i="36"/>
  <c r="G124" i="27"/>
  <c r="Q124" i="27" s="1"/>
  <c r="G132" i="27"/>
  <c r="Q132" i="27" s="1"/>
  <c r="G129" i="27"/>
  <c r="Q129" i="27" s="1"/>
  <c r="G126" i="27"/>
  <c r="Q126" i="27" s="1"/>
  <c r="G123" i="27"/>
  <c r="Q123" i="27" s="1"/>
  <c r="G131" i="27"/>
  <c r="Q131" i="27" s="1"/>
  <c r="G122" i="27"/>
  <c r="Q122" i="27" s="1"/>
  <c r="G128" i="27"/>
  <c r="Q128" i="27" s="1"/>
  <c r="G125" i="27"/>
  <c r="Q125" i="27" s="1"/>
  <c r="G133" i="27"/>
  <c r="Q133" i="27" s="1"/>
  <c r="G130" i="27"/>
  <c r="Q130" i="27" s="1"/>
  <c r="G127" i="27"/>
  <c r="Q127" i="27" s="1"/>
  <c r="D46" i="36"/>
  <c r="D51" i="36"/>
  <c r="D52" i="36"/>
  <c r="D50" i="36"/>
  <c r="D48" i="36"/>
  <c r="D49" i="36"/>
  <c r="D47" i="36"/>
  <c r="D45" i="36"/>
  <c r="P14" i="47"/>
  <c r="H5" i="26"/>
  <c r="H6" i="26"/>
  <c r="H10" i="26"/>
  <c r="P62" i="47"/>
  <c r="H9" i="26"/>
  <c r="P38" i="47"/>
  <c r="H7" i="26"/>
  <c r="H4" i="26"/>
  <c r="P50" i="47"/>
  <c r="H8" i="26"/>
  <c r="V114" i="9"/>
  <c r="V118" i="9"/>
  <c r="V115" i="9"/>
  <c r="V117" i="9"/>
  <c r="V116" i="9"/>
  <c r="V113" i="9"/>
  <c r="Q113" i="9"/>
  <c r="Q112" i="9"/>
  <c r="R112" i="9"/>
  <c r="BC5" i="33"/>
  <c r="BD5" i="33" s="1"/>
  <c r="BE5" i="33" s="1"/>
  <c r="AD7" i="33"/>
  <c r="D6" i="36" s="1"/>
  <c r="AQ5" i="33"/>
  <c r="AM5" i="33"/>
  <c r="O5" i="35" s="1"/>
  <c r="D6" i="33"/>
  <c r="H6" i="33" s="1"/>
  <c r="C6" i="33"/>
  <c r="U5" i="33"/>
  <c r="C5" i="35" s="1"/>
  <c r="AU7" i="33"/>
  <c r="AV6" i="33"/>
  <c r="D5" i="33"/>
  <c r="H5" i="33" s="1"/>
  <c r="E5" i="33"/>
  <c r="C5" i="33"/>
  <c r="N6" i="33"/>
  <c r="L6" i="33"/>
  <c r="C4" i="36" s="1"/>
  <c r="M6" i="33"/>
  <c r="Q6" i="33" s="1"/>
  <c r="AD6" i="33"/>
  <c r="AW5" i="33"/>
  <c r="AX5" i="33" s="1"/>
  <c r="AY5" i="33" s="1"/>
  <c r="I32" i="68"/>
  <c r="I32" i="36"/>
  <c r="AD5" i="35"/>
  <c r="K5" i="35"/>
  <c r="G2" i="30"/>
  <c r="W2" i="27"/>
  <c r="BP2" i="39"/>
  <c r="BO2" i="39"/>
  <c r="P74" i="47"/>
  <c r="P5" i="47"/>
  <c r="P66" i="47"/>
  <c r="P35" i="47"/>
  <c r="P75" i="47"/>
  <c r="P84" i="47"/>
  <c r="P36" i="47"/>
  <c r="P12" i="47"/>
  <c r="P52" i="47"/>
  <c r="P26" i="47"/>
  <c r="P51" i="47"/>
  <c r="P71" i="47"/>
  <c r="P19" i="47"/>
  <c r="P4" i="47"/>
  <c r="P72" i="47"/>
  <c r="P67" i="47"/>
  <c r="P2" i="47"/>
  <c r="P85" i="47"/>
  <c r="P59" i="47"/>
  <c r="I85" i="26"/>
  <c r="P60" i="47"/>
  <c r="P83" i="47"/>
  <c r="P18" i="47"/>
  <c r="C5" i="26"/>
  <c r="P77" i="47"/>
  <c r="P61" i="47"/>
  <c r="P37" i="47"/>
  <c r="C9" i="26"/>
  <c r="P68" i="47"/>
  <c r="S148" i="47"/>
  <c r="BN3" i="39"/>
  <c r="G3" i="64" s="1"/>
  <c r="N3" i="64" s="1"/>
  <c r="P13" i="47"/>
  <c r="P39" i="47"/>
  <c r="P73" i="47"/>
  <c r="H79" i="26"/>
  <c r="J79" i="26" s="1"/>
  <c r="P56" i="47"/>
  <c r="P24" i="47"/>
  <c r="P8" i="47"/>
  <c r="P6" i="47"/>
  <c r="P65" i="47"/>
  <c r="P49" i="47"/>
  <c r="P25" i="47"/>
  <c r="P9" i="47"/>
  <c r="C10" i="26"/>
  <c r="C7" i="26"/>
  <c r="C8" i="26"/>
  <c r="H81" i="26"/>
  <c r="J81" i="26" s="1"/>
  <c r="P29" i="47"/>
  <c r="H77" i="26"/>
  <c r="J77" i="26" s="1"/>
  <c r="P80" i="47"/>
  <c r="P16" i="47"/>
  <c r="P54" i="47"/>
  <c r="P82" i="47"/>
  <c r="H78" i="26"/>
  <c r="J78" i="26" s="1"/>
  <c r="P79" i="47"/>
  <c r="P22" i="47"/>
  <c r="H83" i="26"/>
  <c r="J83" i="26" s="1"/>
  <c r="H76" i="26"/>
  <c r="J76" i="26" s="1"/>
  <c r="H82" i="26"/>
  <c r="J82" i="26" s="1"/>
  <c r="H80" i="26"/>
  <c r="J80" i="26" s="1"/>
  <c r="C6" i="26"/>
  <c r="C4" i="26"/>
  <c r="H75" i="26"/>
  <c r="BJ5" i="33"/>
  <c r="BK5" i="33" s="1"/>
  <c r="BG7" i="33"/>
  <c r="BH7" i="33" s="1"/>
  <c r="D10" i="36" s="1"/>
  <c r="D28" i="36"/>
  <c r="D27" i="36"/>
  <c r="D29" i="36"/>
  <c r="L7" i="32"/>
  <c r="H7" i="32"/>
  <c r="T6" i="33"/>
  <c r="AC8" i="33"/>
  <c r="BA7" i="33"/>
  <c r="BB7" i="33" s="1"/>
  <c r="D9" i="36" s="1"/>
  <c r="AA6" i="35"/>
  <c r="AC6" i="35" s="1"/>
  <c r="P7" i="32"/>
  <c r="AF7" i="32"/>
  <c r="BI6" i="33"/>
  <c r="BC6" i="33"/>
  <c r="AB7" i="32"/>
  <c r="AW6" i="33"/>
  <c r="X7" i="32"/>
  <c r="B9" i="32"/>
  <c r="B7" i="33"/>
  <c r="D7" i="32"/>
  <c r="T7" i="32"/>
  <c r="AL6" i="33"/>
  <c r="K7" i="33"/>
  <c r="AO14" i="33" l="1"/>
  <c r="AN14" i="33"/>
  <c r="AR14" i="33" s="1"/>
  <c r="AS14" i="33" s="1"/>
  <c r="Q134" i="47"/>
  <c r="J18" i="26" s="1"/>
  <c r="C53" i="36"/>
  <c r="S9" i="32"/>
  <c r="K9" i="32"/>
  <c r="AE9" i="32"/>
  <c r="AA9" i="32"/>
  <c r="G9" i="32"/>
  <c r="C9" i="32"/>
  <c r="O9" i="32"/>
  <c r="W9" i="32"/>
  <c r="AD6" i="35"/>
  <c r="C3" i="36"/>
  <c r="N2" i="30"/>
  <c r="Q2" i="30" s="1"/>
  <c r="R134" i="27"/>
  <c r="R138" i="27"/>
  <c r="R144" i="27"/>
  <c r="R145" i="27"/>
  <c r="R152" i="47"/>
  <c r="R153" i="47"/>
  <c r="R150" i="47"/>
  <c r="R156" i="47"/>
  <c r="R154" i="47"/>
  <c r="R151" i="47"/>
  <c r="R155" i="47"/>
  <c r="R129" i="27"/>
  <c r="R127" i="27"/>
  <c r="R130" i="27"/>
  <c r="R123" i="27"/>
  <c r="R125" i="27"/>
  <c r="R124" i="27"/>
  <c r="R128" i="27"/>
  <c r="R131" i="27"/>
  <c r="R118" i="9"/>
  <c r="Q114" i="9"/>
  <c r="R113" i="9"/>
  <c r="U6" i="35"/>
  <c r="W6" i="35" s="1"/>
  <c r="C8" i="36"/>
  <c r="I6" i="35"/>
  <c r="K6" i="35" s="1"/>
  <c r="C6" i="36"/>
  <c r="E51" i="36"/>
  <c r="E49" i="36"/>
  <c r="E47" i="36"/>
  <c r="E45" i="36"/>
  <c r="E46" i="36"/>
  <c r="E52" i="36"/>
  <c r="E50" i="36"/>
  <c r="E48" i="36"/>
  <c r="R114" i="9"/>
  <c r="R115" i="9"/>
  <c r="R116" i="9"/>
  <c r="R117" i="9"/>
  <c r="Q115" i="9"/>
  <c r="Q116" i="9"/>
  <c r="R119" i="9"/>
  <c r="AX6" i="33"/>
  <c r="AY6" i="33" s="1"/>
  <c r="L7" i="33"/>
  <c r="D4" i="36" s="1"/>
  <c r="M7" i="33"/>
  <c r="Q7" i="33" s="1"/>
  <c r="N7" i="33"/>
  <c r="AQ6" i="33"/>
  <c r="AM6" i="33"/>
  <c r="C7" i="36" s="1"/>
  <c r="U6" i="33"/>
  <c r="C5" i="36" s="1"/>
  <c r="AD8" i="33"/>
  <c r="E6" i="36" s="1"/>
  <c r="D7" i="33"/>
  <c r="H7" i="33" s="1"/>
  <c r="C7" i="33"/>
  <c r="AV7" i="33"/>
  <c r="D8" i="36" s="1"/>
  <c r="AU8" i="33"/>
  <c r="L5" i="35"/>
  <c r="G3" i="30"/>
  <c r="W3" i="27"/>
  <c r="X11" i="26"/>
  <c r="BO3" i="39"/>
  <c r="BP3" i="39"/>
  <c r="S146" i="47"/>
  <c r="R146" i="47"/>
  <c r="S143" i="47"/>
  <c r="R139" i="47"/>
  <c r="R138" i="47"/>
  <c r="S150" i="47"/>
  <c r="S142" i="47"/>
  <c r="S156" i="47"/>
  <c r="S154" i="47"/>
  <c r="S152" i="47"/>
  <c r="R147" i="47"/>
  <c r="R148" i="47"/>
  <c r="S138" i="47"/>
  <c r="J75" i="26"/>
  <c r="J87" i="26" s="1"/>
  <c r="H85" i="26"/>
  <c r="J85" i="26" s="1"/>
  <c r="E75" i="26"/>
  <c r="R141" i="47"/>
  <c r="R144" i="47"/>
  <c r="S141" i="47"/>
  <c r="S147" i="47"/>
  <c r="S140" i="47"/>
  <c r="S155" i="47"/>
  <c r="BN4" i="39"/>
  <c r="G4" i="64" s="1"/>
  <c r="N4" i="64" s="1"/>
  <c r="W3" i="41"/>
  <c r="S137" i="47"/>
  <c r="R145" i="47"/>
  <c r="R142" i="47"/>
  <c r="S151" i="47"/>
  <c r="R143" i="47"/>
  <c r="Y2" i="41"/>
  <c r="S139" i="47"/>
  <c r="S144" i="47"/>
  <c r="S145" i="47"/>
  <c r="R137" i="47"/>
  <c r="R140" i="47"/>
  <c r="S153" i="47"/>
  <c r="E76" i="26"/>
  <c r="P8" i="32"/>
  <c r="I7" i="35"/>
  <c r="K8" i="33"/>
  <c r="Q5" i="35"/>
  <c r="B8" i="33"/>
  <c r="B10" i="32"/>
  <c r="H8" i="32"/>
  <c r="BI7" i="33"/>
  <c r="AF8" i="32"/>
  <c r="E5" i="35"/>
  <c r="BG8" i="33"/>
  <c r="BH8" i="33" s="1"/>
  <c r="E10" i="36" s="1"/>
  <c r="E28" i="36"/>
  <c r="E29" i="36"/>
  <c r="E27" i="36"/>
  <c r="D8" i="32"/>
  <c r="AB8" i="32"/>
  <c r="BC7" i="33"/>
  <c r="BD6" i="33"/>
  <c r="BE6" i="33" s="1"/>
  <c r="BJ6" i="33"/>
  <c r="BK6" i="33" s="1"/>
  <c r="X8" i="32"/>
  <c r="AW7" i="33"/>
  <c r="T7" i="33"/>
  <c r="AL7" i="33"/>
  <c r="T8" i="32"/>
  <c r="L8" i="32"/>
  <c r="BA8" i="33"/>
  <c r="BB8" i="33" s="1"/>
  <c r="E9" i="36" s="1"/>
  <c r="AC9" i="33"/>
  <c r="AC10" i="33" s="1"/>
  <c r="AE10" i="32" l="1"/>
  <c r="W10" i="32"/>
  <c r="O10" i="32"/>
  <c r="S10" i="32"/>
  <c r="K10" i="32"/>
  <c r="F47" i="36" s="1"/>
  <c r="AA10" i="32"/>
  <c r="G10" i="32"/>
  <c r="C10" i="32"/>
  <c r="D3" i="36"/>
  <c r="N3" i="30"/>
  <c r="Q3" i="30" s="1"/>
  <c r="Q121" i="9"/>
  <c r="V14" i="33" s="1"/>
  <c r="Z14" i="33" s="1"/>
  <c r="R121" i="9"/>
  <c r="AE14" i="33" s="1"/>
  <c r="AI14" i="33" s="1"/>
  <c r="Q120" i="9"/>
  <c r="AC11" i="33"/>
  <c r="AD10" i="33"/>
  <c r="R5" i="35"/>
  <c r="R143" i="27"/>
  <c r="R136" i="27"/>
  <c r="R135" i="27"/>
  <c r="R139" i="27"/>
  <c r="R140" i="27"/>
  <c r="R137" i="27"/>
  <c r="R142" i="27"/>
  <c r="R141" i="27"/>
  <c r="Q119" i="9"/>
  <c r="R120" i="9"/>
  <c r="Q117" i="9"/>
  <c r="S3" i="29"/>
  <c r="W4" i="27"/>
  <c r="C11" i="36"/>
  <c r="V6" i="33"/>
  <c r="Z6" i="33" s="1"/>
  <c r="Q118" i="9"/>
  <c r="X6" i="35"/>
  <c r="F50" i="36"/>
  <c r="F51" i="36"/>
  <c r="F49" i="36"/>
  <c r="F45" i="36"/>
  <c r="F46" i="36"/>
  <c r="F52" i="36"/>
  <c r="F48" i="36"/>
  <c r="AN5" i="33"/>
  <c r="AR5" i="33" s="1"/>
  <c r="AS5" i="33" s="1"/>
  <c r="O19" i="35" s="1"/>
  <c r="DT168" i="6"/>
  <c r="DT159" i="6"/>
  <c r="DT163" i="6"/>
  <c r="DT161" i="6"/>
  <c r="DT167" i="6"/>
  <c r="DT165" i="6"/>
  <c r="DT169" i="6"/>
  <c r="DT158" i="6"/>
  <c r="V5" i="33"/>
  <c r="Z5" i="33" s="1"/>
  <c r="DT164" i="6"/>
  <c r="DT166" i="6"/>
  <c r="DT160" i="6"/>
  <c r="DT162" i="6"/>
  <c r="J88" i="26"/>
  <c r="AX7" i="33"/>
  <c r="AY7" i="33" s="1"/>
  <c r="U7" i="33"/>
  <c r="D5" i="36" s="1"/>
  <c r="D8" i="33"/>
  <c r="H8" i="33" s="1"/>
  <c r="C8" i="33"/>
  <c r="AD9" i="33"/>
  <c r="F6" i="36" s="1"/>
  <c r="N8" i="33"/>
  <c r="M8" i="33"/>
  <c r="Q8" i="33" s="1"/>
  <c r="L8" i="33"/>
  <c r="E4" i="36" s="1"/>
  <c r="AV8" i="33"/>
  <c r="E8" i="36" s="1"/>
  <c r="AU9" i="33"/>
  <c r="AU10" i="33" s="1"/>
  <c r="AQ7" i="33"/>
  <c r="AM7" i="33"/>
  <c r="D7" i="36" s="1"/>
  <c r="U7" i="35"/>
  <c r="W7" i="35" s="1"/>
  <c r="D53" i="68"/>
  <c r="D32" i="68"/>
  <c r="E32" i="68"/>
  <c r="D53" i="36"/>
  <c r="D32" i="36"/>
  <c r="AA7" i="35"/>
  <c r="AC7" i="35" s="1"/>
  <c r="L6" i="35"/>
  <c r="F5" i="35"/>
  <c r="G4" i="30"/>
  <c r="BO4" i="39"/>
  <c r="BP4" i="39"/>
  <c r="BN5" i="39"/>
  <c r="G5" i="64" s="1"/>
  <c r="N5" i="64" s="1"/>
  <c r="W4" i="41"/>
  <c r="C85" i="26"/>
  <c r="Y3" i="41"/>
  <c r="X3" i="41"/>
  <c r="K7" i="35"/>
  <c r="L9" i="32"/>
  <c r="F29" i="36"/>
  <c r="F28" i="36"/>
  <c r="F27" i="36"/>
  <c r="BI8" i="33"/>
  <c r="AF9" i="32"/>
  <c r="C6" i="35"/>
  <c r="O6" i="35"/>
  <c r="T8" i="33"/>
  <c r="BD7" i="33"/>
  <c r="BE7" i="33" s="1"/>
  <c r="AL8" i="33"/>
  <c r="T9" i="32"/>
  <c r="D9" i="32"/>
  <c r="BJ7" i="33"/>
  <c r="BK7" i="33" s="1"/>
  <c r="H9" i="32"/>
  <c r="AW8" i="33"/>
  <c r="X9" i="32"/>
  <c r="I8" i="35"/>
  <c r="BA9" i="33"/>
  <c r="BG9" i="33"/>
  <c r="B11" i="32"/>
  <c r="BC8" i="33"/>
  <c r="AB9" i="32"/>
  <c r="P9" i="32"/>
  <c r="B9" i="33"/>
  <c r="K9" i="33"/>
  <c r="K10" i="33" s="1"/>
  <c r="O11" i="32" l="1"/>
  <c r="G11" i="32"/>
  <c r="AE11" i="32"/>
  <c r="W11" i="32"/>
  <c r="AA11" i="32"/>
  <c r="C11" i="32"/>
  <c r="S11" i="32"/>
  <c r="K11" i="32"/>
  <c r="E3" i="36"/>
  <c r="N4" i="30"/>
  <c r="Q4" i="30" s="1"/>
  <c r="BB9" i="33"/>
  <c r="F9" i="36" s="1"/>
  <c r="BA10" i="33"/>
  <c r="AU11" i="33"/>
  <c r="AV10" i="33"/>
  <c r="BH9" i="33"/>
  <c r="F10" i="36" s="1"/>
  <c r="BG10" i="33"/>
  <c r="AC12" i="33"/>
  <c r="AD11" i="33"/>
  <c r="K11" i="33"/>
  <c r="L10" i="33"/>
  <c r="M10" i="33"/>
  <c r="Q10" i="33" s="1"/>
  <c r="P10" i="33"/>
  <c r="N10" i="33"/>
  <c r="B10" i="33"/>
  <c r="O112" i="66"/>
  <c r="N112" i="66"/>
  <c r="N116" i="66"/>
  <c r="O116" i="66"/>
  <c r="O100" i="66"/>
  <c r="N100" i="66"/>
  <c r="N106" i="66"/>
  <c r="O106" i="66"/>
  <c r="O115" i="66"/>
  <c r="N115" i="66"/>
  <c r="N121" i="66"/>
  <c r="O121" i="66"/>
  <c r="O104" i="66"/>
  <c r="N104" i="66"/>
  <c r="N114" i="66"/>
  <c r="O114" i="66"/>
  <c r="N102" i="66"/>
  <c r="O102" i="66"/>
  <c r="O118" i="66"/>
  <c r="N118" i="66"/>
  <c r="O103" i="66"/>
  <c r="N103" i="66"/>
  <c r="O109" i="66"/>
  <c r="N109" i="66"/>
  <c r="O113" i="66"/>
  <c r="N113" i="66"/>
  <c r="O107" i="66"/>
  <c r="N107" i="66"/>
  <c r="W12" i="26"/>
  <c r="Y12" i="26" s="1"/>
  <c r="N98" i="66"/>
  <c r="O98" i="66"/>
  <c r="O111" i="66"/>
  <c r="N111" i="66"/>
  <c r="O117" i="66"/>
  <c r="N117" i="66"/>
  <c r="O101" i="66"/>
  <c r="N101" i="66"/>
  <c r="O120" i="66"/>
  <c r="N120" i="66"/>
  <c r="O99" i="66"/>
  <c r="N99" i="66"/>
  <c r="O105" i="66"/>
  <c r="N105" i="66"/>
  <c r="N119" i="66"/>
  <c r="O119" i="66"/>
  <c r="W13" i="26"/>
  <c r="Y13" i="26" s="1"/>
  <c r="N110" i="66"/>
  <c r="O110" i="66"/>
  <c r="N108" i="66"/>
  <c r="O108" i="66"/>
  <c r="DT254" i="6"/>
  <c r="DT248" i="6"/>
  <c r="DT247" i="6"/>
  <c r="DT242" i="6"/>
  <c r="DT245" i="6"/>
  <c r="DT266" i="6"/>
  <c r="DT244" i="6"/>
  <c r="DT250" i="6"/>
  <c r="DT243" i="6"/>
  <c r="DT253" i="6"/>
  <c r="DT252" i="6"/>
  <c r="DT251" i="6"/>
  <c r="DT246" i="6"/>
  <c r="DT249" i="6"/>
  <c r="DS238" i="6"/>
  <c r="DS239" i="6"/>
  <c r="DS173" i="6"/>
  <c r="V7" i="33"/>
  <c r="Z7" i="33" s="1"/>
  <c r="W5" i="27"/>
  <c r="S4" i="29"/>
  <c r="DS176" i="6"/>
  <c r="AN7" i="33"/>
  <c r="AR7" i="33" s="1"/>
  <c r="AS7" i="33" s="1"/>
  <c r="G48" i="36"/>
  <c r="G49" i="36"/>
  <c r="G47" i="36"/>
  <c r="G45" i="36"/>
  <c r="G46" i="36"/>
  <c r="AD7" i="35"/>
  <c r="DT175" i="6"/>
  <c r="DT212" i="6"/>
  <c r="DT206" i="6"/>
  <c r="DT199" i="6"/>
  <c r="DT231" i="6"/>
  <c r="DT233" i="6"/>
  <c r="DS161" i="6"/>
  <c r="DS163" i="6"/>
  <c r="DS171" i="6"/>
  <c r="DT226" i="6"/>
  <c r="DT184" i="6"/>
  <c r="DT182" i="6"/>
  <c r="D2" i="31"/>
  <c r="DC2" i="39"/>
  <c r="DF2" i="39"/>
  <c r="AO5" i="33"/>
  <c r="D9" i="31"/>
  <c r="DF9" i="39"/>
  <c r="DC9" i="39"/>
  <c r="D11" i="31"/>
  <c r="DC11" i="39"/>
  <c r="DF11" i="39"/>
  <c r="DT239" i="6"/>
  <c r="O5" i="66"/>
  <c r="N5" i="66"/>
  <c r="D3" i="31"/>
  <c r="DC3" i="39"/>
  <c r="DF3" i="39"/>
  <c r="D6" i="31"/>
  <c r="DC6" i="39"/>
  <c r="DF6" i="39"/>
  <c r="D10" i="31"/>
  <c r="DC10" i="39"/>
  <c r="DF10" i="39"/>
  <c r="W4" i="26"/>
  <c r="D13" i="31"/>
  <c r="DC13" i="39"/>
  <c r="DF13" i="39"/>
  <c r="DT171" i="6"/>
  <c r="DT208" i="6"/>
  <c r="DT217" i="6"/>
  <c r="DT195" i="6"/>
  <c r="DT240" i="6"/>
  <c r="DS164" i="6"/>
  <c r="DS172" i="6"/>
  <c r="DT227" i="6"/>
  <c r="DT221" i="6"/>
  <c r="DT183" i="6"/>
  <c r="N9" i="66"/>
  <c r="O9" i="66"/>
  <c r="DT178" i="6"/>
  <c r="DT209" i="6"/>
  <c r="DT213" i="6"/>
  <c r="DT202" i="6"/>
  <c r="O11" i="66"/>
  <c r="N11" i="66"/>
  <c r="DS169" i="6"/>
  <c r="DS160" i="6"/>
  <c r="DS236" i="6"/>
  <c r="DT223" i="6"/>
  <c r="DT192" i="6"/>
  <c r="DT190" i="6"/>
  <c r="DT180" i="6"/>
  <c r="DT174" i="6"/>
  <c r="DT215" i="6"/>
  <c r="DT204" i="6"/>
  <c r="DT198" i="6"/>
  <c r="DT235" i="6"/>
  <c r="DT237" i="6"/>
  <c r="R2" i="64"/>
  <c r="DS158" i="6"/>
  <c r="DS240" i="6"/>
  <c r="DT224" i="6"/>
  <c r="DT229" i="6"/>
  <c r="DT191" i="6"/>
  <c r="O3" i="66"/>
  <c r="N3" i="66"/>
  <c r="D12" i="31"/>
  <c r="DC12" i="39"/>
  <c r="DF12" i="39"/>
  <c r="DT176" i="6"/>
  <c r="DT170" i="6"/>
  <c r="DT211" i="6"/>
  <c r="DT200" i="6"/>
  <c r="DT194" i="6"/>
  <c r="O6" i="66"/>
  <c r="N6" i="66"/>
  <c r="D4" i="31"/>
  <c r="DC4" i="39"/>
  <c r="DF4" i="39"/>
  <c r="DT234" i="6"/>
  <c r="O10" i="66"/>
  <c r="N10" i="66"/>
  <c r="D8" i="31"/>
  <c r="DF8" i="39"/>
  <c r="DC8" i="39"/>
  <c r="DS168" i="6"/>
  <c r="DS233" i="6"/>
  <c r="DS234" i="6"/>
  <c r="DT220" i="6"/>
  <c r="DT225" i="6"/>
  <c r="DT187" i="6"/>
  <c r="O13" i="66"/>
  <c r="N13" i="66"/>
  <c r="DT232" i="6"/>
  <c r="DT241" i="6"/>
  <c r="D7" i="31"/>
  <c r="DF7" i="39"/>
  <c r="DC7" i="39"/>
  <c r="AE5" i="33"/>
  <c r="AI5" i="33" s="1"/>
  <c r="O12" i="66"/>
  <c r="N12" i="66"/>
  <c r="AN6" i="33"/>
  <c r="AR6" i="33" s="1"/>
  <c r="AS6" i="33" s="1"/>
  <c r="O4" i="66"/>
  <c r="N4" i="66"/>
  <c r="O8" i="66"/>
  <c r="N8" i="66"/>
  <c r="DT172" i="6"/>
  <c r="DT181" i="6"/>
  <c r="DT207" i="6"/>
  <c r="DT196" i="6"/>
  <c r="DT201" i="6"/>
  <c r="DT236" i="6"/>
  <c r="DT230" i="6"/>
  <c r="DS166" i="6"/>
  <c r="DS159" i="6"/>
  <c r="DT222" i="6"/>
  <c r="DT193" i="6"/>
  <c r="DT189" i="6"/>
  <c r="DT177" i="6"/>
  <c r="DT173" i="6"/>
  <c r="DT214" i="6"/>
  <c r="DT205" i="6"/>
  <c r="DT197" i="6"/>
  <c r="D5" i="31"/>
  <c r="DC5" i="39"/>
  <c r="DF5" i="39"/>
  <c r="DS162" i="6"/>
  <c r="DS241" i="6"/>
  <c r="DS170" i="6"/>
  <c r="DT228" i="6"/>
  <c r="DT218" i="6"/>
  <c r="DT185" i="6"/>
  <c r="O7" i="66"/>
  <c r="N7" i="66"/>
  <c r="DT179" i="6"/>
  <c r="DT216" i="6"/>
  <c r="DT210" i="6"/>
  <c r="DT203" i="6"/>
  <c r="DT238" i="6"/>
  <c r="DS165" i="6"/>
  <c r="DS167" i="6"/>
  <c r="DS177" i="6"/>
  <c r="DS175" i="6"/>
  <c r="DT219" i="6"/>
  <c r="DT188" i="6"/>
  <c r="DT186" i="6"/>
  <c r="AX8" i="33"/>
  <c r="AY8" i="33" s="1"/>
  <c r="C9" i="33"/>
  <c r="D9" i="33"/>
  <c r="H9" i="33" s="1"/>
  <c r="L9" i="33"/>
  <c r="F4" i="36" s="1"/>
  <c r="N9" i="33"/>
  <c r="M9" i="33"/>
  <c r="Q9" i="33" s="1"/>
  <c r="X7" i="35"/>
  <c r="AQ8" i="33"/>
  <c r="AN8" i="33"/>
  <c r="AR8" i="33" s="1"/>
  <c r="AM8" i="33"/>
  <c r="E7" i="36" s="1"/>
  <c r="G6" i="36"/>
  <c r="AV9" i="33"/>
  <c r="F8" i="36" s="1"/>
  <c r="V8" i="33"/>
  <c r="Z8" i="33" s="1"/>
  <c r="U8" i="33"/>
  <c r="E5" i="36" s="1"/>
  <c r="U8" i="35"/>
  <c r="W8" i="35" s="1"/>
  <c r="X8" i="35" s="1"/>
  <c r="E53" i="68"/>
  <c r="E53" i="36"/>
  <c r="E32" i="36"/>
  <c r="AA8" i="35"/>
  <c r="AC8" i="35" s="1"/>
  <c r="AD8" i="35" s="1"/>
  <c r="L7" i="35"/>
  <c r="S5" i="29"/>
  <c r="G5" i="30"/>
  <c r="Q3" i="64"/>
  <c r="BO5" i="39"/>
  <c r="BP5" i="39"/>
  <c r="Y4" i="41"/>
  <c r="X4" i="41"/>
  <c r="BN6" i="39"/>
  <c r="G6" i="64" s="1"/>
  <c r="N6" i="64" s="1"/>
  <c r="W5" i="41"/>
  <c r="AW9" i="33"/>
  <c r="X10" i="32"/>
  <c r="L10" i="32"/>
  <c r="B12" i="32"/>
  <c r="T9" i="33"/>
  <c r="T10" i="33" s="1"/>
  <c r="Q6" i="35"/>
  <c r="K8" i="35"/>
  <c r="L8" i="35" s="1"/>
  <c r="H10" i="32"/>
  <c r="BC9" i="33"/>
  <c r="AB10" i="32"/>
  <c r="T10" i="32"/>
  <c r="BD8" i="33"/>
  <c r="O7" i="35"/>
  <c r="P10" i="32"/>
  <c r="AL9" i="33"/>
  <c r="AL10" i="33" s="1"/>
  <c r="D10" i="32"/>
  <c r="BI9" i="33"/>
  <c r="AF10" i="32"/>
  <c r="BJ8" i="33"/>
  <c r="BK8" i="33" s="1"/>
  <c r="C7" i="35"/>
  <c r="E6" i="35"/>
  <c r="I9" i="35"/>
  <c r="AA12" i="32" l="1"/>
  <c r="G12" i="32"/>
  <c r="C12" i="32"/>
  <c r="O12" i="32"/>
  <c r="S12" i="32"/>
  <c r="AE12" i="32"/>
  <c r="W12" i="32"/>
  <c r="K12" i="32"/>
  <c r="F3" i="36"/>
  <c r="D118" i="31"/>
  <c r="DT274" i="6"/>
  <c r="D121" i="31"/>
  <c r="DT277" i="6"/>
  <c r="D99" i="31"/>
  <c r="DT255" i="6"/>
  <c r="D103" i="31"/>
  <c r="DT259" i="6"/>
  <c r="D104" i="31"/>
  <c r="DT260" i="6"/>
  <c r="D106" i="31"/>
  <c r="DT262" i="6"/>
  <c r="D116" i="31"/>
  <c r="DT272" i="6"/>
  <c r="D119" i="31"/>
  <c r="DT275" i="6"/>
  <c r="O20" i="35"/>
  <c r="D109" i="31"/>
  <c r="DT265" i="6"/>
  <c r="D102" i="31"/>
  <c r="DT258" i="6"/>
  <c r="D100" i="31"/>
  <c r="DT256" i="6"/>
  <c r="D112" i="31"/>
  <c r="DT268" i="6"/>
  <c r="D105" i="31"/>
  <c r="DT261" i="6"/>
  <c r="O21" i="35"/>
  <c r="D115" i="31"/>
  <c r="DT271" i="6"/>
  <c r="D114" i="31"/>
  <c r="DT270" i="6"/>
  <c r="D108" i="31"/>
  <c r="DT264" i="6"/>
  <c r="D120" i="31"/>
  <c r="DT276" i="6"/>
  <c r="D101" i="31"/>
  <c r="DT257" i="6"/>
  <c r="D117" i="31"/>
  <c r="DT273" i="6"/>
  <c r="D111" i="31"/>
  <c r="DT267" i="6"/>
  <c r="D107" i="31"/>
  <c r="DT263" i="6"/>
  <c r="D113" i="31"/>
  <c r="DT269" i="6"/>
  <c r="N5" i="30"/>
  <c r="Q5" i="30" s="1"/>
  <c r="DR258" i="6"/>
  <c r="R10" i="33"/>
  <c r="DR266" i="6"/>
  <c r="BI10" i="33"/>
  <c r="G52" i="36"/>
  <c r="AW10" i="33"/>
  <c r="G50" i="36"/>
  <c r="G51" i="36"/>
  <c r="BC10" i="33"/>
  <c r="AX10" i="33"/>
  <c r="AY10" i="33" s="1"/>
  <c r="G28" i="36"/>
  <c r="J33" i="35"/>
  <c r="G27" i="36"/>
  <c r="D33" i="35"/>
  <c r="G29" i="36"/>
  <c r="P33" i="35"/>
  <c r="S153" i="66"/>
  <c r="R161" i="66"/>
  <c r="S162" i="66"/>
  <c r="R153" i="66"/>
  <c r="R162" i="66"/>
  <c r="S161" i="66"/>
  <c r="AL11" i="33"/>
  <c r="AO11" i="33" s="1"/>
  <c r="AM10" i="33"/>
  <c r="AQ10" i="33"/>
  <c r="AN10" i="33"/>
  <c r="AR10" i="33" s="1"/>
  <c r="AC13" i="33"/>
  <c r="AD12" i="33"/>
  <c r="AU12" i="33"/>
  <c r="AV11" i="33"/>
  <c r="BG11" i="33"/>
  <c r="BH10" i="33"/>
  <c r="BA11" i="33"/>
  <c r="BB10" i="33"/>
  <c r="T11" i="33"/>
  <c r="U10" i="33"/>
  <c r="K12" i="33"/>
  <c r="L11" i="33"/>
  <c r="M11" i="33"/>
  <c r="Q11" i="33" s="1"/>
  <c r="P11" i="33"/>
  <c r="N11" i="33"/>
  <c r="B11" i="33"/>
  <c r="C10" i="33"/>
  <c r="D10" i="33"/>
  <c r="H10" i="33" s="1"/>
  <c r="AE11" i="33"/>
  <c r="AI11" i="33" s="1"/>
  <c r="AO10" i="33"/>
  <c r="AE10" i="33"/>
  <c r="AI10" i="33" s="1"/>
  <c r="V10" i="33"/>
  <c r="Z10" i="33" s="1"/>
  <c r="AE12" i="33"/>
  <c r="AI12" i="33" s="1"/>
  <c r="D110" i="31"/>
  <c r="D98" i="31"/>
  <c r="DR273" i="6"/>
  <c r="DR267" i="6"/>
  <c r="O93" i="66"/>
  <c r="N93" i="66"/>
  <c r="DF103" i="39"/>
  <c r="DC103" i="39"/>
  <c r="DS248" i="6"/>
  <c r="DS246" i="6"/>
  <c r="DC90" i="39"/>
  <c r="DF90" i="39"/>
  <c r="D90" i="31"/>
  <c r="DF104" i="39"/>
  <c r="DC104" i="39"/>
  <c r="DC114" i="39"/>
  <c r="DF114" i="39"/>
  <c r="DS242" i="6"/>
  <c r="DR277" i="6"/>
  <c r="D96" i="31"/>
  <c r="DF96" i="39"/>
  <c r="DC96" i="39"/>
  <c r="DR262" i="6"/>
  <c r="D97" i="31"/>
  <c r="DC97" i="39"/>
  <c r="DF97" i="39"/>
  <c r="DC112" i="39"/>
  <c r="DF112" i="39"/>
  <c r="DF110" i="39"/>
  <c r="DC110" i="39"/>
  <c r="DS245" i="6"/>
  <c r="DS247" i="6"/>
  <c r="D89" i="31"/>
  <c r="DC89" i="39"/>
  <c r="DF89" i="39"/>
  <c r="DF99" i="39"/>
  <c r="DC99" i="39"/>
  <c r="DR263" i="6"/>
  <c r="DR254" i="6"/>
  <c r="DC98" i="39"/>
  <c r="DF98" i="39"/>
  <c r="DC109" i="39"/>
  <c r="DF109" i="39"/>
  <c r="DR274" i="6"/>
  <c r="O90" i="66"/>
  <c r="N90" i="66"/>
  <c r="DF95" i="39"/>
  <c r="DC95" i="39"/>
  <c r="D95" i="31"/>
  <c r="DR257" i="6"/>
  <c r="DR255" i="6"/>
  <c r="O96" i="66"/>
  <c r="N96" i="66"/>
  <c r="DF106" i="39"/>
  <c r="DC106" i="39"/>
  <c r="DF116" i="39"/>
  <c r="DC116" i="39"/>
  <c r="N97" i="66"/>
  <c r="O97" i="66"/>
  <c r="O87" i="66"/>
  <c r="N87" i="66"/>
  <c r="D87" i="31"/>
  <c r="DC87" i="39"/>
  <c r="DF87" i="39"/>
  <c r="DC94" i="39"/>
  <c r="D94" i="31"/>
  <c r="DF94" i="39"/>
  <c r="DC108" i="39"/>
  <c r="DF108" i="39"/>
  <c r="N89" i="66"/>
  <c r="O89" i="66"/>
  <c r="DS249" i="6"/>
  <c r="DR269" i="6"/>
  <c r="DF86" i="39"/>
  <c r="D86" i="31"/>
  <c r="DC86" i="39"/>
  <c r="DR260" i="6"/>
  <c r="D93" i="31"/>
  <c r="DC93" i="39"/>
  <c r="DF93" i="39"/>
  <c r="DS253" i="6"/>
  <c r="O95" i="66"/>
  <c r="N95" i="66"/>
  <c r="DC115" i="39"/>
  <c r="DF115" i="39"/>
  <c r="DS252" i="6"/>
  <c r="DS250" i="6"/>
  <c r="DF100" i="39"/>
  <c r="DC100" i="39"/>
  <c r="DR261" i="6"/>
  <c r="DR259" i="6"/>
  <c r="D88" i="31"/>
  <c r="DC88" i="39"/>
  <c r="DF88" i="39"/>
  <c r="DS243" i="6"/>
  <c r="DF105" i="39"/>
  <c r="DC105" i="39"/>
  <c r="W11" i="26"/>
  <c r="Y11" i="26" s="1"/>
  <c r="O86" i="66"/>
  <c r="N86" i="66"/>
  <c r="DC91" i="39"/>
  <c r="DF91" i="39"/>
  <c r="D91" i="31"/>
  <c r="DF92" i="39"/>
  <c r="D92" i="31"/>
  <c r="DC92" i="39"/>
  <c r="DC118" i="39"/>
  <c r="DF118" i="39"/>
  <c r="DC121" i="39"/>
  <c r="DF121" i="39"/>
  <c r="DF102" i="39"/>
  <c r="DC102" i="39"/>
  <c r="DR272" i="6"/>
  <c r="N94" i="66"/>
  <c r="O94" i="66"/>
  <c r="O88" i="66"/>
  <c r="N88" i="66"/>
  <c r="DC119" i="39"/>
  <c r="DF119" i="39"/>
  <c r="DF120" i="39"/>
  <c r="DC120" i="39"/>
  <c r="DR256" i="6"/>
  <c r="DS244" i="6"/>
  <c r="DS251" i="6"/>
  <c r="DR270" i="6"/>
  <c r="N91" i="66"/>
  <c r="O91" i="66"/>
  <c r="DF101" i="39"/>
  <c r="DC101" i="39"/>
  <c r="DF117" i="39"/>
  <c r="DC117" i="39"/>
  <c r="DF111" i="39"/>
  <c r="DC111" i="39"/>
  <c r="DR264" i="6"/>
  <c r="O92" i="66"/>
  <c r="N92" i="66"/>
  <c r="DF107" i="39"/>
  <c r="DC107" i="39"/>
  <c r="DC113" i="39"/>
  <c r="DF113" i="39"/>
  <c r="DS230" i="6"/>
  <c r="DS235" i="6"/>
  <c r="AE6" i="33"/>
  <c r="AI6" i="33" s="1"/>
  <c r="S2" i="64"/>
  <c r="BE8" i="33"/>
  <c r="AO8" i="33"/>
  <c r="H46" i="36"/>
  <c r="H45" i="36"/>
  <c r="H48" i="36"/>
  <c r="H49" i="36"/>
  <c r="H47" i="36"/>
  <c r="D30" i="31"/>
  <c r="DC30" i="39"/>
  <c r="DF30" i="39"/>
  <c r="D21" i="30"/>
  <c r="DE21" i="39"/>
  <c r="DB21" i="39"/>
  <c r="D82" i="31"/>
  <c r="DF82" i="39"/>
  <c r="DC82" i="39"/>
  <c r="O60" i="66"/>
  <c r="N60" i="66"/>
  <c r="D23" i="31"/>
  <c r="DF23" i="39"/>
  <c r="DC23" i="39"/>
  <c r="DS224" i="6"/>
  <c r="DS205" i="6"/>
  <c r="DS203" i="6"/>
  <c r="O29" i="66"/>
  <c r="N29" i="66"/>
  <c r="D62" i="31"/>
  <c r="DC62" i="39"/>
  <c r="DF62" i="39"/>
  <c r="D85" i="30"/>
  <c r="DB85" i="39"/>
  <c r="DE85" i="39"/>
  <c r="O58" i="66"/>
  <c r="N58" i="66"/>
  <c r="D17" i="31"/>
  <c r="DC17" i="39"/>
  <c r="DF17" i="39"/>
  <c r="O37" i="66"/>
  <c r="N37" i="66"/>
  <c r="D66" i="31"/>
  <c r="DC66" i="39"/>
  <c r="DF66" i="39"/>
  <c r="D3" i="30"/>
  <c r="DE3" i="39"/>
  <c r="DB3" i="39"/>
  <c r="O80" i="66"/>
  <c r="N80" i="66"/>
  <c r="D45" i="31"/>
  <c r="DC45" i="39"/>
  <c r="DF45" i="39"/>
  <c r="O25" i="66"/>
  <c r="N25" i="66"/>
  <c r="D16" i="31"/>
  <c r="DC16" i="39"/>
  <c r="DF16" i="39"/>
  <c r="O85" i="66"/>
  <c r="N85" i="66"/>
  <c r="D76" i="31"/>
  <c r="DC76" i="39"/>
  <c r="DF76" i="39"/>
  <c r="DS211" i="6"/>
  <c r="DS190" i="6"/>
  <c r="DS186" i="6"/>
  <c r="N64" i="66"/>
  <c r="O64" i="66"/>
  <c r="D20" i="30"/>
  <c r="DB20" i="39"/>
  <c r="DE20" i="39"/>
  <c r="O38" i="66"/>
  <c r="W7" i="26"/>
  <c r="Y7" i="26" s="1"/>
  <c r="N38" i="66"/>
  <c r="D44" i="31"/>
  <c r="DC44" i="39"/>
  <c r="DF44" i="39"/>
  <c r="O20" i="66"/>
  <c r="N20" i="66"/>
  <c r="O68" i="66"/>
  <c r="N68" i="66"/>
  <c r="R4" i="26"/>
  <c r="D81" i="31"/>
  <c r="DC81" i="39"/>
  <c r="DF81" i="39"/>
  <c r="O48" i="66"/>
  <c r="N48" i="66"/>
  <c r="D59" i="31"/>
  <c r="DC59" i="39"/>
  <c r="DF59" i="39"/>
  <c r="DS221" i="6"/>
  <c r="DS222" i="6"/>
  <c r="DS200" i="6"/>
  <c r="O67" i="66"/>
  <c r="N67" i="66"/>
  <c r="D13" i="30"/>
  <c r="DB13" i="39"/>
  <c r="DE13" i="39"/>
  <c r="N46" i="66"/>
  <c r="O46" i="66"/>
  <c r="D57" i="31"/>
  <c r="DC57" i="39"/>
  <c r="DF57" i="39"/>
  <c r="DS217" i="6"/>
  <c r="DS207" i="6"/>
  <c r="DS182" i="6"/>
  <c r="N71" i="66"/>
  <c r="O71" i="66"/>
  <c r="D16" i="30"/>
  <c r="DB16" i="39"/>
  <c r="DE16" i="39"/>
  <c r="D84" i="31"/>
  <c r="DC84" i="39"/>
  <c r="DF84" i="39"/>
  <c r="O52" i="66"/>
  <c r="N52" i="66"/>
  <c r="D15" i="31"/>
  <c r="DF15" i="39"/>
  <c r="DC15" i="39"/>
  <c r="AE8" i="33"/>
  <c r="AI8" i="33" s="1"/>
  <c r="O83" i="66"/>
  <c r="N83" i="66"/>
  <c r="DS213" i="6"/>
  <c r="DS214" i="6"/>
  <c r="DS192" i="6"/>
  <c r="N28" i="66"/>
  <c r="O28" i="66"/>
  <c r="D70" i="31"/>
  <c r="DC70" i="39"/>
  <c r="DF70" i="39"/>
  <c r="D7" i="30"/>
  <c r="DE7" i="39"/>
  <c r="DB7" i="39"/>
  <c r="D77" i="31"/>
  <c r="DC77" i="39"/>
  <c r="DF77" i="39"/>
  <c r="N50" i="66"/>
  <c r="O50" i="66"/>
  <c r="W8" i="26"/>
  <c r="Y8" i="26" s="1"/>
  <c r="D56" i="31"/>
  <c r="DC56" i="39"/>
  <c r="DF56" i="39"/>
  <c r="N30" i="66"/>
  <c r="O30" i="66"/>
  <c r="D32" i="31"/>
  <c r="DC32" i="39"/>
  <c r="DF32" i="39"/>
  <c r="N82" i="66"/>
  <c r="O82" i="66"/>
  <c r="D47" i="31"/>
  <c r="DF47" i="39"/>
  <c r="DC47" i="39"/>
  <c r="O23" i="66"/>
  <c r="N23" i="66"/>
  <c r="O62" i="66"/>
  <c r="N62" i="66"/>
  <c r="W9" i="26"/>
  <c r="Y9" i="26" s="1"/>
  <c r="D72" i="31"/>
  <c r="DC72" i="39"/>
  <c r="DF72" i="39"/>
  <c r="D6" i="30"/>
  <c r="DB6" i="39"/>
  <c r="DE6" i="39"/>
  <c r="D41" i="31"/>
  <c r="DC41" i="39"/>
  <c r="DF41" i="39"/>
  <c r="O17" i="66"/>
  <c r="N17" i="66"/>
  <c r="D21" i="31"/>
  <c r="DF21" i="39"/>
  <c r="DC21" i="39"/>
  <c r="DS215" i="6"/>
  <c r="DS185" i="6"/>
  <c r="DS183" i="6"/>
  <c r="O66" i="66"/>
  <c r="N66" i="66"/>
  <c r="D10" i="30"/>
  <c r="DE10" i="39"/>
  <c r="DB10" i="39"/>
  <c r="O45" i="66"/>
  <c r="N45" i="66"/>
  <c r="D40" i="31"/>
  <c r="DC40" i="39"/>
  <c r="DF40" i="39"/>
  <c r="O16" i="66"/>
  <c r="N16" i="66"/>
  <c r="DS225" i="6"/>
  <c r="DS226" i="6"/>
  <c r="DS204" i="6"/>
  <c r="O76" i="66"/>
  <c r="N76" i="66"/>
  <c r="D31" i="31"/>
  <c r="DC31" i="39"/>
  <c r="DF31" i="39"/>
  <c r="D78" i="30"/>
  <c r="DB78" i="39"/>
  <c r="DE78" i="39"/>
  <c r="D78" i="31"/>
  <c r="DC78" i="39"/>
  <c r="DF78" i="39"/>
  <c r="O44" i="66"/>
  <c r="N44" i="66"/>
  <c r="D55" i="31"/>
  <c r="DC55" i="39"/>
  <c r="DF55" i="39"/>
  <c r="D35" i="31"/>
  <c r="DF35" i="39"/>
  <c r="DC35" i="39"/>
  <c r="D84" i="30"/>
  <c r="DB84" i="39"/>
  <c r="DE84" i="39"/>
  <c r="N81" i="66"/>
  <c r="O81" i="66"/>
  <c r="D79" i="31"/>
  <c r="DC79" i="39"/>
  <c r="DF79" i="39"/>
  <c r="N59" i="66"/>
  <c r="O59" i="66"/>
  <c r="D18" i="31"/>
  <c r="DF18" i="39"/>
  <c r="DC18" i="39"/>
  <c r="D34" i="31"/>
  <c r="DC34" i="39"/>
  <c r="DF34" i="39"/>
  <c r="O57" i="66"/>
  <c r="N57" i="66"/>
  <c r="D53" i="31"/>
  <c r="DC53" i="39"/>
  <c r="DF53" i="39"/>
  <c r="AE7" i="33"/>
  <c r="AI7" i="33" s="1"/>
  <c r="D27" i="31"/>
  <c r="DF27" i="39"/>
  <c r="DC27" i="39"/>
  <c r="O84" i="66"/>
  <c r="N84" i="66"/>
  <c r="D39" i="31"/>
  <c r="DC39" i="39"/>
  <c r="DF39" i="39"/>
  <c r="O15" i="66"/>
  <c r="N15" i="66"/>
  <c r="DS228" i="6"/>
  <c r="DS218" i="6"/>
  <c r="DS196" i="6"/>
  <c r="N70" i="66"/>
  <c r="O70" i="66"/>
  <c r="D15" i="30"/>
  <c r="DE15" i="39"/>
  <c r="DB15" i="39"/>
  <c r="D5" i="30"/>
  <c r="DE5" i="39"/>
  <c r="DB5" i="39"/>
  <c r="O77" i="66"/>
  <c r="N77" i="66"/>
  <c r="D75" i="31"/>
  <c r="DC75" i="39"/>
  <c r="DF75" i="39"/>
  <c r="O56" i="66"/>
  <c r="N56" i="66"/>
  <c r="D19" i="31"/>
  <c r="DF19" i="39"/>
  <c r="DC19" i="39"/>
  <c r="O32" i="66"/>
  <c r="N32" i="66"/>
  <c r="D63" i="31"/>
  <c r="DC63" i="39"/>
  <c r="DF63" i="39"/>
  <c r="D11" i="30"/>
  <c r="DB11" i="39"/>
  <c r="DE11" i="39"/>
  <c r="N47" i="66"/>
  <c r="O47" i="66"/>
  <c r="D54" i="31"/>
  <c r="DC54" i="39"/>
  <c r="DF54" i="39"/>
  <c r="DS229" i="6"/>
  <c r="DS219" i="6"/>
  <c r="DS198" i="6"/>
  <c r="O72" i="66"/>
  <c r="N72" i="66"/>
  <c r="D14" i="30"/>
  <c r="DB14" i="39"/>
  <c r="DE14" i="39"/>
  <c r="O41" i="66"/>
  <c r="N41" i="66"/>
  <c r="D49" i="31"/>
  <c r="DC49" i="39"/>
  <c r="DF49" i="39"/>
  <c r="N21" i="66"/>
  <c r="O21" i="66"/>
  <c r="D33" i="31"/>
  <c r="DC33" i="39"/>
  <c r="DF33" i="39"/>
  <c r="D74" i="31"/>
  <c r="DC74" i="39"/>
  <c r="DF74" i="39"/>
  <c r="N40" i="66"/>
  <c r="O40" i="66"/>
  <c r="D51" i="31"/>
  <c r="DC51" i="39"/>
  <c r="DF51" i="39"/>
  <c r="DS216" i="6"/>
  <c r="DS206" i="6"/>
  <c r="DS184" i="6"/>
  <c r="O31" i="66"/>
  <c r="N31" i="66"/>
  <c r="D69" i="31"/>
  <c r="DC69" i="39"/>
  <c r="DF69" i="39"/>
  <c r="D77" i="30"/>
  <c r="DB77" i="39"/>
  <c r="DE77" i="39"/>
  <c r="O78" i="66"/>
  <c r="N78" i="66"/>
  <c r="O55" i="66"/>
  <c r="N55" i="66"/>
  <c r="D14" i="31"/>
  <c r="DF14" i="39"/>
  <c r="DC14" i="39"/>
  <c r="AO6" i="33"/>
  <c r="N35" i="66"/>
  <c r="O35" i="66"/>
  <c r="D73" i="31"/>
  <c r="DC73" i="39"/>
  <c r="DF73" i="39"/>
  <c r="N79" i="66"/>
  <c r="O79" i="66"/>
  <c r="D42" i="31"/>
  <c r="DC42" i="39"/>
  <c r="DF42" i="39"/>
  <c r="O18" i="66"/>
  <c r="N18" i="66"/>
  <c r="D24" i="31"/>
  <c r="DC24" i="39"/>
  <c r="DF24" i="39"/>
  <c r="DS227" i="6"/>
  <c r="DS197" i="6"/>
  <c r="DS195" i="6"/>
  <c r="O34" i="66"/>
  <c r="N34" i="66"/>
  <c r="D36" i="31"/>
  <c r="DC36" i="39"/>
  <c r="DF36" i="39"/>
  <c r="D80" i="30"/>
  <c r="DE80" i="39"/>
  <c r="DB80" i="39"/>
  <c r="O53" i="66"/>
  <c r="N53" i="66"/>
  <c r="D22" i="31"/>
  <c r="DC22" i="39"/>
  <c r="DF22" i="39"/>
  <c r="DS212" i="6"/>
  <c r="DS193" i="6"/>
  <c r="DS191" i="6"/>
  <c r="O27" i="66"/>
  <c r="N27" i="66"/>
  <c r="D65" i="31"/>
  <c r="DC65" i="39"/>
  <c r="DF65" i="39"/>
  <c r="D83" i="30"/>
  <c r="DB83" i="39"/>
  <c r="DE83" i="39"/>
  <c r="O39" i="66"/>
  <c r="N39" i="66"/>
  <c r="D61" i="31"/>
  <c r="DC61" i="39"/>
  <c r="DF61" i="39"/>
  <c r="DS208" i="6"/>
  <c r="DS189" i="6"/>
  <c r="DS187" i="6"/>
  <c r="D26" i="31"/>
  <c r="DC26" i="39"/>
  <c r="DF26" i="39"/>
  <c r="AO7" i="33"/>
  <c r="D17" i="30"/>
  <c r="DB17" i="39"/>
  <c r="DE17" i="39"/>
  <c r="N75" i="66"/>
  <c r="O75" i="66"/>
  <c r="D43" i="31"/>
  <c r="DC43" i="39"/>
  <c r="DF43" i="39"/>
  <c r="O19" i="66"/>
  <c r="N19" i="66"/>
  <c r="O63" i="66"/>
  <c r="N63" i="66"/>
  <c r="D19" i="30"/>
  <c r="DB19" i="39"/>
  <c r="DE19" i="39"/>
  <c r="D9" i="30"/>
  <c r="DE9" i="39"/>
  <c r="DB9" i="39"/>
  <c r="O54" i="66"/>
  <c r="N54" i="66"/>
  <c r="D60" i="31"/>
  <c r="DF60" i="39"/>
  <c r="DC60" i="39"/>
  <c r="D29" i="31"/>
  <c r="DF29" i="39"/>
  <c r="DC29" i="39"/>
  <c r="O49" i="66"/>
  <c r="N49" i="66"/>
  <c r="D58" i="31"/>
  <c r="DC58" i="39"/>
  <c r="DF58" i="39"/>
  <c r="DS209" i="6"/>
  <c r="DS210" i="6"/>
  <c r="DS188" i="6"/>
  <c r="O33" i="66"/>
  <c r="N33" i="66"/>
  <c r="D37" i="31"/>
  <c r="DF37" i="39"/>
  <c r="DC37" i="39"/>
  <c r="N74" i="66"/>
  <c r="W10" i="26"/>
  <c r="Y10" i="26" s="1"/>
  <c r="O74" i="66"/>
  <c r="D80" i="31"/>
  <c r="DC80" i="39"/>
  <c r="DF80" i="39"/>
  <c r="N51" i="66"/>
  <c r="O51" i="66"/>
  <c r="D25" i="31"/>
  <c r="DC25" i="39"/>
  <c r="DF25" i="39"/>
  <c r="DS220" i="6"/>
  <c r="DS201" i="6"/>
  <c r="DS199" i="6"/>
  <c r="D85" i="31"/>
  <c r="DC85" i="39"/>
  <c r="DF85" i="39"/>
  <c r="AE9" i="33"/>
  <c r="AI9" i="33" s="1"/>
  <c r="O69" i="66"/>
  <c r="N69" i="66"/>
  <c r="D64" i="31"/>
  <c r="DC64" i="39"/>
  <c r="DF64" i="39"/>
  <c r="D12" i="30"/>
  <c r="DB12" i="39"/>
  <c r="DE12" i="39"/>
  <c r="D38" i="31"/>
  <c r="DC38" i="39"/>
  <c r="DF38" i="39"/>
  <c r="O14" i="66"/>
  <c r="N14" i="66"/>
  <c r="W5" i="26"/>
  <c r="Y5" i="26" s="1"/>
  <c r="D20" i="31"/>
  <c r="DC20" i="39"/>
  <c r="DF20" i="39"/>
  <c r="N73" i="66"/>
  <c r="O73" i="66"/>
  <c r="D68" i="31"/>
  <c r="DC68" i="39"/>
  <c r="DF68" i="39"/>
  <c r="D2" i="30"/>
  <c r="DE2" i="39"/>
  <c r="DB2" i="39"/>
  <c r="AF5" i="33"/>
  <c r="O42" i="66"/>
  <c r="N42" i="66"/>
  <c r="D48" i="31"/>
  <c r="DF48" i="39"/>
  <c r="DC48" i="39"/>
  <c r="N24" i="66"/>
  <c r="O24" i="66"/>
  <c r="O36" i="66"/>
  <c r="N36" i="66"/>
  <c r="D67" i="31"/>
  <c r="DC67" i="39"/>
  <c r="DF67" i="39"/>
  <c r="D4" i="30"/>
  <c r="DB4" i="39"/>
  <c r="DE4" i="39"/>
  <c r="D46" i="31"/>
  <c r="DC46" i="39"/>
  <c r="DF46" i="39"/>
  <c r="O22" i="66"/>
  <c r="N22" i="66"/>
  <c r="N65" i="66"/>
  <c r="O65" i="66"/>
  <c r="D71" i="31"/>
  <c r="DF71" i="39"/>
  <c r="DC71" i="39"/>
  <c r="D8" i="30"/>
  <c r="DB8" i="39"/>
  <c r="DE8" i="39"/>
  <c r="O61" i="66"/>
  <c r="N61" i="66"/>
  <c r="D52" i="31"/>
  <c r="DF52" i="39"/>
  <c r="DC52" i="39"/>
  <c r="Y4" i="26"/>
  <c r="DS223" i="6"/>
  <c r="DS202" i="6"/>
  <c r="DS194" i="6"/>
  <c r="D83" i="31"/>
  <c r="DC83" i="39"/>
  <c r="DF83" i="39"/>
  <c r="O26" i="66"/>
  <c r="N26" i="66"/>
  <c r="W6" i="26"/>
  <c r="Y6" i="26" s="1"/>
  <c r="D28" i="31"/>
  <c r="DC28" i="39"/>
  <c r="DF28" i="39"/>
  <c r="D82" i="30"/>
  <c r="DB82" i="39"/>
  <c r="DE82" i="39"/>
  <c r="O43" i="66"/>
  <c r="N43" i="66"/>
  <c r="D50" i="31"/>
  <c r="DC50" i="39"/>
  <c r="DF50" i="39"/>
  <c r="AX9" i="33"/>
  <c r="AY9" i="33" s="1"/>
  <c r="G3" i="36"/>
  <c r="AQ9" i="33"/>
  <c r="AN9" i="33"/>
  <c r="AR9" i="33" s="1"/>
  <c r="AO9" i="33"/>
  <c r="AM9" i="33"/>
  <c r="F7" i="36" s="1"/>
  <c r="H6" i="36"/>
  <c r="V9" i="33"/>
  <c r="Z9" i="33" s="1"/>
  <c r="U9" i="33"/>
  <c r="F5" i="36" s="1"/>
  <c r="U9" i="35"/>
  <c r="W9" i="35" s="1"/>
  <c r="G4" i="36"/>
  <c r="G8" i="36"/>
  <c r="H8" i="36"/>
  <c r="B13" i="32"/>
  <c r="F32" i="36"/>
  <c r="D11" i="36"/>
  <c r="F53" i="36"/>
  <c r="F53" i="68"/>
  <c r="F32" i="68"/>
  <c r="E11" i="68"/>
  <c r="D11" i="68"/>
  <c r="AA9" i="35"/>
  <c r="AC9" i="35" s="1"/>
  <c r="R6" i="35"/>
  <c r="F6" i="35"/>
  <c r="G6" i="30"/>
  <c r="W6" i="27"/>
  <c r="S3" i="64"/>
  <c r="R3" i="64"/>
  <c r="Q4" i="64"/>
  <c r="BP6" i="39"/>
  <c r="BO6" i="39"/>
  <c r="Y5" i="41"/>
  <c r="X5" i="41"/>
  <c r="BN7" i="39"/>
  <c r="G7" i="64" s="1"/>
  <c r="N7" i="64" s="1"/>
  <c r="W6" i="41"/>
  <c r="K9" i="35"/>
  <c r="D11" i="32"/>
  <c r="O8" i="35"/>
  <c r="C8" i="35"/>
  <c r="BD9" i="33"/>
  <c r="BE9" i="33" s="1"/>
  <c r="L11" i="32"/>
  <c r="T11" i="32"/>
  <c r="AB11" i="32"/>
  <c r="P11" i="32"/>
  <c r="AF11" i="32"/>
  <c r="E7" i="35"/>
  <c r="I10" i="35"/>
  <c r="AS8" i="33"/>
  <c r="H28" i="36"/>
  <c r="H29" i="36"/>
  <c r="H27" i="36"/>
  <c r="Q7" i="35"/>
  <c r="R7" i="35" s="1"/>
  <c r="BJ9" i="33"/>
  <c r="BK9" i="33" s="1"/>
  <c r="X11" i="32"/>
  <c r="H11" i="32"/>
  <c r="B14" i="32" l="1"/>
  <c r="S13" i="32"/>
  <c r="K13" i="32"/>
  <c r="AA13" i="32"/>
  <c r="G13" i="32"/>
  <c r="C13" i="32"/>
  <c r="O13" i="32"/>
  <c r="AE13" i="32"/>
  <c r="W13" i="32"/>
  <c r="DR265" i="6"/>
  <c r="D76" i="30"/>
  <c r="DS232" i="6"/>
  <c r="D25" i="30"/>
  <c r="DS181" i="6"/>
  <c r="D18" i="30"/>
  <c r="DS174" i="6"/>
  <c r="DE75" i="39"/>
  <c r="DS231" i="6"/>
  <c r="O22" i="35"/>
  <c r="D24" i="30"/>
  <c r="DS180" i="6"/>
  <c r="DB22" i="39"/>
  <c r="DS178" i="6"/>
  <c r="D23" i="30"/>
  <c r="DS179" i="6"/>
  <c r="D81" i="30"/>
  <c r="DS237" i="6"/>
  <c r="S5" i="30"/>
  <c r="V11" i="33"/>
  <c r="Z11" i="33" s="1"/>
  <c r="N6" i="30"/>
  <c r="Q6" i="30" s="1"/>
  <c r="R11" i="33"/>
  <c r="S145" i="66"/>
  <c r="H51" i="36"/>
  <c r="BC11" i="33"/>
  <c r="H52" i="36"/>
  <c r="BI11" i="33"/>
  <c r="H50" i="36"/>
  <c r="AW11" i="33"/>
  <c r="AX11" i="33" s="1"/>
  <c r="AY11" i="33" s="1"/>
  <c r="S144" i="66"/>
  <c r="R139" i="66"/>
  <c r="S146" i="66"/>
  <c r="R143" i="66"/>
  <c r="R144" i="66"/>
  <c r="S138" i="66"/>
  <c r="S139" i="66"/>
  <c r="S140" i="66"/>
  <c r="S143" i="66"/>
  <c r="S155" i="66"/>
  <c r="S147" i="66"/>
  <c r="R154" i="66"/>
  <c r="R159" i="66"/>
  <c r="R142" i="66"/>
  <c r="R141" i="66"/>
  <c r="R148" i="66"/>
  <c r="S160" i="66"/>
  <c r="R138" i="66"/>
  <c r="R140" i="66"/>
  <c r="R145" i="66"/>
  <c r="R147" i="66"/>
  <c r="S142" i="66"/>
  <c r="S141" i="66"/>
  <c r="S148" i="66"/>
  <c r="S154" i="66"/>
  <c r="S158" i="66"/>
  <c r="R157" i="66"/>
  <c r="R156" i="66"/>
  <c r="S159" i="66"/>
  <c r="O134" i="66"/>
  <c r="Y18" i="26" s="1"/>
  <c r="R155" i="66"/>
  <c r="S156" i="66"/>
  <c r="R160" i="66"/>
  <c r="R137" i="66"/>
  <c r="S137" i="66"/>
  <c r="R158" i="66"/>
  <c r="S157" i="66"/>
  <c r="BD10" i="33"/>
  <c r="BE10" i="33" s="1"/>
  <c r="G9" i="36"/>
  <c r="AS10" i="33"/>
  <c r="BA12" i="33"/>
  <c r="BB11" i="33"/>
  <c r="AU13" i="33"/>
  <c r="AV12" i="33"/>
  <c r="BJ10" i="33"/>
  <c r="BK10" i="33" s="1"/>
  <c r="G10" i="36"/>
  <c r="BG12" i="33"/>
  <c r="BH11" i="33"/>
  <c r="AD13" i="33"/>
  <c r="AL12" i="33"/>
  <c r="AM11" i="33"/>
  <c r="AQ11" i="33"/>
  <c r="AN11" i="33"/>
  <c r="AR11" i="33" s="1"/>
  <c r="T12" i="33"/>
  <c r="U11" i="33"/>
  <c r="K13" i="33"/>
  <c r="L12" i="33"/>
  <c r="M12" i="33"/>
  <c r="Q12" i="33" s="1"/>
  <c r="P12" i="33"/>
  <c r="N12" i="33"/>
  <c r="B12" i="33"/>
  <c r="C11" i="33"/>
  <c r="D11" i="33"/>
  <c r="H11" i="33" s="1"/>
  <c r="DB24" i="39"/>
  <c r="D114" i="29"/>
  <c r="D114" i="58"/>
  <c r="D116" i="29"/>
  <c r="D116" i="58"/>
  <c r="D104" i="29"/>
  <c r="D104" i="58"/>
  <c r="D113" i="29"/>
  <c r="D113" i="58"/>
  <c r="D99" i="29"/>
  <c r="D99" i="58"/>
  <c r="D107" i="29"/>
  <c r="D107" i="58"/>
  <c r="D121" i="29"/>
  <c r="D121" i="58"/>
  <c r="D108" i="29"/>
  <c r="D108" i="58"/>
  <c r="D102" i="29"/>
  <c r="D102" i="58"/>
  <c r="D98" i="29"/>
  <c r="D98" i="58"/>
  <c r="AF12" i="33"/>
  <c r="D117" i="29"/>
  <c r="D117" i="58"/>
  <c r="D103" i="29"/>
  <c r="D103" i="58"/>
  <c r="R13" i="26"/>
  <c r="R12" i="26"/>
  <c r="AF10" i="33"/>
  <c r="D74" i="30"/>
  <c r="AF11" i="33"/>
  <c r="D100" i="29"/>
  <c r="D100" i="58"/>
  <c r="D110" i="29"/>
  <c r="D110" i="58"/>
  <c r="D105" i="29"/>
  <c r="D105" i="58"/>
  <c r="D101" i="29"/>
  <c r="D101" i="58"/>
  <c r="D118" i="29"/>
  <c r="D118" i="58"/>
  <c r="AE13" i="33"/>
  <c r="AI13" i="33" s="1"/>
  <c r="D109" i="29"/>
  <c r="D109" i="58"/>
  <c r="D106" i="29"/>
  <c r="D106" i="58"/>
  <c r="D111" i="29"/>
  <c r="D111" i="58"/>
  <c r="B15" i="32"/>
  <c r="DB81" i="39"/>
  <c r="DE81" i="39"/>
  <c r="DD114" i="39"/>
  <c r="DA114" i="39"/>
  <c r="DD116" i="39"/>
  <c r="DA116" i="39"/>
  <c r="D96" i="30"/>
  <c r="DB96" i="39"/>
  <c r="DE96" i="39"/>
  <c r="DA104" i="39"/>
  <c r="DD104" i="39"/>
  <c r="DD113" i="39"/>
  <c r="DA113" i="39"/>
  <c r="DD99" i="39"/>
  <c r="DA99" i="39"/>
  <c r="DD109" i="39"/>
  <c r="DA109" i="39"/>
  <c r="DD111" i="39"/>
  <c r="DA111" i="39"/>
  <c r="D86" i="30"/>
  <c r="DB86" i="39"/>
  <c r="DE86" i="39"/>
  <c r="DD108" i="39"/>
  <c r="DA108" i="39"/>
  <c r="D95" i="30"/>
  <c r="DE95" i="39"/>
  <c r="DB95" i="39"/>
  <c r="DD102" i="39"/>
  <c r="DA102" i="39"/>
  <c r="D87" i="30"/>
  <c r="DB87" i="39"/>
  <c r="DE87" i="39"/>
  <c r="DA103" i="39"/>
  <c r="DD103" i="39"/>
  <c r="DE93" i="39"/>
  <c r="DB93" i="39"/>
  <c r="D93" i="30"/>
  <c r="DD107" i="39"/>
  <c r="DA107" i="39"/>
  <c r="DB91" i="39"/>
  <c r="D91" i="30"/>
  <c r="DE91" i="39"/>
  <c r="D88" i="30"/>
  <c r="DB88" i="39"/>
  <c r="DE88" i="39"/>
  <c r="DD110" i="39"/>
  <c r="DA110" i="39"/>
  <c r="DD105" i="39"/>
  <c r="DA105" i="39"/>
  <c r="DA117" i="39"/>
  <c r="DD117" i="39"/>
  <c r="DS266" i="6"/>
  <c r="DS254" i="6"/>
  <c r="DD98" i="39"/>
  <c r="DA98" i="39"/>
  <c r="D89" i="30"/>
  <c r="DB89" i="39"/>
  <c r="DE89" i="39"/>
  <c r="DD106" i="39"/>
  <c r="DA106" i="39"/>
  <c r="R11" i="26"/>
  <c r="D90" i="30"/>
  <c r="DB90" i="39"/>
  <c r="DE90" i="39"/>
  <c r="DA100" i="39"/>
  <c r="DD100" i="39"/>
  <c r="DE94" i="39"/>
  <c r="D94" i="30"/>
  <c r="DB94" i="39"/>
  <c r="D97" i="30"/>
  <c r="DB97" i="39"/>
  <c r="DE97" i="39"/>
  <c r="DA101" i="39"/>
  <c r="DD101" i="39"/>
  <c r="DA118" i="39"/>
  <c r="DD118" i="39"/>
  <c r="DA121" i="39"/>
  <c r="DD121" i="39"/>
  <c r="DB92" i="39"/>
  <c r="DE92" i="39"/>
  <c r="D92" i="30"/>
  <c r="DB75" i="39"/>
  <c r="D75" i="30"/>
  <c r="R10" i="26"/>
  <c r="DB18" i="39"/>
  <c r="DE74" i="39"/>
  <c r="DE25" i="39"/>
  <c r="DB79" i="39"/>
  <c r="DE18" i="39"/>
  <c r="DB74" i="39"/>
  <c r="DB25" i="39"/>
  <c r="DE76" i="39"/>
  <c r="D22" i="30"/>
  <c r="DE23" i="39"/>
  <c r="DB76" i="39"/>
  <c r="R5" i="26"/>
  <c r="D79" i="30"/>
  <c r="DE79" i="39"/>
  <c r="DB23" i="39"/>
  <c r="DE22" i="39"/>
  <c r="DE24" i="39"/>
  <c r="S6" i="29"/>
  <c r="AF6" i="33"/>
  <c r="R7" i="26"/>
  <c r="R5" i="30"/>
  <c r="X9" i="35"/>
  <c r="I49" i="36"/>
  <c r="I46" i="36"/>
  <c r="I48" i="36"/>
  <c r="I45" i="36"/>
  <c r="AD9" i="35"/>
  <c r="R146" i="66"/>
  <c r="D46" i="30"/>
  <c r="DE46" i="39"/>
  <c r="DB46" i="39"/>
  <c r="D43" i="30"/>
  <c r="DB43" i="39"/>
  <c r="DE43" i="39"/>
  <c r="D32" i="30"/>
  <c r="DE32" i="39"/>
  <c r="DB32" i="39"/>
  <c r="D37" i="30"/>
  <c r="DE37" i="39"/>
  <c r="DB37" i="39"/>
  <c r="D41" i="30"/>
  <c r="DB41" i="39"/>
  <c r="DE41" i="39"/>
  <c r="D50" i="30"/>
  <c r="DB50" i="39"/>
  <c r="DE50" i="39"/>
  <c r="AF9" i="33"/>
  <c r="D42" i="30"/>
  <c r="DB42" i="39"/>
  <c r="DE42" i="39"/>
  <c r="R9" i="26"/>
  <c r="D72" i="30"/>
  <c r="DB72" i="39"/>
  <c r="DE72" i="39"/>
  <c r="D48" i="30"/>
  <c r="DB48" i="39"/>
  <c r="DE48" i="39"/>
  <c r="D58" i="30"/>
  <c r="DB58" i="39"/>
  <c r="DE58" i="39"/>
  <c r="D26" i="30"/>
  <c r="DB26" i="39"/>
  <c r="DE26" i="39"/>
  <c r="AF7" i="33"/>
  <c r="D66" i="30"/>
  <c r="DB66" i="39"/>
  <c r="DE66" i="39"/>
  <c r="D55" i="30"/>
  <c r="DB55" i="39"/>
  <c r="DE55" i="39"/>
  <c r="D68" i="30"/>
  <c r="DB68" i="39"/>
  <c r="DE68" i="39"/>
  <c r="D67" i="30"/>
  <c r="DE67" i="39"/>
  <c r="DB67" i="39"/>
  <c r="S4" i="30"/>
  <c r="R4" i="30"/>
  <c r="D45" i="30"/>
  <c r="DB45" i="39"/>
  <c r="DE45" i="39"/>
  <c r="D54" i="30"/>
  <c r="DB54" i="39"/>
  <c r="DE54" i="39"/>
  <c r="D31" i="30"/>
  <c r="DE31" i="39"/>
  <c r="DB31" i="39"/>
  <c r="D56" i="30"/>
  <c r="DB56" i="39"/>
  <c r="DE56" i="39"/>
  <c r="D71" i="30"/>
  <c r="DE71" i="39"/>
  <c r="DB71" i="39"/>
  <c r="R8" i="26"/>
  <c r="D60" i="30"/>
  <c r="DB60" i="39"/>
  <c r="DE60" i="39"/>
  <c r="D63" i="30"/>
  <c r="DB63" i="39"/>
  <c r="DE63" i="39"/>
  <c r="D70" i="30"/>
  <c r="DB70" i="39"/>
  <c r="DE70" i="39"/>
  <c r="D27" i="30"/>
  <c r="DB27" i="39"/>
  <c r="DE27" i="39"/>
  <c r="D57" i="30"/>
  <c r="DB57" i="39"/>
  <c r="DE57" i="39"/>
  <c r="R6" i="26"/>
  <c r="D51" i="30"/>
  <c r="DB51" i="39"/>
  <c r="DE51" i="39"/>
  <c r="D65" i="30"/>
  <c r="DB65" i="39"/>
  <c r="DE65" i="39"/>
  <c r="D64" i="30"/>
  <c r="DB64" i="39"/>
  <c r="DE64" i="39"/>
  <c r="D53" i="30"/>
  <c r="DE53" i="39"/>
  <c r="DB53" i="39"/>
  <c r="D33" i="30"/>
  <c r="DB33" i="39"/>
  <c r="DE33" i="39"/>
  <c r="D73" i="30"/>
  <c r="DB73" i="39"/>
  <c r="DE73" i="39"/>
  <c r="D40" i="30"/>
  <c r="DB40" i="39"/>
  <c r="DE40" i="39"/>
  <c r="D69" i="30"/>
  <c r="DB69" i="39"/>
  <c r="DE69" i="39"/>
  <c r="D29" i="30"/>
  <c r="DE29" i="39"/>
  <c r="DB29" i="39"/>
  <c r="D61" i="30"/>
  <c r="DB61" i="39"/>
  <c r="DE61" i="39"/>
  <c r="D30" i="30"/>
  <c r="DE30" i="39"/>
  <c r="DB30" i="39"/>
  <c r="S3" i="30"/>
  <c r="R3" i="30"/>
  <c r="D47" i="30"/>
  <c r="DB47" i="39"/>
  <c r="DE47" i="39"/>
  <c r="D38" i="30"/>
  <c r="DB38" i="39"/>
  <c r="DE38" i="39"/>
  <c r="AF8" i="33"/>
  <c r="R2" i="30"/>
  <c r="S2" i="30"/>
  <c r="D52" i="30"/>
  <c r="DB52" i="39"/>
  <c r="DE52" i="39"/>
  <c r="D35" i="30"/>
  <c r="DB35" i="39"/>
  <c r="DE35" i="39"/>
  <c r="D39" i="30"/>
  <c r="DB39" i="39"/>
  <c r="DE39" i="39"/>
  <c r="D28" i="30"/>
  <c r="DB28" i="39"/>
  <c r="DE28" i="39"/>
  <c r="D62" i="30"/>
  <c r="DB62" i="39"/>
  <c r="DE62" i="39"/>
  <c r="D59" i="30"/>
  <c r="DB59" i="39"/>
  <c r="DE59" i="39"/>
  <c r="D36" i="30"/>
  <c r="DB36" i="39"/>
  <c r="DE36" i="39"/>
  <c r="D44" i="30"/>
  <c r="DB44" i="39"/>
  <c r="DE44" i="39"/>
  <c r="D34" i="30"/>
  <c r="DB34" i="39"/>
  <c r="DE34" i="39"/>
  <c r="D49" i="30"/>
  <c r="DB49" i="39"/>
  <c r="DE49" i="39"/>
  <c r="H4" i="36"/>
  <c r="G7" i="36"/>
  <c r="G5" i="36"/>
  <c r="U10" i="35"/>
  <c r="I6" i="36"/>
  <c r="E11" i="36"/>
  <c r="G53" i="36"/>
  <c r="G32" i="68"/>
  <c r="G32" i="36"/>
  <c r="G53" i="68"/>
  <c r="AA10" i="35"/>
  <c r="L9" i="35"/>
  <c r="F7" i="35"/>
  <c r="G7" i="30"/>
  <c r="W7" i="27"/>
  <c r="Q5" i="64"/>
  <c r="R4" i="64"/>
  <c r="S4" i="64"/>
  <c r="BO7" i="39"/>
  <c r="BP7" i="39"/>
  <c r="BN8" i="39"/>
  <c r="G8" i="64" s="1"/>
  <c r="N8" i="64" s="1"/>
  <c r="W7" i="41"/>
  <c r="Y6" i="41"/>
  <c r="X6" i="41"/>
  <c r="L12" i="32"/>
  <c r="O9" i="35"/>
  <c r="K10" i="35"/>
  <c r="L10" i="35" s="1"/>
  <c r="AB12" i="32"/>
  <c r="C9" i="35"/>
  <c r="X12" i="32"/>
  <c r="AS9" i="33"/>
  <c r="E8" i="35"/>
  <c r="P12" i="32"/>
  <c r="D12" i="32"/>
  <c r="AF12" i="32"/>
  <c r="I11" i="35"/>
  <c r="Q8" i="35"/>
  <c r="R8" i="35" s="1"/>
  <c r="T12" i="32"/>
  <c r="H12" i="32"/>
  <c r="O15" i="32" l="1"/>
  <c r="AA15" i="32"/>
  <c r="BC14" i="33" s="1"/>
  <c r="BD14" i="33" s="1"/>
  <c r="BE14" i="33" s="1"/>
  <c r="AE15" i="32"/>
  <c r="W15" i="32"/>
  <c r="B16" i="32"/>
  <c r="S15" i="32"/>
  <c r="K15" i="32"/>
  <c r="C15" i="32"/>
  <c r="G15" i="32"/>
  <c r="BD11" i="33"/>
  <c r="BE11" i="33" s="1"/>
  <c r="AE14" i="32"/>
  <c r="W14" i="32"/>
  <c r="S14" i="32"/>
  <c r="J49" i="36" s="1"/>
  <c r="K14" i="32"/>
  <c r="J47" i="36" s="1"/>
  <c r="C14" i="32"/>
  <c r="J45" i="36" s="1"/>
  <c r="O14" i="32"/>
  <c r="J48" i="36" s="1"/>
  <c r="AA14" i="32"/>
  <c r="G14" i="32"/>
  <c r="J46" i="36" s="1"/>
  <c r="H3" i="36"/>
  <c r="D121" i="30"/>
  <c r="DS277" i="6"/>
  <c r="D99" i="30"/>
  <c r="DS255" i="6"/>
  <c r="D115" i="30"/>
  <c r="DS271" i="6"/>
  <c r="D118" i="30"/>
  <c r="DS274" i="6"/>
  <c r="D100" i="30"/>
  <c r="DS256" i="6"/>
  <c r="D116" i="30"/>
  <c r="DS272" i="6"/>
  <c r="D105" i="30"/>
  <c r="DS261" i="6"/>
  <c r="DD120" i="39"/>
  <c r="DR276" i="6"/>
  <c r="D112" i="29"/>
  <c r="DR268" i="6"/>
  <c r="D112" i="30"/>
  <c r="DS268" i="6"/>
  <c r="D114" i="30"/>
  <c r="DS270" i="6"/>
  <c r="D103" i="30"/>
  <c r="DS259" i="6"/>
  <c r="D119" i="30"/>
  <c r="DS275" i="6"/>
  <c r="D111" i="30"/>
  <c r="DS267" i="6"/>
  <c r="D107" i="30"/>
  <c r="DS263" i="6"/>
  <c r="D117" i="30"/>
  <c r="DS273" i="6"/>
  <c r="D104" i="30"/>
  <c r="DS260" i="6"/>
  <c r="D115" i="29"/>
  <c r="DR271" i="6"/>
  <c r="D119" i="29"/>
  <c r="DR275" i="6"/>
  <c r="D102" i="30"/>
  <c r="DS258" i="6"/>
  <c r="D109" i="30"/>
  <c r="DS265" i="6"/>
  <c r="O23" i="35"/>
  <c r="D108" i="30"/>
  <c r="DS264" i="6"/>
  <c r="D113" i="30"/>
  <c r="DS269" i="6"/>
  <c r="D120" i="30"/>
  <c r="DS276" i="6"/>
  <c r="D101" i="30"/>
  <c r="DS257" i="6"/>
  <c r="D106" i="30"/>
  <c r="DS262" i="6"/>
  <c r="AC16" i="33"/>
  <c r="H9" i="36"/>
  <c r="S6" i="30"/>
  <c r="R6" i="30"/>
  <c r="N7" i="30"/>
  <c r="Q7" i="30" s="1"/>
  <c r="DA119" i="39"/>
  <c r="DD119" i="39"/>
  <c r="DD115" i="39"/>
  <c r="D119" i="58"/>
  <c r="T119" i="58" s="1"/>
  <c r="D115" i="58"/>
  <c r="T115" i="58" s="1"/>
  <c r="DA115" i="39"/>
  <c r="DA120" i="39"/>
  <c r="DA112" i="39"/>
  <c r="DD112" i="39"/>
  <c r="D112" i="58"/>
  <c r="U112" i="58" s="1"/>
  <c r="R12" i="33"/>
  <c r="L13" i="32"/>
  <c r="I47" i="36"/>
  <c r="J52" i="36"/>
  <c r="BI13" i="33"/>
  <c r="AW12" i="33"/>
  <c r="AX12" i="33" s="1"/>
  <c r="AY12" i="33" s="1"/>
  <c r="I50" i="36"/>
  <c r="I52" i="36"/>
  <c r="BI12" i="33"/>
  <c r="I51" i="36"/>
  <c r="BC12" i="33"/>
  <c r="J50" i="36"/>
  <c r="AW13" i="33"/>
  <c r="BC13" i="33"/>
  <c r="J51" i="36"/>
  <c r="AS11" i="33"/>
  <c r="BJ11" i="33"/>
  <c r="BK11" i="33" s="1"/>
  <c r="H10" i="36"/>
  <c r="AL13" i="33"/>
  <c r="AM12" i="33"/>
  <c r="AQ12" i="33"/>
  <c r="AN12" i="33"/>
  <c r="AR12" i="33" s="1"/>
  <c r="AO12" i="33"/>
  <c r="BG13" i="33"/>
  <c r="BH12" i="33"/>
  <c r="AU14" i="33"/>
  <c r="AV14" i="33" s="1"/>
  <c r="AV13" i="33"/>
  <c r="J6" i="36"/>
  <c r="I13" i="35"/>
  <c r="K13" i="35" s="1"/>
  <c r="K6" i="36"/>
  <c r="I14" i="35"/>
  <c r="BA13" i="33"/>
  <c r="BB12" i="33"/>
  <c r="AA12" i="35" s="1"/>
  <c r="T13" i="33"/>
  <c r="U12" i="33"/>
  <c r="V12" i="33"/>
  <c r="Z12" i="33" s="1"/>
  <c r="M13" i="33"/>
  <c r="Q13" i="33" s="1"/>
  <c r="L13" i="33"/>
  <c r="J4" i="36" s="1"/>
  <c r="N13" i="33"/>
  <c r="P13" i="33"/>
  <c r="B13" i="33"/>
  <c r="C12" i="33"/>
  <c r="D12" i="33"/>
  <c r="H12" i="33" s="1"/>
  <c r="AC10" i="35"/>
  <c r="AD10" i="35" s="1"/>
  <c r="W10" i="35"/>
  <c r="X10" i="35" s="1"/>
  <c r="T118" i="58"/>
  <c r="U118" i="58"/>
  <c r="U100" i="58"/>
  <c r="T100" i="58"/>
  <c r="U103" i="58"/>
  <c r="T103" i="58"/>
  <c r="T107" i="58"/>
  <c r="U107" i="58"/>
  <c r="U99" i="58"/>
  <c r="T99" i="58"/>
  <c r="U113" i="58"/>
  <c r="T113" i="58"/>
  <c r="T116" i="58"/>
  <c r="U116" i="58"/>
  <c r="D120" i="29"/>
  <c r="D120" i="58"/>
  <c r="T109" i="58"/>
  <c r="U109" i="58"/>
  <c r="T110" i="58"/>
  <c r="U110" i="58"/>
  <c r="T117" i="58"/>
  <c r="U117" i="58"/>
  <c r="M12" i="26"/>
  <c r="O12" i="26" s="1"/>
  <c r="U98" i="58"/>
  <c r="T98" i="58"/>
  <c r="U101" i="58"/>
  <c r="T101" i="58"/>
  <c r="T121" i="58"/>
  <c r="U121" i="58"/>
  <c r="T104" i="58"/>
  <c r="U104" i="58"/>
  <c r="T114" i="58"/>
  <c r="U114" i="58"/>
  <c r="D98" i="30"/>
  <c r="AF13" i="33"/>
  <c r="D110" i="30"/>
  <c r="U111" i="58"/>
  <c r="T111" i="58"/>
  <c r="U106" i="58"/>
  <c r="T106" i="58"/>
  <c r="T105" i="58"/>
  <c r="U105" i="58"/>
  <c r="U102" i="58"/>
  <c r="T102" i="58"/>
  <c r="T108" i="58"/>
  <c r="U108" i="58"/>
  <c r="H14" i="32"/>
  <c r="X14" i="32"/>
  <c r="AF15" i="32"/>
  <c r="L14" i="32"/>
  <c r="AB14" i="32"/>
  <c r="AF14" i="32"/>
  <c r="D14" i="32"/>
  <c r="T14" i="32"/>
  <c r="P14" i="32"/>
  <c r="DE102" i="39"/>
  <c r="DB102" i="39"/>
  <c r="DB109" i="39"/>
  <c r="DE109" i="39"/>
  <c r="DE111" i="39"/>
  <c r="DB111" i="39"/>
  <c r="DE107" i="39"/>
  <c r="DB107" i="39"/>
  <c r="DE117" i="39"/>
  <c r="DB117" i="39"/>
  <c r="DB108" i="39"/>
  <c r="DE108" i="39"/>
  <c r="DE113" i="39"/>
  <c r="DB113" i="39"/>
  <c r="DE120" i="39"/>
  <c r="DB120" i="39"/>
  <c r="DE112" i="39"/>
  <c r="DB112" i="39"/>
  <c r="DB101" i="39"/>
  <c r="DE101" i="39"/>
  <c r="DE103" i="39"/>
  <c r="DB103" i="39"/>
  <c r="DE104" i="39"/>
  <c r="DB104" i="39"/>
  <c r="DB121" i="39"/>
  <c r="DE121" i="39"/>
  <c r="DB99" i="39"/>
  <c r="DE99" i="39"/>
  <c r="DE115" i="39"/>
  <c r="DB115" i="39"/>
  <c r="DE118" i="39"/>
  <c r="DB118" i="39"/>
  <c r="DB100" i="39"/>
  <c r="DE100" i="39"/>
  <c r="DB98" i="39"/>
  <c r="DE98" i="39"/>
  <c r="DE110" i="39"/>
  <c r="DB110" i="39"/>
  <c r="DB116" i="39"/>
  <c r="DE116" i="39"/>
  <c r="DE114" i="39"/>
  <c r="DB114" i="39"/>
  <c r="DB119" i="39"/>
  <c r="DE119" i="39"/>
  <c r="DE105" i="39"/>
  <c r="DB105" i="39"/>
  <c r="DE106" i="39"/>
  <c r="DB106" i="39"/>
  <c r="W8" i="27"/>
  <c r="S7" i="29"/>
  <c r="D5" i="32"/>
  <c r="B17" i="32"/>
  <c r="I12" i="35"/>
  <c r="T13" i="32"/>
  <c r="D13" i="32"/>
  <c r="X13" i="32"/>
  <c r="I8" i="36"/>
  <c r="H7" i="36"/>
  <c r="I4" i="36"/>
  <c r="H5" i="36"/>
  <c r="U11" i="35"/>
  <c r="W11" i="35" s="1"/>
  <c r="P13" i="32"/>
  <c r="H13" i="32"/>
  <c r="AF13" i="32"/>
  <c r="AB13" i="32"/>
  <c r="H32" i="36"/>
  <c r="F11" i="68"/>
  <c r="F11" i="36"/>
  <c r="H53" i="36"/>
  <c r="H32" i="68"/>
  <c r="I53" i="68"/>
  <c r="H53" i="68"/>
  <c r="AA11" i="35"/>
  <c r="AC11" i="35" s="1"/>
  <c r="F8" i="35"/>
  <c r="G8" i="30"/>
  <c r="Q6" i="64"/>
  <c r="S5" i="64"/>
  <c r="R5" i="64"/>
  <c r="BP8" i="39"/>
  <c r="BO8" i="39"/>
  <c r="X7" i="41"/>
  <c r="Y7" i="41"/>
  <c r="BN9" i="39"/>
  <c r="G9" i="64" s="1"/>
  <c r="N9" i="64" s="1"/>
  <c r="W8" i="41"/>
  <c r="C10" i="35"/>
  <c r="E9" i="35"/>
  <c r="K11" i="35"/>
  <c r="O10" i="35"/>
  <c r="Q9" i="35"/>
  <c r="O24" i="35"/>
  <c r="AA16" i="32" l="1"/>
  <c r="S16" i="32"/>
  <c r="T16" i="32" s="1"/>
  <c r="C16" i="32"/>
  <c r="D16" i="32" s="1"/>
  <c r="W16" i="32"/>
  <c r="O16" i="32"/>
  <c r="P16" i="32" s="1"/>
  <c r="AE16" i="32"/>
  <c r="K16" i="32"/>
  <c r="L16" i="32" s="1"/>
  <c r="G16" i="32"/>
  <c r="H16" i="32" s="1"/>
  <c r="P15" i="32"/>
  <c r="P17" i="32"/>
  <c r="I3" i="36"/>
  <c r="AU16" i="33"/>
  <c r="U115" i="58"/>
  <c r="R7" i="30"/>
  <c r="S7" i="30"/>
  <c r="N8" i="30"/>
  <c r="Q8" i="30" s="1"/>
  <c r="U119" i="58"/>
  <c r="T112" i="58"/>
  <c r="M13" i="26"/>
  <c r="O13" i="26" s="1"/>
  <c r="R13" i="33"/>
  <c r="J53" i="36"/>
  <c r="K51" i="36"/>
  <c r="K49" i="36"/>
  <c r="K48" i="36"/>
  <c r="K46" i="36"/>
  <c r="D15" i="32"/>
  <c r="D17" i="32" s="1"/>
  <c r="K45" i="36"/>
  <c r="AW14" i="33"/>
  <c r="K50" i="36"/>
  <c r="BI14" i="33"/>
  <c r="K52" i="36"/>
  <c r="K47" i="36"/>
  <c r="AS12" i="33"/>
  <c r="AD11" i="35"/>
  <c r="K8" i="36"/>
  <c r="U14" i="35"/>
  <c r="AX14" i="33"/>
  <c r="BD12" i="33"/>
  <c r="BE12" i="33" s="1"/>
  <c r="I9" i="36"/>
  <c r="BJ12" i="33"/>
  <c r="BK12" i="33" s="1"/>
  <c r="I10" i="36"/>
  <c r="BB13" i="33"/>
  <c r="BG14" i="33"/>
  <c r="BH13" i="33"/>
  <c r="K14" i="35"/>
  <c r="I34" i="35"/>
  <c r="K34" i="35" s="1"/>
  <c r="I33" i="35"/>
  <c r="K33" i="35" s="1"/>
  <c r="AX13" i="33"/>
  <c r="U13" i="35"/>
  <c r="W13" i="35" s="1"/>
  <c r="J8" i="36"/>
  <c r="AM13" i="33"/>
  <c r="AQ13" i="33"/>
  <c r="AN13" i="33"/>
  <c r="AR13" i="33" s="1"/>
  <c r="AO13" i="33"/>
  <c r="T14" i="33"/>
  <c r="T15" i="33" s="1"/>
  <c r="T16" i="33" s="1"/>
  <c r="U13" i="33"/>
  <c r="V13" i="33"/>
  <c r="Z13" i="33" s="1"/>
  <c r="W13" i="33"/>
  <c r="K4" i="36"/>
  <c r="B14" i="33"/>
  <c r="D13" i="33"/>
  <c r="H13" i="33" s="1"/>
  <c r="C13" i="33"/>
  <c r="S8" i="29"/>
  <c r="X11" i="35"/>
  <c r="K12" i="35"/>
  <c r="L12" i="35" s="1"/>
  <c r="Y158" i="58"/>
  <c r="Z158" i="58"/>
  <c r="T120" i="58"/>
  <c r="U120" i="58"/>
  <c r="X15" i="32"/>
  <c r="L15" i="32"/>
  <c r="L17" i="32" s="1"/>
  <c r="AB15" i="32"/>
  <c r="H15" i="32"/>
  <c r="T15" i="32"/>
  <c r="W9" i="27"/>
  <c r="I53" i="36"/>
  <c r="I7" i="36"/>
  <c r="I5" i="36"/>
  <c r="U12" i="35"/>
  <c r="G11" i="68"/>
  <c r="G11" i="36"/>
  <c r="AC12" i="35"/>
  <c r="R9" i="35"/>
  <c r="L11" i="35"/>
  <c r="F9" i="35"/>
  <c r="G9" i="30"/>
  <c r="R6" i="64"/>
  <c r="S6" i="64"/>
  <c r="Q7" i="64"/>
  <c r="BO9" i="39"/>
  <c r="BP9" i="39"/>
  <c r="BN10" i="39"/>
  <c r="G10" i="64" s="1"/>
  <c r="N10" i="64" s="1"/>
  <c r="W9" i="41"/>
  <c r="X8" i="41"/>
  <c r="Y8" i="41"/>
  <c r="E10" i="35"/>
  <c r="Q10" i="35"/>
  <c r="R10" i="35" s="1"/>
  <c r="O25" i="35"/>
  <c r="O11" i="35"/>
  <c r="C11" i="35"/>
  <c r="E6" i="72" l="1"/>
  <c r="H6" i="72" s="1"/>
  <c r="BI15" i="33"/>
  <c r="BJ15" i="33" s="1"/>
  <c r="BK15" i="33" s="1"/>
  <c r="AF16" i="32"/>
  <c r="AE17" i="32" s="1"/>
  <c r="P43" i="32"/>
  <c r="P44" i="32" s="1"/>
  <c r="P45" i="32" s="1"/>
  <c r="P46" i="32" s="1"/>
  <c r="P47" i="32" s="1"/>
  <c r="P48" i="32" s="1"/>
  <c r="P49" i="32" s="1"/>
  <c r="P50" i="32" s="1"/>
  <c r="P51" i="32" s="1"/>
  <c r="P52" i="32" s="1"/>
  <c r="BC15" i="33"/>
  <c r="BD15" i="33" s="1"/>
  <c r="BE15" i="33" s="1"/>
  <c r="AB16" i="32"/>
  <c r="AB17" i="32" s="1"/>
  <c r="AW15" i="33"/>
  <c r="AX15" i="33" s="1"/>
  <c r="AY15" i="33" s="1"/>
  <c r="X16" i="32"/>
  <c r="X17" i="32" s="1"/>
  <c r="J3" i="36"/>
  <c r="K27" i="35"/>
  <c r="K26" i="35" s="1"/>
  <c r="K25" i="35" s="1"/>
  <c r="K24" i="35" s="1"/>
  <c r="K23" i="35" s="1"/>
  <c r="K22" i="35" s="1"/>
  <c r="K21" i="35" s="1"/>
  <c r="K20" i="35" s="1"/>
  <c r="K19" i="35" s="1"/>
  <c r="Z159" i="58"/>
  <c r="Y159" i="58"/>
  <c r="R8" i="30"/>
  <c r="S8" i="30"/>
  <c r="N9" i="30"/>
  <c r="Q9" i="30" s="1"/>
  <c r="K53" i="36"/>
  <c r="AY14" i="33"/>
  <c r="AX16" i="33"/>
  <c r="H17" i="32"/>
  <c r="T17" i="32"/>
  <c r="K17" i="32"/>
  <c r="AS13" i="33"/>
  <c r="BD13" i="33"/>
  <c r="BE13" i="33" s="1"/>
  <c r="J9" i="36"/>
  <c r="AA13" i="35"/>
  <c r="AC13" i="35" s="1"/>
  <c r="W14" i="35"/>
  <c r="U34" i="35"/>
  <c r="U33" i="35"/>
  <c r="W33" i="35" s="1"/>
  <c r="BA16" i="33"/>
  <c r="O13" i="35"/>
  <c r="Q13" i="35" s="1"/>
  <c r="J7" i="36"/>
  <c r="AY13" i="33"/>
  <c r="BJ13" i="33"/>
  <c r="BK13" i="33" s="1"/>
  <c r="J10" i="36"/>
  <c r="BH14" i="33"/>
  <c r="BJ14" i="33" s="1"/>
  <c r="BG16" i="33"/>
  <c r="J5" i="36"/>
  <c r="C13" i="35"/>
  <c r="E13" i="35" s="1"/>
  <c r="C14" i="33"/>
  <c r="B16" i="33"/>
  <c r="L28" i="35" a="1"/>
  <c r="L28" i="35" s="1"/>
  <c r="L27" i="35" a="1"/>
  <c r="L27" i="35" s="1"/>
  <c r="L30" i="35" a="1"/>
  <c r="L30" i="35" s="1"/>
  <c r="L14" i="35"/>
  <c r="AD13" i="35"/>
  <c r="L13" i="35"/>
  <c r="W10" i="27"/>
  <c r="S9" i="29"/>
  <c r="L23" i="35" a="1"/>
  <c r="L23" i="35" s="1"/>
  <c r="L22" i="35" a="1"/>
  <c r="L22" i="35" s="1"/>
  <c r="L19" i="35" a="1"/>
  <c r="L19" i="35" s="1"/>
  <c r="L20" i="35" a="1"/>
  <c r="L20" i="35" s="1"/>
  <c r="L25" i="35" a="1"/>
  <c r="L25" i="35" s="1"/>
  <c r="L21" i="35" a="1"/>
  <c r="L21" i="35" s="1"/>
  <c r="L24" i="35" a="1"/>
  <c r="L24" i="35" s="1"/>
  <c r="AD12" i="35"/>
  <c r="L26" i="35" a="1"/>
  <c r="L26" i="35" s="1"/>
  <c r="W12" i="35"/>
  <c r="W34" i="35"/>
  <c r="H11" i="68"/>
  <c r="H11" i="36"/>
  <c r="I11" i="68"/>
  <c r="O12" i="35"/>
  <c r="Q12" i="35" s="1"/>
  <c r="C12" i="35"/>
  <c r="F10" i="35"/>
  <c r="S10" i="29"/>
  <c r="G10" i="30"/>
  <c r="Q8" i="64"/>
  <c r="S7" i="64"/>
  <c r="R7" i="64"/>
  <c r="BP10" i="39"/>
  <c r="BO10" i="39"/>
  <c r="Y9" i="41"/>
  <c r="X9" i="41"/>
  <c r="BN11" i="39"/>
  <c r="G11" i="64" s="1"/>
  <c r="N11" i="64" s="1"/>
  <c r="W10" i="41"/>
  <c r="Q11" i="35"/>
  <c r="E11" i="35"/>
  <c r="K3" i="36" l="1"/>
  <c r="U28" i="35"/>
  <c r="G17" i="32"/>
  <c r="O27" i="35"/>
  <c r="V28" i="35"/>
  <c r="W17" i="32"/>
  <c r="AW16" i="33" s="1"/>
  <c r="AY16" i="33" s="1"/>
  <c r="U30" i="35" s="1"/>
  <c r="AA17" i="32"/>
  <c r="BC16" i="33" s="1"/>
  <c r="R9" i="30"/>
  <c r="S9" i="30"/>
  <c r="N10" i="30"/>
  <c r="Q10" i="30" s="1"/>
  <c r="BO16" i="33"/>
  <c r="BQ16" i="33" s="1"/>
  <c r="BK14" i="33"/>
  <c r="S17" i="32"/>
  <c r="J11" i="36"/>
  <c r="K10" i="36"/>
  <c r="K7" i="36"/>
  <c r="O14" i="35"/>
  <c r="AA14" i="35"/>
  <c r="K9" i="36"/>
  <c r="C14" i="35"/>
  <c r="K5" i="36"/>
  <c r="AD28" i="35" a="1"/>
  <c r="AD28" i="35" s="1"/>
  <c r="AD30" i="35" a="1"/>
  <c r="AD30" i="35" s="1"/>
  <c r="R13" i="35"/>
  <c r="X14" i="35"/>
  <c r="X13" i="35"/>
  <c r="AL16" i="33"/>
  <c r="AQ16" i="33" s="1"/>
  <c r="AS16" i="33" s="1"/>
  <c r="Q123" i="29"/>
  <c r="T43" i="32"/>
  <c r="T44" i="32" s="1"/>
  <c r="T45" i="32" s="1"/>
  <c r="T46" i="32" s="1"/>
  <c r="T47" i="32" s="1"/>
  <c r="T48" i="32" s="1"/>
  <c r="T49" i="32" s="1"/>
  <c r="T50" i="32" s="1"/>
  <c r="T51" i="32" s="1"/>
  <c r="T52" i="32" s="1"/>
  <c r="W11" i="27"/>
  <c r="O26" i="35"/>
  <c r="X12" i="35"/>
  <c r="W30" i="35"/>
  <c r="I11" i="36"/>
  <c r="R12" i="35"/>
  <c r="E12" i="35"/>
  <c r="K30" i="35"/>
  <c r="R11" i="35"/>
  <c r="F11" i="35"/>
  <c r="G11" i="30"/>
  <c r="R8" i="64"/>
  <c r="S8" i="64"/>
  <c r="Q9" i="64"/>
  <c r="BO11" i="39"/>
  <c r="BP11" i="39"/>
  <c r="X10" i="41"/>
  <c r="Y10" i="41"/>
  <c r="BN12" i="39"/>
  <c r="G12" i="64" s="1"/>
  <c r="N12" i="64" s="1"/>
  <c r="W11" i="41"/>
  <c r="E12" i="72" l="1"/>
  <c r="H12" i="72" s="1"/>
  <c r="E5" i="72"/>
  <c r="H5" i="72" s="1"/>
  <c r="O28" i="35"/>
  <c r="M8" i="68"/>
  <c r="C26" i="67"/>
  <c r="R10" i="30"/>
  <c r="S10" i="30"/>
  <c r="N11" i="30"/>
  <c r="Q11" i="30" s="1"/>
  <c r="M10" i="68"/>
  <c r="M10" i="36"/>
  <c r="M8" i="36"/>
  <c r="AB43" i="32"/>
  <c r="AB44" i="32" s="1"/>
  <c r="AB45" i="32" s="1"/>
  <c r="AB46" i="32" s="1"/>
  <c r="AB47" i="32" s="1"/>
  <c r="AB48" i="32" s="1"/>
  <c r="AB49" i="32" s="1"/>
  <c r="AB50" i="32" s="1"/>
  <c r="AB51" i="32" s="1"/>
  <c r="AB52" i="32" s="1"/>
  <c r="V30" i="35"/>
  <c r="F26" i="67" s="1"/>
  <c r="R30" i="35" a="1"/>
  <c r="R30" i="35" s="1"/>
  <c r="R23" i="35" a="1"/>
  <c r="R23" i="35" s="1"/>
  <c r="R24" i="35" a="1"/>
  <c r="R24" i="35" s="1"/>
  <c r="R28" i="35" a="1"/>
  <c r="R28" i="35" s="1"/>
  <c r="R25" i="35" a="1"/>
  <c r="R25" i="35" s="1"/>
  <c r="R27" i="35" a="1"/>
  <c r="R27" i="35" s="1"/>
  <c r="X30" i="35" a="1"/>
  <c r="X30" i="35" s="1"/>
  <c r="X28" i="35" a="1"/>
  <c r="X28" i="35" s="1"/>
  <c r="K11" i="36"/>
  <c r="Q14" i="35"/>
  <c r="O34" i="35"/>
  <c r="Q34" i="35" s="1"/>
  <c r="O33" i="35"/>
  <c r="Q33" i="35" s="1"/>
  <c r="AC14" i="35"/>
  <c r="AA34" i="35"/>
  <c r="AC34" i="35" s="1"/>
  <c r="AA33" i="35"/>
  <c r="AC33" i="35" s="1"/>
  <c r="BD16" i="33"/>
  <c r="BE16" i="33" s="1"/>
  <c r="M7" i="68"/>
  <c r="C19" i="68" s="1"/>
  <c r="E19" i="68" s="1"/>
  <c r="M7" i="36"/>
  <c r="C25" i="67"/>
  <c r="O30" i="35"/>
  <c r="E14" i="35"/>
  <c r="C34" i="35"/>
  <c r="E34" i="35" s="1"/>
  <c r="C33" i="35"/>
  <c r="E33" i="35" s="1"/>
  <c r="F13" i="35"/>
  <c r="S11" i="29"/>
  <c r="F12" i="35"/>
  <c r="F24" i="35" s="1" a="1"/>
  <c r="F24" i="35" s="1"/>
  <c r="W12" i="27"/>
  <c r="R20" i="35" a="1"/>
  <c r="R20" i="35" s="1"/>
  <c r="R19" i="35" a="1"/>
  <c r="R19" i="35" s="1"/>
  <c r="R22" i="35" a="1"/>
  <c r="R22" i="35" s="1"/>
  <c r="R21" i="35" a="1"/>
  <c r="R21" i="35" s="1"/>
  <c r="C17" i="32"/>
  <c r="R26" i="35" a="1"/>
  <c r="R26" i="35" s="1"/>
  <c r="G12" i="30"/>
  <c r="Q10" i="64"/>
  <c r="S9" i="64"/>
  <c r="R9" i="64"/>
  <c r="BP12" i="39"/>
  <c r="BO12" i="39"/>
  <c r="X11" i="41"/>
  <c r="Y11" i="41"/>
  <c r="BN13" i="39"/>
  <c r="G13" i="64" s="1"/>
  <c r="N13" i="64" s="1"/>
  <c r="W12" i="41"/>
  <c r="AA28" i="35" l="1"/>
  <c r="F23" i="35" a="1"/>
  <c r="F23" i="35" s="1"/>
  <c r="M30" i="36"/>
  <c r="M30" i="68"/>
  <c r="S11" i="30"/>
  <c r="R11" i="30"/>
  <c r="N12" i="30"/>
  <c r="Q12" i="30" s="1"/>
  <c r="L43" i="32"/>
  <c r="L44" i="32" s="1"/>
  <c r="L45" i="32" s="1"/>
  <c r="L46" i="32" s="1"/>
  <c r="L47" i="32" s="1"/>
  <c r="L48" i="32" s="1"/>
  <c r="L49" i="32" s="1"/>
  <c r="L50" i="32" s="1"/>
  <c r="L51" i="32" s="1"/>
  <c r="L52" i="32" s="1"/>
  <c r="K42" i="32"/>
  <c r="F22" i="35" a="1"/>
  <c r="F22" i="35" s="1"/>
  <c r="F20" i="35" a="1"/>
  <c r="F20" i="35" s="1"/>
  <c r="E27" i="35"/>
  <c r="E26" i="35" s="1"/>
  <c r="E25" i="35" s="1"/>
  <c r="E24" i="35" s="1"/>
  <c r="E23" i="35" s="1"/>
  <c r="E22" i="35" s="1"/>
  <c r="E21" i="35" s="1"/>
  <c r="E20" i="35" s="1"/>
  <c r="E19" i="35" s="1"/>
  <c r="F19" i="35" a="1"/>
  <c r="F19" i="35" s="1"/>
  <c r="H43" i="32"/>
  <c r="H44" i="32" s="1"/>
  <c r="H45" i="32" s="1"/>
  <c r="H46" i="32" s="1"/>
  <c r="H47" i="32" s="1"/>
  <c r="H48" i="32" s="1"/>
  <c r="H49" i="32" s="1"/>
  <c r="H50" i="32" s="1"/>
  <c r="H51" i="32" s="1"/>
  <c r="H52" i="32" s="1"/>
  <c r="X43" i="32"/>
  <c r="X44" i="32" s="1"/>
  <c r="X45" i="32" s="1"/>
  <c r="X46" i="32" s="1"/>
  <c r="X47" i="32" s="1"/>
  <c r="X48" i="32" s="1"/>
  <c r="X49" i="32" s="1"/>
  <c r="X50" i="32" s="1"/>
  <c r="X51" i="32" s="1"/>
  <c r="X52" i="32" s="1"/>
  <c r="AA42" i="32"/>
  <c r="AA43" i="32" s="1"/>
  <c r="AA44" i="32" s="1"/>
  <c r="AA45" i="32" s="1"/>
  <c r="AA46" i="32" s="1"/>
  <c r="AA47" i="32" s="1"/>
  <c r="AA48" i="32" s="1"/>
  <c r="AA49" i="32" s="1"/>
  <c r="AA50" i="32" s="1"/>
  <c r="AA51" i="32" s="1"/>
  <c r="AA52" i="32" s="1"/>
  <c r="AF43" i="32"/>
  <c r="AF44" i="32" s="1"/>
  <c r="AF45" i="32" s="1"/>
  <c r="AF46" i="32" s="1"/>
  <c r="AF47" i="32" s="1"/>
  <c r="AF48" i="32" s="1"/>
  <c r="AF49" i="32" s="1"/>
  <c r="AF50" i="32" s="1"/>
  <c r="AF51" i="32" s="1"/>
  <c r="AF52" i="32" s="1"/>
  <c r="C19" i="36"/>
  <c r="E19" i="36" s="1"/>
  <c r="Q124" i="29"/>
  <c r="F26" i="35" a="1"/>
  <c r="F26" i="35" s="1"/>
  <c r="F25" i="35" a="1"/>
  <c r="F25" i="35" s="1"/>
  <c r="F14" i="35"/>
  <c r="F21" i="35" a="1"/>
  <c r="F21" i="35" s="1"/>
  <c r="F27" i="35" a="1"/>
  <c r="F27" i="35" s="1"/>
  <c r="F28" i="35" a="1"/>
  <c r="F28" i="35" s="1"/>
  <c r="F30" i="35" a="1"/>
  <c r="F30" i="35" s="1"/>
  <c r="S12" i="29"/>
  <c r="AD14" i="35"/>
  <c r="AE28" i="35"/>
  <c r="AE30" i="35" s="1"/>
  <c r="R14" i="35"/>
  <c r="M9" i="36"/>
  <c r="M9" i="68"/>
  <c r="C21" i="68" s="1"/>
  <c r="E21" i="68" s="1"/>
  <c r="AA30" i="35"/>
  <c r="C27" i="67"/>
  <c r="C20" i="68"/>
  <c r="E20" i="68" s="1"/>
  <c r="AA23" i="32"/>
  <c r="S23" i="32"/>
  <c r="G23" i="32"/>
  <c r="S42" i="32"/>
  <c r="S43" i="32" s="1"/>
  <c r="S44" i="32" s="1"/>
  <c r="S45" i="32" s="1"/>
  <c r="S46" i="32" s="1"/>
  <c r="S47" i="32" s="1"/>
  <c r="S48" i="32" s="1"/>
  <c r="S49" i="32" s="1"/>
  <c r="S50" i="32" s="1"/>
  <c r="S51" i="32" s="1"/>
  <c r="S52" i="32" s="1"/>
  <c r="W13" i="27"/>
  <c r="C20" i="36"/>
  <c r="E26" i="67"/>
  <c r="E25" i="67"/>
  <c r="G13" i="30"/>
  <c r="Q11" i="64"/>
  <c r="R10" i="64"/>
  <c r="S10" i="64"/>
  <c r="BO13" i="39"/>
  <c r="BP13" i="39"/>
  <c r="BN14" i="39"/>
  <c r="G14" i="64" s="1"/>
  <c r="N14" i="64" s="1"/>
  <c r="W13" i="41"/>
  <c r="Y12" i="41"/>
  <c r="X12" i="41"/>
  <c r="AE23" i="32" l="1"/>
  <c r="E30" i="35"/>
  <c r="S12" i="30"/>
  <c r="R12" i="30"/>
  <c r="N13" i="30"/>
  <c r="Q13" i="30" s="1"/>
  <c r="W23" i="32"/>
  <c r="L50" i="36" s="1"/>
  <c r="W42" i="32"/>
  <c r="W43" i="32" s="1"/>
  <c r="W44" i="32" s="1"/>
  <c r="W45" i="32" s="1"/>
  <c r="W46" i="32" s="1"/>
  <c r="W47" i="32" s="1"/>
  <c r="W48" i="32" s="1"/>
  <c r="W49" i="32" s="1"/>
  <c r="W50" i="32" s="1"/>
  <c r="W51" i="32" s="1"/>
  <c r="W52" i="32" s="1"/>
  <c r="E27" i="67"/>
  <c r="D43" i="32"/>
  <c r="D44" i="32" s="1"/>
  <c r="D45" i="32" s="1"/>
  <c r="D46" i="32" s="1"/>
  <c r="D47" i="32" s="1"/>
  <c r="D48" i="32" s="1"/>
  <c r="D49" i="32" s="1"/>
  <c r="D50" i="32" s="1"/>
  <c r="D51" i="32" s="1"/>
  <c r="D52" i="32" s="1"/>
  <c r="G42" i="32"/>
  <c r="G43" i="32" s="1"/>
  <c r="G44" i="32" s="1"/>
  <c r="G45" i="32" s="1"/>
  <c r="G46" i="32" s="1"/>
  <c r="G47" i="32" s="1"/>
  <c r="G48" i="32" s="1"/>
  <c r="G49" i="32" s="1"/>
  <c r="G50" i="32" s="1"/>
  <c r="G51" i="32" s="1"/>
  <c r="G52" i="32" s="1"/>
  <c r="C62" i="36"/>
  <c r="C21" i="36"/>
  <c r="E21" i="36" s="1"/>
  <c r="L52" i="68"/>
  <c r="L52" i="36"/>
  <c r="L51" i="68"/>
  <c r="L51" i="36"/>
  <c r="L49" i="36"/>
  <c r="L49" i="68"/>
  <c r="L46" i="36"/>
  <c r="L46" i="68"/>
  <c r="Q125" i="29"/>
  <c r="S13" i="29"/>
  <c r="AB28" i="35"/>
  <c r="P28" i="35"/>
  <c r="T23" i="32"/>
  <c r="AF23" i="32"/>
  <c r="AB23" i="32"/>
  <c r="H23" i="32"/>
  <c r="AA24" i="32"/>
  <c r="AA25" i="32" s="1"/>
  <c r="S24" i="32"/>
  <c r="C23" i="32"/>
  <c r="W14" i="27"/>
  <c r="C22" i="36"/>
  <c r="E22" i="36" s="1"/>
  <c r="C22" i="68"/>
  <c r="E22" i="68" s="1"/>
  <c r="C65" i="68" s="1"/>
  <c r="C39" i="68"/>
  <c r="C39" i="36"/>
  <c r="E20" i="36"/>
  <c r="S14" i="29"/>
  <c r="G14" i="30"/>
  <c r="S11" i="64"/>
  <c r="R11" i="64"/>
  <c r="Q12" i="64"/>
  <c r="BO14" i="39"/>
  <c r="BP14" i="39"/>
  <c r="BN15" i="39"/>
  <c r="G15" i="64" s="1"/>
  <c r="N15" i="64" s="1"/>
  <c r="W14" i="41"/>
  <c r="X13" i="41"/>
  <c r="Y13" i="41"/>
  <c r="E51" i="35" l="1"/>
  <c r="X23" i="32"/>
  <c r="L50" i="68"/>
  <c r="S13" i="30"/>
  <c r="R13" i="30"/>
  <c r="N14" i="30"/>
  <c r="Q14" i="30" s="1"/>
  <c r="W24" i="32"/>
  <c r="W25" i="32" s="1"/>
  <c r="AE42" i="32"/>
  <c r="AE43" i="32" s="1"/>
  <c r="AE44" i="32" s="1"/>
  <c r="AE45" i="32" s="1"/>
  <c r="AE46" i="32" s="1"/>
  <c r="AE47" i="32" s="1"/>
  <c r="AE48" i="32" s="1"/>
  <c r="AE49" i="32" s="1"/>
  <c r="AE50" i="32" s="1"/>
  <c r="AE51" i="32" s="1"/>
  <c r="AE52" i="32" s="1"/>
  <c r="G24" i="32"/>
  <c r="G25" i="32" s="1"/>
  <c r="C42" i="32"/>
  <c r="C43" i="32" s="1"/>
  <c r="C65" i="36"/>
  <c r="C64" i="36"/>
  <c r="C63" i="36"/>
  <c r="M51" i="36"/>
  <c r="M51" i="68"/>
  <c r="L45" i="36"/>
  <c r="L45" i="68"/>
  <c r="S25" i="32"/>
  <c r="M49" i="36"/>
  <c r="M49" i="68"/>
  <c r="Q126" i="29"/>
  <c r="Q26" i="35"/>
  <c r="P27" i="35"/>
  <c r="P30" i="35"/>
  <c r="F25" i="67" s="1"/>
  <c r="D23" i="32"/>
  <c r="AB24" i="32"/>
  <c r="T24" i="32"/>
  <c r="H24" i="32"/>
  <c r="W15" i="27"/>
  <c r="G15" i="30"/>
  <c r="Q13" i="64"/>
  <c r="R12" i="64"/>
  <c r="S12" i="64"/>
  <c r="BO15" i="39"/>
  <c r="BP15" i="39"/>
  <c r="BN16" i="39"/>
  <c r="G16" i="64" s="1"/>
  <c r="N16" i="64" s="1"/>
  <c r="W15" i="41"/>
  <c r="Y14" i="41"/>
  <c r="X14" i="41"/>
  <c r="C25" i="72" l="1"/>
  <c r="D25" i="72" s="1"/>
  <c r="C23" i="72"/>
  <c r="D23" i="72" s="1"/>
  <c r="E50" i="35"/>
  <c r="E62" i="36"/>
  <c r="E64" i="36"/>
  <c r="E62" i="68"/>
  <c r="E64" i="68"/>
  <c r="M46" i="36"/>
  <c r="M46" i="68"/>
  <c r="S14" i="30"/>
  <c r="R14" i="30"/>
  <c r="M50" i="68"/>
  <c r="X24" i="32"/>
  <c r="N15" i="30"/>
  <c r="Q15" i="30" s="1"/>
  <c r="AE24" i="32"/>
  <c r="M50" i="36"/>
  <c r="Q127" i="29"/>
  <c r="S15" i="29"/>
  <c r="M29" i="36"/>
  <c r="C38" i="36" s="1"/>
  <c r="M29" i="68"/>
  <c r="C38" i="68" s="1"/>
  <c r="Q25" i="35"/>
  <c r="P26" i="35"/>
  <c r="W16" i="27"/>
  <c r="G16" i="30"/>
  <c r="Q14" i="64"/>
  <c r="S13" i="64"/>
  <c r="R13" i="64"/>
  <c r="BP16" i="39"/>
  <c r="BO16" i="39"/>
  <c r="Y15" i="41"/>
  <c r="X15" i="41"/>
  <c r="BN17" i="39"/>
  <c r="G17" i="64" s="1"/>
  <c r="N17" i="64" s="1"/>
  <c r="W16" i="41"/>
  <c r="C20" i="72" l="1"/>
  <c r="D20" i="72" s="1"/>
  <c r="C24" i="72"/>
  <c r="D24" i="72" s="1"/>
  <c r="E49" i="35"/>
  <c r="E59" i="36"/>
  <c r="E63" i="36"/>
  <c r="E59" i="68"/>
  <c r="E63" i="68"/>
  <c r="S15" i="30"/>
  <c r="R15" i="30"/>
  <c r="N16" i="30"/>
  <c r="Q16" i="30" s="1"/>
  <c r="AE25" i="32"/>
  <c r="AF24" i="32"/>
  <c r="M52" i="36"/>
  <c r="M52" i="68"/>
  <c r="Q128" i="29"/>
  <c r="Q24" i="35"/>
  <c r="P25" i="35"/>
  <c r="S16" i="29"/>
  <c r="W17" i="27"/>
  <c r="G17" i="30"/>
  <c r="Q15" i="64"/>
  <c r="R14" i="64"/>
  <c r="S14" i="64"/>
  <c r="BO17" i="39"/>
  <c r="BP17" i="39"/>
  <c r="Y16" i="41"/>
  <c r="X16" i="41"/>
  <c r="BN18" i="39"/>
  <c r="G18" i="64" s="1"/>
  <c r="N18" i="64" s="1"/>
  <c r="W17" i="41"/>
  <c r="C26" i="72" l="1"/>
  <c r="D26" i="72" s="1"/>
  <c r="E48" i="35"/>
  <c r="E65" i="36"/>
  <c r="E65" i="68"/>
  <c r="S16" i="30"/>
  <c r="R16" i="30"/>
  <c r="N17" i="30"/>
  <c r="Q17" i="30" s="1"/>
  <c r="Q129" i="29"/>
  <c r="Q23" i="35"/>
  <c r="P24" i="35"/>
  <c r="S17" i="29"/>
  <c r="W18" i="27"/>
  <c r="G18" i="30"/>
  <c r="Q16" i="64"/>
  <c r="S15" i="64"/>
  <c r="R15" i="64"/>
  <c r="BP18" i="39"/>
  <c r="BO18" i="39"/>
  <c r="Y17" i="41"/>
  <c r="X17" i="41"/>
  <c r="BN19" i="39"/>
  <c r="G19" i="64" s="1"/>
  <c r="N19" i="64" s="1"/>
  <c r="W18" i="41"/>
  <c r="E47" i="35" l="1"/>
  <c r="S17" i="30"/>
  <c r="R17" i="30"/>
  <c r="N18" i="30"/>
  <c r="Q18" i="30" s="1"/>
  <c r="Q130" i="29"/>
  <c r="P23" i="35"/>
  <c r="Q22" i="35"/>
  <c r="S18" i="29"/>
  <c r="W19" i="27"/>
  <c r="G19" i="30"/>
  <c r="R16" i="64"/>
  <c r="S16" i="64"/>
  <c r="Q17" i="64"/>
  <c r="BO19" i="39"/>
  <c r="BP19" i="39"/>
  <c r="BN20" i="39"/>
  <c r="G20" i="64" s="1"/>
  <c r="N20" i="64" s="1"/>
  <c r="W19" i="41"/>
  <c r="Y18" i="41"/>
  <c r="X18" i="41"/>
  <c r="E46" i="35" l="1"/>
  <c r="S18" i="30"/>
  <c r="R18" i="30"/>
  <c r="N19" i="30"/>
  <c r="Q19" i="30" s="1"/>
  <c r="Q131" i="29"/>
  <c r="P22" i="35"/>
  <c r="Q21" i="35"/>
  <c r="S19" i="29"/>
  <c r="G20" i="30"/>
  <c r="W20" i="27"/>
  <c r="Q18" i="64"/>
  <c r="S17" i="64"/>
  <c r="R17" i="64"/>
  <c r="BO20" i="39"/>
  <c r="BP20" i="39"/>
  <c r="BN21" i="39"/>
  <c r="G21" i="64" s="1"/>
  <c r="N21" i="64" s="1"/>
  <c r="W20" i="41"/>
  <c r="Y19" i="41"/>
  <c r="X19" i="41"/>
  <c r="E45" i="35" l="1"/>
  <c r="R19" i="30"/>
  <c r="S19" i="30"/>
  <c r="N20" i="30"/>
  <c r="Q20" i="30" s="1"/>
  <c r="Q132" i="29"/>
  <c r="P21" i="35"/>
  <c r="Q20" i="35"/>
  <c r="S20" i="29"/>
  <c r="W21" i="27"/>
  <c r="G21" i="30"/>
  <c r="Q19" i="64"/>
  <c r="R18" i="64"/>
  <c r="S18" i="64"/>
  <c r="BO21" i="39"/>
  <c r="BP21" i="39"/>
  <c r="BN22" i="39"/>
  <c r="G22" i="64" s="1"/>
  <c r="N22" i="64" s="1"/>
  <c r="W21" i="41"/>
  <c r="X20" i="41"/>
  <c r="Y20" i="41"/>
  <c r="E44" i="35" l="1"/>
  <c r="R20" i="30"/>
  <c r="S20" i="30"/>
  <c r="N21" i="30"/>
  <c r="Q21" i="30" s="1"/>
  <c r="J134" i="29"/>
  <c r="Q134" i="29" s="1"/>
  <c r="Q133" i="29"/>
  <c r="K23" i="32"/>
  <c r="P20" i="35"/>
  <c r="Q19" i="35"/>
  <c r="S21" i="29"/>
  <c r="W22" i="27"/>
  <c r="G22" i="30"/>
  <c r="Q20" i="64"/>
  <c r="S19" i="64"/>
  <c r="R19" i="64"/>
  <c r="BP22" i="39"/>
  <c r="BO22" i="39"/>
  <c r="Y21" i="41"/>
  <c r="X21" i="41"/>
  <c r="BN23" i="39"/>
  <c r="G23" i="64" s="1"/>
  <c r="N23" i="64" s="1"/>
  <c r="W22" i="41"/>
  <c r="E43" i="35" l="1"/>
  <c r="R21" i="30"/>
  <c r="S21" i="30"/>
  <c r="N22" i="30"/>
  <c r="Q22" i="30" s="1"/>
  <c r="K43" i="32"/>
  <c r="J135" i="29"/>
  <c r="Q135" i="29" s="1"/>
  <c r="L47" i="68"/>
  <c r="L47" i="36"/>
  <c r="L23" i="32"/>
  <c r="S22" i="29"/>
  <c r="P19" i="35"/>
  <c r="E42" i="35" s="1"/>
  <c r="W23" i="27"/>
  <c r="S23" i="29"/>
  <c r="G23" i="30"/>
  <c r="Q21" i="64"/>
  <c r="R20" i="64"/>
  <c r="S20" i="64"/>
  <c r="BO23" i="39"/>
  <c r="BP23" i="39"/>
  <c r="Y22" i="41"/>
  <c r="X22" i="41"/>
  <c r="BN24" i="39"/>
  <c r="G24" i="64" s="1"/>
  <c r="N24" i="64" s="1"/>
  <c r="W23" i="41"/>
  <c r="R22" i="30" l="1"/>
  <c r="S22" i="30"/>
  <c r="N23" i="30"/>
  <c r="Q23" i="30" s="1"/>
  <c r="J136" i="29"/>
  <c r="Q136" i="29" s="1"/>
  <c r="K44" i="32"/>
  <c r="W24" i="27"/>
  <c r="G24" i="30"/>
  <c r="Q22" i="64"/>
  <c r="S21" i="64"/>
  <c r="R21" i="64"/>
  <c r="BP24" i="39"/>
  <c r="BO24" i="39"/>
  <c r="Y23" i="41"/>
  <c r="X23" i="41"/>
  <c r="BN25" i="39"/>
  <c r="G25" i="64" s="1"/>
  <c r="N25" i="64" s="1"/>
  <c r="W24" i="41"/>
  <c r="S23" i="30" l="1"/>
  <c r="R23" i="30"/>
  <c r="N24" i="30"/>
  <c r="Q24" i="30" s="1"/>
  <c r="K45" i="32"/>
  <c r="J137" i="29"/>
  <c r="Q137" i="29" s="1"/>
  <c r="W25" i="27"/>
  <c r="S24" i="29"/>
  <c r="G25" i="30"/>
  <c r="Q23" i="64"/>
  <c r="R22" i="64"/>
  <c r="S22" i="64"/>
  <c r="BO25" i="39"/>
  <c r="BP25" i="39"/>
  <c r="BN26" i="39"/>
  <c r="G26" i="64" s="1"/>
  <c r="N26" i="64" s="1"/>
  <c r="W25" i="41"/>
  <c r="Y24" i="41"/>
  <c r="X24" i="41"/>
  <c r="S24" i="30" l="1"/>
  <c r="R24" i="30"/>
  <c r="N25" i="30"/>
  <c r="Q25" i="30" s="1"/>
  <c r="K46" i="32"/>
  <c r="J138" i="29"/>
  <c r="Q138" i="29" s="1"/>
  <c r="S25" i="29"/>
  <c r="W26" i="27"/>
  <c r="S26" i="29"/>
  <c r="G26" i="30"/>
  <c r="S23" i="64"/>
  <c r="R23" i="64"/>
  <c r="Q24" i="64"/>
  <c r="BO26" i="39"/>
  <c r="BP26" i="39"/>
  <c r="Y25" i="41"/>
  <c r="X25" i="41"/>
  <c r="BN27" i="39"/>
  <c r="G27" i="64" s="1"/>
  <c r="N27" i="64" s="1"/>
  <c r="W26" i="41"/>
  <c r="S25" i="30" l="1"/>
  <c r="R25" i="30"/>
  <c r="N26" i="30"/>
  <c r="Q26" i="30" s="1"/>
  <c r="J139" i="29"/>
  <c r="Q139" i="29" s="1"/>
  <c r="K47" i="32"/>
  <c r="W27" i="27"/>
  <c r="G27" i="30"/>
  <c r="R24" i="64"/>
  <c r="S24" i="64"/>
  <c r="Q25" i="64"/>
  <c r="BO27" i="39"/>
  <c r="BP27" i="39"/>
  <c r="BN28" i="39"/>
  <c r="G28" i="64" s="1"/>
  <c r="N28" i="64" s="1"/>
  <c r="W27" i="41"/>
  <c r="X26" i="41"/>
  <c r="Y26" i="41"/>
  <c r="R26" i="30" l="1"/>
  <c r="S26" i="30"/>
  <c r="N27" i="30"/>
  <c r="Q27" i="30" s="1"/>
  <c r="K48" i="32"/>
  <c r="J140" i="29"/>
  <c r="Q140" i="29" s="1"/>
  <c r="W28" i="27"/>
  <c r="S27" i="29"/>
  <c r="G28" i="30"/>
  <c r="S25" i="64"/>
  <c r="R25" i="64"/>
  <c r="Q26" i="64"/>
  <c r="BP28" i="39"/>
  <c r="BO28" i="39"/>
  <c r="BN29" i="39"/>
  <c r="G29" i="64" s="1"/>
  <c r="N29" i="64" s="1"/>
  <c r="W28" i="41"/>
  <c r="Y27" i="41"/>
  <c r="X27" i="41"/>
  <c r="R27" i="30" l="1"/>
  <c r="S27" i="30"/>
  <c r="N28" i="30"/>
  <c r="Q28" i="30" s="1"/>
  <c r="K49" i="32"/>
  <c r="J141" i="29"/>
  <c r="Q141" i="29" s="1"/>
  <c r="S28" i="29"/>
  <c r="W29" i="27"/>
  <c r="G29" i="30"/>
  <c r="R26" i="64"/>
  <c r="S26" i="64"/>
  <c r="Q27" i="64"/>
  <c r="BO29" i="39"/>
  <c r="BP29" i="39"/>
  <c r="BN30" i="39"/>
  <c r="G30" i="64" s="1"/>
  <c r="N30" i="64" s="1"/>
  <c r="W29" i="41"/>
  <c r="X28" i="41"/>
  <c r="Y28" i="41"/>
  <c r="S28" i="30" l="1"/>
  <c r="R28" i="30"/>
  <c r="N29" i="30"/>
  <c r="Q29" i="30" s="1"/>
  <c r="K50" i="32"/>
  <c r="J142" i="29"/>
  <c r="Q142" i="29" s="1"/>
  <c r="S29" i="29"/>
  <c r="W30" i="27"/>
  <c r="G30" i="30"/>
  <c r="S27" i="64"/>
  <c r="R27" i="64"/>
  <c r="Q28" i="64"/>
  <c r="BP30" i="39"/>
  <c r="BO30" i="39"/>
  <c r="X29" i="41"/>
  <c r="Y29" i="41"/>
  <c r="BN31" i="39"/>
  <c r="G31" i="64" s="1"/>
  <c r="N31" i="64" s="1"/>
  <c r="W30" i="41"/>
  <c r="S29" i="30" l="1"/>
  <c r="R29" i="30"/>
  <c r="N30" i="30"/>
  <c r="Q30" i="30" s="1"/>
  <c r="K51" i="32"/>
  <c r="J143" i="29"/>
  <c r="Q143" i="29" s="1"/>
  <c r="S30" i="29"/>
  <c r="W31" i="27"/>
  <c r="S31" i="29"/>
  <c r="G31" i="30"/>
  <c r="R28" i="64"/>
  <c r="S28" i="64"/>
  <c r="Q29" i="64"/>
  <c r="BO31" i="39"/>
  <c r="BP31" i="39"/>
  <c r="BN32" i="39"/>
  <c r="G32" i="64" s="1"/>
  <c r="N32" i="64" s="1"/>
  <c r="W31" i="41"/>
  <c r="X30" i="41"/>
  <c r="Y30" i="41"/>
  <c r="S30" i="30" l="1"/>
  <c r="R30" i="30"/>
  <c r="N31" i="30"/>
  <c r="Q31" i="30" s="1"/>
  <c r="J144" i="29"/>
  <c r="Q144" i="29" s="1"/>
  <c r="K52" i="32"/>
  <c r="K24" i="32" s="1"/>
  <c r="K25" i="32" s="1"/>
  <c r="W32" i="27"/>
  <c r="G32" i="30"/>
  <c r="S29" i="64"/>
  <c r="R29" i="64"/>
  <c r="Q30" i="64"/>
  <c r="BP32" i="39"/>
  <c r="BO32" i="39"/>
  <c r="BN33" i="39"/>
  <c r="G33" i="64" s="1"/>
  <c r="N33" i="64" s="1"/>
  <c r="W32" i="41"/>
  <c r="Y31" i="41"/>
  <c r="X31" i="41"/>
  <c r="S31" i="30" l="1"/>
  <c r="R31" i="30"/>
  <c r="N32" i="30"/>
  <c r="Q32" i="30" s="1"/>
  <c r="J145" i="29"/>
  <c r="Q145" i="29" s="1"/>
  <c r="S32" i="29"/>
  <c r="W33" i="27"/>
  <c r="G33" i="30"/>
  <c r="Q31" i="64"/>
  <c r="S30" i="64"/>
  <c r="R30" i="64"/>
  <c r="BO33" i="39"/>
  <c r="BP33" i="39"/>
  <c r="X32" i="41"/>
  <c r="Y32" i="41"/>
  <c r="BN34" i="39"/>
  <c r="G34" i="64" s="1"/>
  <c r="N34" i="64" s="1"/>
  <c r="W33" i="41"/>
  <c r="S32" i="30" l="1"/>
  <c r="R32" i="30"/>
  <c r="N33" i="30"/>
  <c r="Q33" i="30" s="1"/>
  <c r="M47" i="68"/>
  <c r="L24" i="32"/>
  <c r="M47" i="36"/>
  <c r="S33" i="29"/>
  <c r="W34" i="27"/>
  <c r="G34" i="30"/>
  <c r="Q32" i="64"/>
  <c r="S31" i="64"/>
  <c r="R31" i="64"/>
  <c r="BO34" i="39"/>
  <c r="BP34" i="39"/>
  <c r="BN35" i="39"/>
  <c r="G35" i="64" s="1"/>
  <c r="N35" i="64" s="1"/>
  <c r="W34" i="41"/>
  <c r="X33" i="41"/>
  <c r="Y33" i="41"/>
  <c r="C21" i="72" l="1"/>
  <c r="D21" i="72" s="1"/>
  <c r="E60" i="36"/>
  <c r="E60" i="68"/>
  <c r="S33" i="30"/>
  <c r="R33" i="30"/>
  <c r="N34" i="30"/>
  <c r="Q34" i="30" s="1"/>
  <c r="W35" i="27"/>
  <c r="S34" i="29"/>
  <c r="G35" i="30"/>
  <c r="S32" i="64"/>
  <c r="R32" i="64"/>
  <c r="Q33" i="64"/>
  <c r="BO35" i="39"/>
  <c r="BP35" i="39"/>
  <c r="Y34" i="41"/>
  <c r="X34" i="41"/>
  <c r="BN36" i="39"/>
  <c r="G36" i="64" s="1"/>
  <c r="N36" i="64" s="1"/>
  <c r="W35" i="41"/>
  <c r="S34" i="30" l="1"/>
  <c r="R34" i="30"/>
  <c r="N35" i="30"/>
  <c r="Q35" i="30" s="1"/>
  <c r="S35" i="29"/>
  <c r="W36" i="27"/>
  <c r="S36" i="29"/>
  <c r="G36" i="30"/>
  <c r="S33" i="64"/>
  <c r="R33" i="64"/>
  <c r="Q34" i="64"/>
  <c r="BP36" i="39"/>
  <c r="BO36" i="39"/>
  <c r="Y35" i="41"/>
  <c r="X35" i="41"/>
  <c r="BN37" i="39"/>
  <c r="G37" i="64" s="1"/>
  <c r="N37" i="64" s="1"/>
  <c r="W36" i="41"/>
  <c r="S35" i="30" l="1"/>
  <c r="R35" i="30"/>
  <c r="N36" i="30"/>
  <c r="Q36" i="30" s="1"/>
  <c r="W37" i="27"/>
  <c r="S37" i="29"/>
  <c r="G37" i="30"/>
  <c r="Q35" i="64"/>
  <c r="S34" i="64"/>
  <c r="R34" i="64"/>
  <c r="BO37" i="39"/>
  <c r="BP37" i="39"/>
  <c r="Y36" i="41"/>
  <c r="X36" i="41"/>
  <c r="BN38" i="39"/>
  <c r="G38" i="64" s="1"/>
  <c r="N38" i="64" s="1"/>
  <c r="W37" i="41"/>
  <c r="R36" i="30" l="1"/>
  <c r="S36" i="30"/>
  <c r="N37" i="30"/>
  <c r="Q37" i="30" s="1"/>
  <c r="W38" i="27"/>
  <c r="S38" i="29"/>
  <c r="G38" i="30"/>
  <c r="Q36" i="64"/>
  <c r="S35" i="64"/>
  <c r="R35" i="64"/>
  <c r="BP38" i="39"/>
  <c r="BO38" i="39"/>
  <c r="X37" i="41"/>
  <c r="Y37" i="41"/>
  <c r="BN39" i="39"/>
  <c r="G39" i="64" s="1"/>
  <c r="N39" i="64" s="1"/>
  <c r="W38" i="41"/>
  <c r="S37" i="30" l="1"/>
  <c r="R37" i="30"/>
  <c r="N38" i="30"/>
  <c r="Q38" i="30" s="1"/>
  <c r="W39" i="27"/>
  <c r="G39" i="30"/>
  <c r="Q37" i="64"/>
  <c r="S36" i="64"/>
  <c r="R36" i="64"/>
  <c r="BO39" i="39"/>
  <c r="BP39" i="39"/>
  <c r="BN40" i="39"/>
  <c r="G40" i="64" s="1"/>
  <c r="N40" i="64" s="1"/>
  <c r="W39" i="41"/>
  <c r="Y38" i="41"/>
  <c r="X38" i="41"/>
  <c r="S38" i="30" l="1"/>
  <c r="R38" i="30"/>
  <c r="N39" i="30"/>
  <c r="Q39" i="30" s="1"/>
  <c r="S39" i="29"/>
  <c r="W40" i="27"/>
  <c r="G40" i="30"/>
  <c r="S37" i="64"/>
  <c r="R37" i="64"/>
  <c r="Q38" i="64"/>
  <c r="BO40" i="39"/>
  <c r="BP40" i="39"/>
  <c r="Y39" i="41"/>
  <c r="X39" i="41"/>
  <c r="BN41" i="39"/>
  <c r="G41" i="64" s="1"/>
  <c r="N41" i="64" s="1"/>
  <c r="W40" i="41"/>
  <c r="S39" i="30" l="1"/>
  <c r="R39" i="30"/>
  <c r="N40" i="30"/>
  <c r="Q40" i="30" s="1"/>
  <c r="S40" i="29"/>
  <c r="S41" i="29"/>
  <c r="G41" i="30"/>
  <c r="W41" i="27"/>
  <c r="S38" i="64"/>
  <c r="R38" i="64"/>
  <c r="Q39" i="64"/>
  <c r="BO41" i="39"/>
  <c r="BP41" i="39"/>
  <c r="BN42" i="39"/>
  <c r="G42" i="64" s="1"/>
  <c r="N42" i="64" s="1"/>
  <c r="W41" i="41"/>
  <c r="Y40" i="41"/>
  <c r="X40" i="41"/>
  <c r="R40" i="30" l="1"/>
  <c r="S40" i="30"/>
  <c r="N41" i="30"/>
  <c r="Q41" i="30" s="1"/>
  <c r="W42" i="27"/>
  <c r="G42" i="30"/>
  <c r="Q40" i="64"/>
  <c r="S39" i="64"/>
  <c r="R39" i="64"/>
  <c r="BP42" i="39"/>
  <c r="BO42" i="39"/>
  <c r="Y41" i="41"/>
  <c r="X41" i="41"/>
  <c r="BN43" i="39"/>
  <c r="G43" i="64" s="1"/>
  <c r="N43" i="64" s="1"/>
  <c r="W42" i="41"/>
  <c r="S41" i="30" l="1"/>
  <c r="R41" i="30"/>
  <c r="N42" i="30"/>
  <c r="Q42" i="30" s="1"/>
  <c r="W43" i="27"/>
  <c r="S42" i="29"/>
  <c r="G43" i="30"/>
  <c r="Q41" i="64"/>
  <c r="S40" i="64"/>
  <c r="R40" i="64"/>
  <c r="BO43" i="39"/>
  <c r="BP43" i="39"/>
  <c r="BN44" i="39"/>
  <c r="G44" i="64" s="1"/>
  <c r="N44" i="64" s="1"/>
  <c r="W43" i="41"/>
  <c r="Y42" i="41"/>
  <c r="X42" i="41"/>
  <c r="S42" i="30" l="1"/>
  <c r="R42" i="30"/>
  <c r="N43" i="30"/>
  <c r="Q43" i="30" s="1"/>
  <c r="W44" i="27"/>
  <c r="S43" i="29"/>
  <c r="G44" i="30"/>
  <c r="S41" i="64"/>
  <c r="R41" i="64"/>
  <c r="Q42" i="64"/>
  <c r="BP44" i="39"/>
  <c r="BO44" i="39"/>
  <c r="X43" i="41"/>
  <c r="Y43" i="41"/>
  <c r="BN45" i="39"/>
  <c r="G45" i="64" s="1"/>
  <c r="N45" i="64" s="1"/>
  <c r="W44" i="41"/>
  <c r="S43" i="30" l="1"/>
  <c r="R43" i="30"/>
  <c r="N44" i="30"/>
  <c r="Q44" i="30" s="1"/>
  <c r="S44" i="29"/>
  <c r="W45" i="27"/>
  <c r="G45" i="30"/>
  <c r="Q43" i="64"/>
  <c r="S42" i="64"/>
  <c r="R42" i="64"/>
  <c r="BO45" i="39"/>
  <c r="BP45" i="39"/>
  <c r="Y44" i="41"/>
  <c r="X44" i="41"/>
  <c r="BN46" i="39"/>
  <c r="G46" i="64" s="1"/>
  <c r="N46" i="64" s="1"/>
  <c r="W45" i="41"/>
  <c r="R44" i="30" l="1"/>
  <c r="S44" i="30"/>
  <c r="N45" i="30"/>
  <c r="Q45" i="30" s="1"/>
  <c r="C16" i="68"/>
  <c r="C16" i="36"/>
  <c r="W46" i="27"/>
  <c r="S45" i="29"/>
  <c r="G46" i="30"/>
  <c r="Q44" i="64"/>
  <c r="S43" i="64"/>
  <c r="R43" i="64"/>
  <c r="BO46" i="39"/>
  <c r="BP46" i="39"/>
  <c r="BN47" i="39"/>
  <c r="G47" i="64" s="1"/>
  <c r="N47" i="64" s="1"/>
  <c r="W46" i="41"/>
  <c r="Y45" i="41"/>
  <c r="X45" i="41"/>
  <c r="S45" i="30" l="1"/>
  <c r="R45" i="30"/>
  <c r="N46" i="30"/>
  <c r="Q46" i="30" s="1"/>
  <c r="S46" i="29"/>
  <c r="W47" i="27"/>
  <c r="S47" i="29"/>
  <c r="G47" i="30"/>
  <c r="Q45" i="64"/>
  <c r="S44" i="64"/>
  <c r="R44" i="64"/>
  <c r="BO47" i="39"/>
  <c r="BP47" i="39"/>
  <c r="BN48" i="39"/>
  <c r="G48" i="64" s="1"/>
  <c r="N48" i="64" s="1"/>
  <c r="W47" i="41"/>
  <c r="Y46" i="41"/>
  <c r="X46" i="41"/>
  <c r="S46" i="30" l="1"/>
  <c r="R46" i="30"/>
  <c r="N47" i="30"/>
  <c r="Q47" i="30" s="1"/>
  <c r="W48" i="27"/>
  <c r="G48" i="30"/>
  <c r="S45" i="64"/>
  <c r="R45" i="64"/>
  <c r="Q46" i="64"/>
  <c r="BP48" i="39"/>
  <c r="BO48" i="39"/>
  <c r="Y47" i="41"/>
  <c r="X47" i="41"/>
  <c r="BN49" i="39"/>
  <c r="G49" i="64" s="1"/>
  <c r="N49" i="64" s="1"/>
  <c r="W48" i="41"/>
  <c r="R47" i="30" l="1"/>
  <c r="S47" i="30"/>
  <c r="N48" i="30"/>
  <c r="Q48" i="30" s="1"/>
  <c r="S48" i="29"/>
  <c r="W49" i="27"/>
  <c r="G49" i="30"/>
  <c r="S46" i="64"/>
  <c r="R46" i="64"/>
  <c r="Q47" i="64"/>
  <c r="BO49" i="39"/>
  <c r="BP49" i="39"/>
  <c r="Y48" i="41"/>
  <c r="X48" i="41"/>
  <c r="BN50" i="39"/>
  <c r="G50" i="64" s="1"/>
  <c r="N50" i="64" s="1"/>
  <c r="W49" i="41"/>
  <c r="R48" i="30" l="1"/>
  <c r="S48" i="30"/>
  <c r="N49" i="30"/>
  <c r="Q49" i="30" s="1"/>
  <c r="S49" i="29"/>
  <c r="W50" i="27"/>
  <c r="G50" i="30"/>
  <c r="S47" i="64"/>
  <c r="R47" i="64"/>
  <c r="Q48" i="64"/>
  <c r="BP50" i="39"/>
  <c r="BO50" i="39"/>
  <c r="BN51" i="39"/>
  <c r="G51" i="64" s="1"/>
  <c r="N51" i="64" s="1"/>
  <c r="W50" i="41"/>
  <c r="Y49" i="41"/>
  <c r="X49" i="41"/>
  <c r="R49" i="30" l="1"/>
  <c r="S49" i="30"/>
  <c r="N50" i="30"/>
  <c r="Q50" i="30" s="1"/>
  <c r="S50" i="29"/>
  <c r="W51" i="27"/>
  <c r="G51" i="30"/>
  <c r="S48" i="64"/>
  <c r="R48" i="64"/>
  <c r="Q49" i="64"/>
  <c r="BO51" i="39"/>
  <c r="BP51" i="39"/>
  <c r="BN52" i="39"/>
  <c r="G52" i="64" s="1"/>
  <c r="N52" i="64" s="1"/>
  <c r="W51" i="41"/>
  <c r="X50" i="41"/>
  <c r="Y50" i="41"/>
  <c r="S50" i="30" l="1"/>
  <c r="R50" i="30"/>
  <c r="N51" i="30"/>
  <c r="Q51" i="30" s="1"/>
  <c r="S51" i="29"/>
  <c r="W52" i="27"/>
  <c r="G52" i="30"/>
  <c r="S49" i="64"/>
  <c r="R49" i="64"/>
  <c r="Q50" i="64"/>
  <c r="BO52" i="39"/>
  <c r="BP52" i="39"/>
  <c r="BN53" i="39"/>
  <c r="G53" i="64" s="1"/>
  <c r="N53" i="64" s="1"/>
  <c r="W52" i="41"/>
  <c r="Y51" i="41"/>
  <c r="X51" i="41"/>
  <c r="R51" i="30" l="1"/>
  <c r="S51" i="30"/>
  <c r="N52" i="30"/>
  <c r="Q52" i="30" s="1"/>
  <c r="S52" i="29"/>
  <c r="W53" i="27"/>
  <c r="G53" i="30"/>
  <c r="S50" i="64"/>
  <c r="R50" i="64"/>
  <c r="Q51" i="64"/>
  <c r="BO53" i="39"/>
  <c r="BP53" i="39"/>
  <c r="X52" i="41"/>
  <c r="Y52" i="41"/>
  <c r="BN54" i="39"/>
  <c r="G54" i="64" s="1"/>
  <c r="N54" i="64" s="1"/>
  <c r="W53" i="41"/>
  <c r="R52" i="30" l="1"/>
  <c r="S52" i="30"/>
  <c r="N53" i="30"/>
  <c r="Q53" i="30" s="1"/>
  <c r="W54" i="27"/>
  <c r="S53" i="29"/>
  <c r="G54" i="30"/>
  <c r="S51" i="64"/>
  <c r="R51" i="64"/>
  <c r="Q52" i="64"/>
  <c r="BP54" i="39"/>
  <c r="BO54" i="39"/>
  <c r="BN55" i="39"/>
  <c r="G55" i="64" s="1"/>
  <c r="N55" i="64" s="1"/>
  <c r="W54" i="41"/>
  <c r="Y53" i="41"/>
  <c r="X53" i="41"/>
  <c r="S53" i="30" l="1"/>
  <c r="R53" i="30"/>
  <c r="N54" i="30"/>
  <c r="Q54" i="30" s="1"/>
  <c r="W55" i="27"/>
  <c r="S54" i="29"/>
  <c r="G55" i="30"/>
  <c r="Q53" i="64"/>
  <c r="S52" i="64"/>
  <c r="R52" i="64"/>
  <c r="BO55" i="39"/>
  <c r="BP55" i="39"/>
  <c r="BN56" i="39"/>
  <c r="G56" i="64" s="1"/>
  <c r="N56" i="64" s="1"/>
  <c r="W55" i="41"/>
  <c r="X54" i="41"/>
  <c r="Y54" i="41"/>
  <c r="R54" i="30" l="1"/>
  <c r="S54" i="30"/>
  <c r="N55" i="30"/>
  <c r="Q55" i="30" s="1"/>
  <c r="S55" i="29"/>
  <c r="S56" i="29"/>
  <c r="G56" i="30"/>
  <c r="W56" i="27"/>
  <c r="Q54" i="64"/>
  <c r="S53" i="64"/>
  <c r="R53" i="64"/>
  <c r="BP56" i="39"/>
  <c r="BO56" i="39"/>
  <c r="BN57" i="39"/>
  <c r="G57" i="64" s="1"/>
  <c r="N57" i="64" s="1"/>
  <c r="W56" i="41"/>
  <c r="X55" i="41"/>
  <c r="Y55" i="41"/>
  <c r="R55" i="30" l="1"/>
  <c r="S55" i="30"/>
  <c r="N56" i="30"/>
  <c r="Q56" i="30" s="1"/>
  <c r="W57" i="27"/>
  <c r="G57" i="30"/>
  <c r="Q55" i="64"/>
  <c r="S54" i="64"/>
  <c r="R54" i="64"/>
  <c r="BO57" i="39"/>
  <c r="BP57" i="39"/>
  <c r="Y56" i="41"/>
  <c r="X56" i="41"/>
  <c r="BN58" i="39"/>
  <c r="G58" i="64" s="1"/>
  <c r="N58" i="64" s="1"/>
  <c r="W57" i="41"/>
  <c r="S56" i="30" l="1"/>
  <c r="R56" i="30"/>
  <c r="N57" i="30"/>
  <c r="Q57" i="30" s="1"/>
  <c r="S57" i="29"/>
  <c r="W58" i="27"/>
  <c r="G58" i="30"/>
  <c r="Q56" i="64"/>
  <c r="R55" i="64"/>
  <c r="S55" i="64"/>
  <c r="BO58" i="39"/>
  <c r="BP58" i="39"/>
  <c r="BN59" i="39"/>
  <c r="G59" i="64" s="1"/>
  <c r="N59" i="64" s="1"/>
  <c r="W58" i="41"/>
  <c r="X57" i="41"/>
  <c r="Y57" i="41"/>
  <c r="S57" i="30" l="1"/>
  <c r="R57" i="30"/>
  <c r="N58" i="30"/>
  <c r="Q58" i="30" s="1"/>
  <c r="S58" i="29"/>
  <c r="G59" i="30"/>
  <c r="W59" i="27"/>
  <c r="Q57" i="64"/>
  <c r="S56" i="64"/>
  <c r="R56" i="64"/>
  <c r="BO59" i="39"/>
  <c r="BP59" i="39"/>
  <c r="Y58" i="41"/>
  <c r="X58" i="41"/>
  <c r="BN60" i="39"/>
  <c r="G60" i="64" s="1"/>
  <c r="N60" i="64" s="1"/>
  <c r="W59" i="41"/>
  <c r="S58" i="30" l="1"/>
  <c r="R58" i="30"/>
  <c r="N59" i="30"/>
  <c r="Q59" i="30" s="1"/>
  <c r="S59" i="29"/>
  <c r="W60" i="27"/>
  <c r="G60" i="30"/>
  <c r="Q58" i="64"/>
  <c r="R57" i="64"/>
  <c r="S57" i="64"/>
  <c r="BP60" i="39"/>
  <c r="BO60" i="39"/>
  <c r="BN61" i="39"/>
  <c r="G61" i="64" s="1"/>
  <c r="N61" i="64" s="1"/>
  <c r="W60" i="41"/>
  <c r="X59" i="41"/>
  <c r="Y59" i="41"/>
  <c r="S59" i="30" l="1"/>
  <c r="R59" i="30"/>
  <c r="N60" i="30"/>
  <c r="Q60" i="30" s="1"/>
  <c r="S60" i="29"/>
  <c r="W61" i="27"/>
  <c r="G61" i="30"/>
  <c r="Q59" i="64"/>
  <c r="S58" i="64"/>
  <c r="R58" i="64"/>
  <c r="BO61" i="39"/>
  <c r="BP61" i="39"/>
  <c r="BN62" i="39"/>
  <c r="G62" i="64" s="1"/>
  <c r="N62" i="64" s="1"/>
  <c r="W61" i="41"/>
  <c r="Y60" i="41"/>
  <c r="X60" i="41"/>
  <c r="R60" i="30" l="1"/>
  <c r="S60" i="30"/>
  <c r="N61" i="30"/>
  <c r="Q61" i="30" s="1"/>
  <c r="W62" i="27"/>
  <c r="S61" i="29"/>
  <c r="G62" i="30"/>
  <c r="Q60" i="64"/>
  <c r="R59" i="64"/>
  <c r="S59" i="64"/>
  <c r="BP62" i="39"/>
  <c r="BO62" i="39"/>
  <c r="Y61" i="41"/>
  <c r="X61" i="41"/>
  <c r="BN63" i="39"/>
  <c r="G63" i="64" s="1"/>
  <c r="N63" i="64" s="1"/>
  <c r="W62" i="41"/>
  <c r="R61" i="30" l="1"/>
  <c r="S61" i="30"/>
  <c r="N62" i="30"/>
  <c r="Q62" i="30" s="1"/>
  <c r="W63" i="27"/>
  <c r="S62" i="29"/>
  <c r="G63" i="30"/>
  <c r="N63" i="30" s="1"/>
  <c r="S63" i="29"/>
  <c r="Q61" i="64"/>
  <c r="S60" i="64"/>
  <c r="R60" i="64"/>
  <c r="BO63" i="39"/>
  <c r="BP63" i="39"/>
  <c r="BN64" i="39"/>
  <c r="G64" i="64" s="1"/>
  <c r="N64" i="64" s="1"/>
  <c r="W63" i="41"/>
  <c r="X62" i="41"/>
  <c r="Y62" i="41"/>
  <c r="S62" i="30" l="1"/>
  <c r="R62" i="30"/>
  <c r="Q63" i="30"/>
  <c r="S63" i="30" s="1"/>
  <c r="W64" i="27"/>
  <c r="G64" i="30"/>
  <c r="R61" i="64"/>
  <c r="S61" i="64"/>
  <c r="BP64" i="39"/>
  <c r="BO64" i="39"/>
  <c r="Y63" i="41"/>
  <c r="X63" i="41"/>
  <c r="BN65" i="39"/>
  <c r="G65" i="64" s="1"/>
  <c r="N65" i="64" s="1"/>
  <c r="W64" i="41"/>
  <c r="N64" i="30" l="1"/>
  <c r="Q64" i="30" s="1"/>
  <c r="R63" i="30"/>
  <c r="Q62" i="64"/>
  <c r="S62" i="64" s="1"/>
  <c r="S64" i="29"/>
  <c r="W65" i="27"/>
  <c r="G65" i="30"/>
  <c r="N65" i="30" s="1"/>
  <c r="Q63" i="64"/>
  <c r="BO65" i="39"/>
  <c r="BP65" i="39"/>
  <c r="BN66" i="39"/>
  <c r="G66" i="64" s="1"/>
  <c r="N66" i="64" s="1"/>
  <c r="W65" i="41"/>
  <c r="Y64" i="41"/>
  <c r="X64" i="41"/>
  <c r="S64" i="30" l="1"/>
  <c r="R64" i="30"/>
  <c r="Q65" i="30"/>
  <c r="R65" i="30" s="1"/>
  <c r="R62" i="64"/>
  <c r="S65" i="29"/>
  <c r="G66" i="30"/>
  <c r="W66" i="27"/>
  <c r="Q64" i="64"/>
  <c r="R63" i="64"/>
  <c r="S63" i="64"/>
  <c r="BO66" i="39"/>
  <c r="BP66" i="39"/>
  <c r="Y65" i="41"/>
  <c r="X65" i="41"/>
  <c r="BN67" i="39"/>
  <c r="G67" i="64" s="1"/>
  <c r="N67" i="64" s="1"/>
  <c r="W66" i="41"/>
  <c r="N66" i="30" l="1"/>
  <c r="Q66" i="30" s="1"/>
  <c r="S65" i="30"/>
  <c r="S66" i="29"/>
  <c r="W67" i="27"/>
  <c r="G67" i="30"/>
  <c r="N67" i="30" s="1"/>
  <c r="S64" i="64"/>
  <c r="R64" i="64"/>
  <c r="Q65" i="64"/>
  <c r="BO67" i="39"/>
  <c r="BP67" i="39"/>
  <c r="BN68" i="39"/>
  <c r="G68" i="64" s="1"/>
  <c r="N68" i="64" s="1"/>
  <c r="W67" i="41"/>
  <c r="Y66" i="41"/>
  <c r="X66" i="41"/>
  <c r="S66" i="30" l="1"/>
  <c r="R66" i="30"/>
  <c r="Q67" i="30"/>
  <c r="R67" i="30" s="1"/>
  <c r="S67" i="29"/>
  <c r="W68" i="27"/>
  <c r="G68" i="30"/>
  <c r="R65" i="64"/>
  <c r="S65" i="64"/>
  <c r="Q66" i="64"/>
  <c r="BP68" i="39"/>
  <c r="BO68" i="39"/>
  <c r="BN69" i="39"/>
  <c r="G69" i="64" s="1"/>
  <c r="N69" i="64" s="1"/>
  <c r="W68" i="41"/>
  <c r="Y67" i="41"/>
  <c r="X67" i="41"/>
  <c r="N68" i="30" l="1"/>
  <c r="Q68" i="30" s="1"/>
  <c r="S67" i="30"/>
  <c r="S68" i="29"/>
  <c r="W69" i="27"/>
  <c r="G69" i="30"/>
  <c r="N69" i="30" s="1"/>
  <c r="S66" i="64"/>
  <c r="R66" i="64"/>
  <c r="Q67" i="64"/>
  <c r="BO69" i="39"/>
  <c r="BP69" i="39"/>
  <c r="Y68" i="41"/>
  <c r="X68" i="41"/>
  <c r="BN70" i="39"/>
  <c r="G70" i="64" s="1"/>
  <c r="N70" i="64" s="1"/>
  <c r="W69" i="41"/>
  <c r="R68" i="30" l="1"/>
  <c r="S68" i="30"/>
  <c r="Q69" i="30"/>
  <c r="S69" i="30" s="1"/>
  <c r="S69" i="29"/>
  <c r="W70" i="27"/>
  <c r="G70" i="30"/>
  <c r="R67" i="64"/>
  <c r="S67" i="64"/>
  <c r="Q68" i="64"/>
  <c r="BP70" i="39"/>
  <c r="BO70" i="39"/>
  <c r="Y69" i="41"/>
  <c r="X69" i="41"/>
  <c r="BN71" i="39"/>
  <c r="G71" i="64" s="1"/>
  <c r="N71" i="64" s="1"/>
  <c r="W70" i="41"/>
  <c r="N70" i="30" l="1"/>
  <c r="Q70" i="30" s="1"/>
  <c r="R69" i="30"/>
  <c r="S70" i="29"/>
  <c r="W71" i="27"/>
  <c r="G71" i="30"/>
  <c r="N71" i="30" s="1"/>
  <c r="S68" i="64"/>
  <c r="R68" i="64"/>
  <c r="Q69" i="64"/>
  <c r="BO71" i="39"/>
  <c r="BP71" i="39"/>
  <c r="BN72" i="39"/>
  <c r="G72" i="64" s="1"/>
  <c r="N72" i="64" s="1"/>
  <c r="W71" i="41"/>
  <c r="X70" i="41"/>
  <c r="Y70" i="41"/>
  <c r="S70" i="30" l="1"/>
  <c r="R70" i="30"/>
  <c r="Q71" i="30"/>
  <c r="R71" i="30" s="1"/>
  <c r="S71" i="29"/>
  <c r="W72" i="27"/>
  <c r="G72" i="30"/>
  <c r="N72" i="30" s="1"/>
  <c r="R69" i="64"/>
  <c r="S69" i="64"/>
  <c r="Q70" i="64"/>
  <c r="BO72" i="39"/>
  <c r="BP72" i="39"/>
  <c r="X71" i="41"/>
  <c r="Y71" i="41"/>
  <c r="BN73" i="39"/>
  <c r="G73" i="64" s="1"/>
  <c r="N73" i="64" s="1"/>
  <c r="W72" i="41"/>
  <c r="S71" i="30" l="1"/>
  <c r="Q72" i="30"/>
  <c r="S72" i="30" s="1"/>
  <c r="S72" i="29"/>
  <c r="W73" i="27"/>
  <c r="G73" i="30"/>
  <c r="N73" i="30" s="1"/>
  <c r="Q71" i="64"/>
  <c r="S70" i="64"/>
  <c r="R70" i="64"/>
  <c r="BO73" i="39"/>
  <c r="BP73" i="39"/>
  <c r="X72" i="41"/>
  <c r="Y72" i="41"/>
  <c r="BN74" i="39"/>
  <c r="G74" i="64" s="1"/>
  <c r="N74" i="64" s="1"/>
  <c r="W73" i="41"/>
  <c r="R72" i="30" l="1"/>
  <c r="Q73" i="30"/>
  <c r="S73" i="30" s="1"/>
  <c r="W74" i="27"/>
  <c r="S73" i="29"/>
  <c r="G74" i="30"/>
  <c r="R71" i="64"/>
  <c r="S71" i="64"/>
  <c r="Q72" i="64"/>
  <c r="BP74" i="39"/>
  <c r="BO74" i="39"/>
  <c r="Y73" i="41"/>
  <c r="X73" i="41"/>
  <c r="BN75" i="39"/>
  <c r="G75" i="64" s="1"/>
  <c r="N75" i="64" s="1"/>
  <c r="W74" i="41"/>
  <c r="N74" i="30" l="1"/>
  <c r="Q74" i="30" s="1"/>
  <c r="R73" i="30"/>
  <c r="S74" i="29"/>
  <c r="W75" i="27"/>
  <c r="G75" i="30"/>
  <c r="N75" i="30" s="1"/>
  <c r="S72" i="64"/>
  <c r="R72" i="64"/>
  <c r="Q73" i="64"/>
  <c r="BO75" i="39"/>
  <c r="BP75" i="39"/>
  <c r="BN76" i="39"/>
  <c r="G76" i="64" s="1"/>
  <c r="N76" i="64" s="1"/>
  <c r="W75" i="41"/>
  <c r="Y74" i="41"/>
  <c r="X74" i="41"/>
  <c r="R74" i="30" l="1"/>
  <c r="S74" i="30"/>
  <c r="Q75" i="30"/>
  <c r="S75" i="30" s="1"/>
  <c r="W76" i="27"/>
  <c r="S75" i="29"/>
  <c r="G76" i="30"/>
  <c r="R73" i="64"/>
  <c r="S73" i="64"/>
  <c r="Q74" i="64"/>
  <c r="BP76" i="39"/>
  <c r="BO76" i="39"/>
  <c r="BN77" i="39"/>
  <c r="G77" i="64" s="1"/>
  <c r="N77" i="64" s="1"/>
  <c r="W76" i="41"/>
  <c r="X75" i="41"/>
  <c r="Y75" i="41"/>
  <c r="N76" i="30" l="1"/>
  <c r="Q76" i="30" s="1"/>
  <c r="R75" i="30"/>
  <c r="W77" i="27"/>
  <c r="S76" i="29"/>
  <c r="G77" i="30"/>
  <c r="N77" i="30" s="1"/>
  <c r="Q75" i="64"/>
  <c r="S74" i="64"/>
  <c r="R74" i="64"/>
  <c r="BO77" i="39"/>
  <c r="BP77" i="39"/>
  <c r="BN78" i="39"/>
  <c r="G78" i="64" s="1"/>
  <c r="N78" i="64" s="1"/>
  <c r="W77" i="41"/>
  <c r="Y76" i="41"/>
  <c r="X76" i="41"/>
  <c r="R76" i="30" l="1"/>
  <c r="S76" i="30"/>
  <c r="Q77" i="30"/>
  <c r="S77" i="30" s="1"/>
  <c r="S77" i="29"/>
  <c r="G78" i="30"/>
  <c r="W78" i="27"/>
  <c r="S75" i="64"/>
  <c r="R75" i="64"/>
  <c r="Q76" i="64"/>
  <c r="BO78" i="39"/>
  <c r="BP78" i="39"/>
  <c r="X77" i="41"/>
  <c r="Y77" i="41"/>
  <c r="BN79" i="39"/>
  <c r="G79" i="64" s="1"/>
  <c r="N79" i="64" s="1"/>
  <c r="W78" i="41"/>
  <c r="N78" i="30" l="1"/>
  <c r="Q78" i="30" s="1"/>
  <c r="R77" i="30"/>
  <c r="W79" i="27"/>
  <c r="S78" i="29"/>
  <c r="G79" i="30"/>
  <c r="N79" i="30" s="1"/>
  <c r="Q77" i="64"/>
  <c r="S76" i="64"/>
  <c r="R76" i="64"/>
  <c r="BO79" i="39"/>
  <c r="BP79" i="39"/>
  <c r="BN80" i="39"/>
  <c r="G80" i="64" s="1"/>
  <c r="N80" i="64" s="1"/>
  <c r="W79" i="41"/>
  <c r="X78" i="41"/>
  <c r="Y78" i="41"/>
  <c r="S78" i="30" l="1"/>
  <c r="R78" i="30"/>
  <c r="Q79" i="30"/>
  <c r="R79" i="30" s="1"/>
  <c r="S79" i="29"/>
  <c r="W80" i="27"/>
  <c r="G80" i="30"/>
  <c r="N80" i="30" s="1"/>
  <c r="Q78" i="64"/>
  <c r="S77" i="64"/>
  <c r="R77" i="64"/>
  <c r="BP80" i="39"/>
  <c r="BO80" i="39"/>
  <c r="BN81" i="39"/>
  <c r="G81" i="64" s="1"/>
  <c r="N81" i="64" s="1"/>
  <c r="W80" i="41"/>
  <c r="Y79" i="41"/>
  <c r="X79" i="41"/>
  <c r="S79" i="30" l="1"/>
  <c r="Q80" i="30"/>
  <c r="R80" i="30" s="1"/>
  <c r="S80" i="29"/>
  <c r="W81" i="27"/>
  <c r="G81" i="30"/>
  <c r="N81" i="30" s="1"/>
  <c r="S78" i="64"/>
  <c r="R78" i="64"/>
  <c r="Q79" i="64"/>
  <c r="BO81" i="39"/>
  <c r="BP81" i="39"/>
  <c r="BN82" i="39"/>
  <c r="G82" i="64" s="1"/>
  <c r="N82" i="64" s="1"/>
  <c r="W81" i="41"/>
  <c r="Y80" i="41"/>
  <c r="X80" i="41"/>
  <c r="S80" i="30" l="1"/>
  <c r="Q81" i="30"/>
  <c r="S81" i="30" s="1"/>
  <c r="S81" i="29"/>
  <c r="W82" i="27"/>
  <c r="G82" i="30"/>
  <c r="N82" i="30" s="1"/>
  <c r="S79" i="64"/>
  <c r="R79" i="64"/>
  <c r="Q80" i="64"/>
  <c r="BP82" i="39"/>
  <c r="BO82" i="39"/>
  <c r="BN83" i="39"/>
  <c r="G83" i="64" s="1"/>
  <c r="N83" i="64" s="1"/>
  <c r="W82" i="41"/>
  <c r="X81" i="41"/>
  <c r="Y81" i="41"/>
  <c r="R81" i="30" l="1"/>
  <c r="Q82" i="30"/>
  <c r="S82" i="30" s="1"/>
  <c r="W83" i="27"/>
  <c r="S82" i="29"/>
  <c r="G83" i="30"/>
  <c r="N83" i="30" s="1"/>
  <c r="S80" i="64"/>
  <c r="R80" i="64"/>
  <c r="Q81" i="64"/>
  <c r="BO83" i="39"/>
  <c r="BP83" i="39"/>
  <c r="X82" i="41"/>
  <c r="Y82" i="41"/>
  <c r="BN84" i="39"/>
  <c r="G84" i="64" s="1"/>
  <c r="N84" i="64" s="1"/>
  <c r="W83" i="41"/>
  <c r="R82" i="30" l="1"/>
  <c r="Q83" i="30"/>
  <c r="R83" i="30" s="1"/>
  <c r="S83" i="29"/>
  <c r="W84" i="27"/>
  <c r="G84" i="30"/>
  <c r="N84" i="30" s="1"/>
  <c r="S81" i="64"/>
  <c r="R81" i="64"/>
  <c r="Q82" i="64"/>
  <c r="BO84" i="39"/>
  <c r="BP84" i="39"/>
  <c r="BN85" i="39"/>
  <c r="G85" i="64" s="1"/>
  <c r="N85" i="64" s="1"/>
  <c r="W84" i="41"/>
  <c r="Y83" i="41"/>
  <c r="X83" i="41"/>
  <c r="S83" i="30" l="1"/>
  <c r="Q84" i="30"/>
  <c r="S84" i="30" s="1"/>
  <c r="S84" i="29"/>
  <c r="W85" i="27"/>
  <c r="G85" i="30"/>
  <c r="N85" i="30" s="1"/>
  <c r="Q83" i="64"/>
  <c r="R82" i="64"/>
  <c r="S82" i="64"/>
  <c r="BO85" i="39"/>
  <c r="BP85" i="39"/>
  <c r="BN86" i="39"/>
  <c r="G86" i="64" s="1"/>
  <c r="N86" i="64" s="1"/>
  <c r="W85" i="41"/>
  <c r="X84" i="41"/>
  <c r="Y84" i="41"/>
  <c r="R84" i="30" l="1"/>
  <c r="Q85" i="30"/>
  <c r="S85" i="30" s="1"/>
  <c r="S85" i="29"/>
  <c r="W86" i="27"/>
  <c r="G86" i="30"/>
  <c r="Q84" i="64"/>
  <c r="S83" i="64"/>
  <c r="R83" i="64"/>
  <c r="BP86" i="39"/>
  <c r="BO86" i="39"/>
  <c r="BN87" i="39"/>
  <c r="G87" i="64" s="1"/>
  <c r="N87" i="64" s="1"/>
  <c r="W86" i="41"/>
  <c r="Y85" i="41"/>
  <c r="X85" i="41"/>
  <c r="N86" i="30" l="1"/>
  <c r="Q86" i="30" s="1"/>
  <c r="R85" i="30"/>
  <c r="S86" i="29"/>
  <c r="W87" i="27"/>
  <c r="G87" i="30"/>
  <c r="N87" i="30" s="1"/>
  <c r="Q85" i="64"/>
  <c r="R84" i="64"/>
  <c r="S84" i="64"/>
  <c r="BO87" i="39"/>
  <c r="BP87" i="39"/>
  <c r="Y86" i="41"/>
  <c r="X86" i="41"/>
  <c r="BN88" i="39"/>
  <c r="G88" i="64" s="1"/>
  <c r="N88" i="64" s="1"/>
  <c r="W87" i="41"/>
  <c r="S86" i="30" l="1"/>
  <c r="R86" i="30"/>
  <c r="Q87" i="30"/>
  <c r="S87" i="30" s="1"/>
  <c r="W88" i="27"/>
  <c r="S87" i="29"/>
  <c r="G88" i="30"/>
  <c r="Q86" i="64"/>
  <c r="S85" i="64"/>
  <c r="R85" i="64"/>
  <c r="BP88" i="39"/>
  <c r="BO88" i="39"/>
  <c r="BN89" i="39"/>
  <c r="G89" i="64" s="1"/>
  <c r="N89" i="64" s="1"/>
  <c r="W88" i="41"/>
  <c r="Y87" i="41"/>
  <c r="X87" i="41"/>
  <c r="N88" i="30" l="1"/>
  <c r="Q88" i="30" s="1"/>
  <c r="R87" i="30"/>
  <c r="S88" i="29"/>
  <c r="W89" i="27"/>
  <c r="G89" i="30"/>
  <c r="N89" i="30" s="1"/>
  <c r="Q87" i="64"/>
  <c r="R86" i="64"/>
  <c r="S86" i="64"/>
  <c r="BO89" i="39"/>
  <c r="BP89" i="39"/>
  <c r="Y88" i="41"/>
  <c r="X88" i="41"/>
  <c r="BN90" i="39"/>
  <c r="G90" i="64" s="1"/>
  <c r="N90" i="64" s="1"/>
  <c r="W89" i="41"/>
  <c r="R88" i="30" l="1"/>
  <c r="S88" i="30"/>
  <c r="Q89" i="30"/>
  <c r="S89" i="30" s="1"/>
  <c r="S89" i="29"/>
  <c r="W90" i="27"/>
  <c r="G90" i="30"/>
  <c r="S87" i="64"/>
  <c r="R87" i="64"/>
  <c r="Q88" i="64"/>
  <c r="BP90" i="39"/>
  <c r="BO90" i="39"/>
  <c r="BN91" i="39"/>
  <c r="G91" i="64" s="1"/>
  <c r="N91" i="64" s="1"/>
  <c r="W90" i="41"/>
  <c r="Y89" i="41"/>
  <c r="X89" i="41"/>
  <c r="N90" i="30" l="1"/>
  <c r="Q90" i="30" s="1"/>
  <c r="R89" i="30"/>
  <c r="S90" i="29"/>
  <c r="W91" i="27"/>
  <c r="G91" i="30"/>
  <c r="N91" i="30" s="1"/>
  <c r="Q89" i="64"/>
  <c r="R88" i="64"/>
  <c r="S88" i="64"/>
  <c r="BO91" i="39"/>
  <c r="BP91" i="39"/>
  <c r="BN92" i="39"/>
  <c r="G92" i="64" s="1"/>
  <c r="N92" i="64" s="1"/>
  <c r="W91" i="41"/>
  <c r="Y90" i="41"/>
  <c r="X90" i="41"/>
  <c r="R90" i="30" l="1"/>
  <c r="S90" i="30"/>
  <c r="Q91" i="30"/>
  <c r="R91" i="30" s="1"/>
  <c r="S91" i="29"/>
  <c r="W92" i="27"/>
  <c r="G92" i="30"/>
  <c r="Q90" i="64"/>
  <c r="S89" i="64"/>
  <c r="R89" i="64"/>
  <c r="BO92" i="39"/>
  <c r="BP92" i="39"/>
  <c r="BN93" i="39"/>
  <c r="G93" i="64" s="1"/>
  <c r="N93" i="64" s="1"/>
  <c r="W92" i="41"/>
  <c r="Y91" i="41"/>
  <c r="X91" i="41"/>
  <c r="N92" i="30" l="1"/>
  <c r="Q92" i="30" s="1"/>
  <c r="S91" i="30"/>
  <c r="W93" i="27"/>
  <c r="S92" i="29"/>
  <c r="G93" i="30"/>
  <c r="N93" i="30" s="1"/>
  <c r="Q91" i="64"/>
  <c r="R90" i="64"/>
  <c r="S90" i="64"/>
  <c r="BO93" i="39"/>
  <c r="BP93" i="39"/>
  <c r="BN94" i="39"/>
  <c r="G94" i="64" s="1"/>
  <c r="N94" i="64" s="1"/>
  <c r="W93" i="41"/>
  <c r="Y92" i="41"/>
  <c r="X92" i="41"/>
  <c r="R92" i="30" l="1"/>
  <c r="S92" i="30"/>
  <c r="Q93" i="30"/>
  <c r="R93" i="30" s="1"/>
  <c r="S93" i="29"/>
  <c r="W94" i="27"/>
  <c r="G94" i="30"/>
  <c r="N94" i="30" s="1"/>
  <c r="Q92" i="64"/>
  <c r="S91" i="64"/>
  <c r="R91" i="64"/>
  <c r="BP94" i="39"/>
  <c r="BO94" i="39"/>
  <c r="Y93" i="41"/>
  <c r="X93" i="41"/>
  <c r="BN95" i="39"/>
  <c r="G95" i="64" s="1"/>
  <c r="N95" i="64" s="1"/>
  <c r="W94" i="41"/>
  <c r="S93" i="30" l="1"/>
  <c r="Q94" i="30"/>
  <c r="S94" i="30" s="1"/>
  <c r="S94" i="29"/>
  <c r="W95" i="27"/>
  <c r="G95" i="30"/>
  <c r="N95" i="30" s="1"/>
  <c r="R92" i="64"/>
  <c r="S92" i="64"/>
  <c r="Q93" i="64"/>
  <c r="BO95" i="39"/>
  <c r="BP95" i="39"/>
  <c r="Y94" i="41"/>
  <c r="X94" i="41"/>
  <c r="BN96" i="39"/>
  <c r="W95" i="41"/>
  <c r="R94" i="30" l="1"/>
  <c r="S96" i="29"/>
  <c r="G96" i="64"/>
  <c r="N96" i="64" s="1"/>
  <c r="Q95" i="30"/>
  <c r="R95" i="30" s="1"/>
  <c r="S95" i="29"/>
  <c r="W96" i="27"/>
  <c r="G96" i="30"/>
  <c r="N96" i="30" s="1"/>
  <c r="S93" i="64"/>
  <c r="R93" i="64"/>
  <c r="Q94" i="64"/>
  <c r="BP96" i="39"/>
  <c r="BO96" i="39"/>
  <c r="Y95" i="41"/>
  <c r="X95" i="41"/>
  <c r="BN97" i="39"/>
  <c r="G97" i="64" s="1"/>
  <c r="N97" i="64" s="1"/>
  <c r="W96" i="41"/>
  <c r="Q96" i="30" l="1"/>
  <c r="R96" i="30" s="1"/>
  <c r="S95" i="30"/>
  <c r="BN98" i="39"/>
  <c r="S97" i="29"/>
  <c r="W97" i="27"/>
  <c r="G97" i="30"/>
  <c r="N97" i="30" s="1"/>
  <c r="Q95" i="64"/>
  <c r="R94" i="64"/>
  <c r="S94" i="64"/>
  <c r="BO97" i="39"/>
  <c r="BP97" i="39"/>
  <c r="W97" i="41"/>
  <c r="Y96" i="41"/>
  <c r="X96" i="41"/>
  <c r="S96" i="30" l="1"/>
  <c r="BN99" i="39"/>
  <c r="G99" i="64" s="1"/>
  <c r="G98" i="64"/>
  <c r="BP98" i="39"/>
  <c r="BO98" i="39"/>
  <c r="G99" i="30"/>
  <c r="S99" i="29"/>
  <c r="W99" i="41"/>
  <c r="G98" i="30"/>
  <c r="S98" i="29"/>
  <c r="W98" i="41"/>
  <c r="W98" i="27"/>
  <c r="BP99" i="39"/>
  <c r="S95" i="64"/>
  <c r="R95" i="64"/>
  <c r="Q96" i="64"/>
  <c r="X97" i="41"/>
  <c r="Y97" i="41"/>
  <c r="J5" i="26"/>
  <c r="J6" i="26"/>
  <c r="J7" i="26"/>
  <c r="J8" i="26"/>
  <c r="J9" i="26"/>
  <c r="J10" i="26"/>
  <c r="BN100" i="39" l="1"/>
  <c r="G100" i="64" s="1"/>
  <c r="N100" i="64" s="1"/>
  <c r="Q100" i="64" s="1"/>
  <c r="BO99" i="39"/>
  <c r="N98" i="30"/>
  <c r="Q98" i="30" s="1"/>
  <c r="N98" i="64"/>
  <c r="Q98" i="64" s="1"/>
  <c r="N99" i="30"/>
  <c r="Q99" i="30" s="1"/>
  <c r="N99" i="64"/>
  <c r="Q99" i="64" s="1"/>
  <c r="Q97" i="30"/>
  <c r="S97" i="30" s="1"/>
  <c r="X98" i="41"/>
  <c r="Y98" i="41"/>
  <c r="Y99" i="41"/>
  <c r="X99" i="41"/>
  <c r="S100" i="29"/>
  <c r="W100" i="41"/>
  <c r="BO100" i="39"/>
  <c r="BN101" i="39"/>
  <c r="G101" i="64" s="1"/>
  <c r="W99" i="27"/>
  <c r="R96" i="64"/>
  <c r="S96" i="64"/>
  <c r="Q97" i="64"/>
  <c r="J11" i="26"/>
  <c r="J4" i="26"/>
  <c r="BP100" i="39" l="1"/>
  <c r="G100" i="30"/>
  <c r="N100" i="30" s="1"/>
  <c r="Q100" i="30" s="1"/>
  <c r="R99" i="30"/>
  <c r="S99" i="30"/>
  <c r="S98" i="64"/>
  <c r="R98" i="64"/>
  <c r="R100" i="64"/>
  <c r="S100" i="64"/>
  <c r="S99" i="64"/>
  <c r="R99" i="64"/>
  <c r="S98" i="30"/>
  <c r="R98" i="30"/>
  <c r="N101" i="64"/>
  <c r="Q101" i="64" s="1"/>
  <c r="S101" i="64" s="1"/>
  <c r="R97" i="30"/>
  <c r="Y100" i="41"/>
  <c r="X100" i="41"/>
  <c r="G101" i="30"/>
  <c r="S101" i="29"/>
  <c r="W101" i="41"/>
  <c r="BO101" i="39"/>
  <c r="BP101" i="39"/>
  <c r="BN102" i="39"/>
  <c r="G102" i="64" s="1"/>
  <c r="W100" i="27"/>
  <c r="S4" i="26"/>
  <c r="T4" i="26" s="1"/>
  <c r="S5" i="26"/>
  <c r="T5" i="26" s="1"/>
  <c r="S6" i="26"/>
  <c r="T6" i="26" s="1"/>
  <c r="S7" i="26"/>
  <c r="T7" i="26" s="1"/>
  <c r="S8" i="26"/>
  <c r="T8" i="26" s="1"/>
  <c r="S9" i="26"/>
  <c r="T9" i="26" s="1"/>
  <c r="S10" i="26"/>
  <c r="T10" i="26" s="1"/>
  <c r="S11" i="26"/>
  <c r="T11" i="26" s="1"/>
  <c r="S97" i="64"/>
  <c r="R97" i="64"/>
  <c r="D4" i="26"/>
  <c r="E4" i="26" s="1"/>
  <c r="D5" i="26"/>
  <c r="E5" i="26" s="1"/>
  <c r="D6" i="26"/>
  <c r="E6" i="26" s="1"/>
  <c r="D7" i="26"/>
  <c r="E7" i="26" s="1"/>
  <c r="D8" i="26"/>
  <c r="E8" i="26" s="1"/>
  <c r="D9" i="26"/>
  <c r="E9" i="26" s="1"/>
  <c r="D10" i="26"/>
  <c r="E10" i="26" s="1"/>
  <c r="D11" i="26"/>
  <c r="E11" i="26" s="1"/>
  <c r="E78" i="26"/>
  <c r="E79" i="26"/>
  <c r="E80" i="26"/>
  <c r="E81" i="26"/>
  <c r="E82" i="26"/>
  <c r="E83" i="26"/>
  <c r="E84" i="26"/>
  <c r="R101" i="64" l="1"/>
  <c r="R100" i="30"/>
  <c r="S100" i="30"/>
  <c r="N101" i="30"/>
  <c r="Q101" i="30" s="1"/>
  <c r="R101" i="30" s="1"/>
  <c r="N102" i="64"/>
  <c r="Q102" i="64" s="1"/>
  <c r="G102" i="30"/>
  <c r="W102" i="41"/>
  <c r="S102" i="29"/>
  <c r="X101" i="41"/>
  <c r="Y101" i="41"/>
  <c r="W150" i="64"/>
  <c r="W151" i="64"/>
  <c r="W152" i="64"/>
  <c r="W153" i="64"/>
  <c r="W154" i="64"/>
  <c r="W155" i="64"/>
  <c r="W156" i="64"/>
  <c r="W157" i="64"/>
  <c r="V150" i="64"/>
  <c r="V151" i="64"/>
  <c r="V152" i="64"/>
  <c r="V153" i="64"/>
  <c r="V154" i="64"/>
  <c r="V155" i="64"/>
  <c r="V156" i="64"/>
  <c r="V157" i="64"/>
  <c r="BO102" i="39"/>
  <c r="BN103" i="39"/>
  <c r="G103" i="64" s="1"/>
  <c r="BP102" i="39"/>
  <c r="W101" i="27"/>
  <c r="N4" i="26"/>
  <c r="N5" i="26"/>
  <c r="N6" i="26"/>
  <c r="N7" i="26"/>
  <c r="N8" i="26"/>
  <c r="N9" i="26"/>
  <c r="N10" i="26"/>
  <c r="N11" i="26"/>
  <c r="D85" i="26"/>
  <c r="E85" i="26" s="1"/>
  <c r="E77" i="26"/>
  <c r="E87" i="26" s="1"/>
  <c r="E15" i="26"/>
  <c r="S101" i="30" l="1"/>
  <c r="R102" i="64"/>
  <c r="S102" i="64"/>
  <c r="N103" i="64"/>
  <c r="Q103" i="64" s="1"/>
  <c r="N102" i="30"/>
  <c r="Q102" i="30" s="1"/>
  <c r="G103" i="30"/>
  <c r="S103" i="29"/>
  <c r="W103" i="41"/>
  <c r="Y102" i="41"/>
  <c r="X102" i="41"/>
  <c r="BN104" i="39"/>
  <c r="G104" i="64" s="1"/>
  <c r="BO103" i="39"/>
  <c r="BP103" i="39"/>
  <c r="W102" i="27"/>
  <c r="S103" i="64" l="1"/>
  <c r="R103" i="64"/>
  <c r="S102" i="30"/>
  <c r="R102" i="30"/>
  <c r="N103" i="30"/>
  <c r="Q103" i="30" s="1"/>
  <c r="N104" i="64"/>
  <c r="Q104" i="64" s="1"/>
  <c r="X103" i="41"/>
  <c r="Y103" i="41"/>
  <c r="G104" i="30"/>
  <c r="S104" i="29"/>
  <c r="W104" i="41"/>
  <c r="BO104" i="39"/>
  <c r="BP104" i="39"/>
  <c r="BN105" i="39"/>
  <c r="G105" i="64" s="1"/>
  <c r="W103" i="27"/>
  <c r="S104" i="64" l="1"/>
  <c r="R104" i="64"/>
  <c r="R103" i="30"/>
  <c r="S103" i="30"/>
  <c r="N105" i="64"/>
  <c r="Q105" i="64" s="1"/>
  <c r="N104" i="30"/>
  <c r="Q104" i="30" s="1"/>
  <c r="G105" i="30"/>
  <c r="S105" i="29"/>
  <c r="W105" i="41"/>
  <c r="Y104" i="41"/>
  <c r="X104" i="41"/>
  <c r="BO105" i="39"/>
  <c r="BP105" i="39"/>
  <c r="BN106" i="39"/>
  <c r="G106" i="64" s="1"/>
  <c r="W104" i="27"/>
  <c r="S104" i="30" l="1"/>
  <c r="R104" i="30"/>
  <c r="S105" i="64"/>
  <c r="R105" i="64"/>
  <c r="N106" i="64"/>
  <c r="Q106" i="64" s="1"/>
  <c r="N105" i="30"/>
  <c r="Q105" i="30" s="1"/>
  <c r="S105" i="30" s="1"/>
  <c r="X105" i="41"/>
  <c r="Y105" i="41"/>
  <c r="BN107" i="39"/>
  <c r="G107" i="64" s="1"/>
  <c r="G106" i="30"/>
  <c r="S106" i="29"/>
  <c r="W106" i="41"/>
  <c r="BP106" i="39"/>
  <c r="BO106" i="39"/>
  <c r="W105" i="27"/>
  <c r="BN108" i="39" l="1"/>
  <c r="G108" i="64" s="1"/>
  <c r="N108" i="64" s="1"/>
  <c r="Q108" i="64" s="1"/>
  <c r="BP107" i="39"/>
  <c r="S106" i="64"/>
  <c r="R106" i="64"/>
  <c r="R105" i="30"/>
  <c r="N107" i="64"/>
  <c r="Q107" i="64" s="1"/>
  <c r="BO107" i="39"/>
  <c r="N106" i="30"/>
  <c r="Q106" i="30" s="1"/>
  <c r="G108" i="30"/>
  <c r="S108" i="29"/>
  <c r="W108" i="41"/>
  <c r="G107" i="30"/>
  <c r="S107" i="29"/>
  <c r="W107" i="41"/>
  <c r="Y106" i="41"/>
  <c r="X106" i="41"/>
  <c r="BP108" i="39"/>
  <c r="BO108" i="39"/>
  <c r="W106" i="27"/>
  <c r="BN109" i="39" l="1"/>
  <c r="G109" i="64" s="1"/>
  <c r="S107" i="64"/>
  <c r="R107" i="64"/>
  <c r="S108" i="64"/>
  <c r="R108" i="64"/>
  <c r="S106" i="30"/>
  <c r="R106" i="30"/>
  <c r="N107" i="30"/>
  <c r="Q107" i="30" s="1"/>
  <c r="N109" i="64"/>
  <c r="Q109" i="64" s="1"/>
  <c r="N108" i="30"/>
  <c r="Q108" i="30" s="1"/>
  <c r="G109" i="30"/>
  <c r="S109" i="29"/>
  <c r="W109" i="41"/>
  <c r="Y107" i="41"/>
  <c r="X107" i="41"/>
  <c r="Y108" i="41"/>
  <c r="X108" i="41"/>
  <c r="BO109" i="39"/>
  <c r="BN110" i="39"/>
  <c r="G110" i="64" s="1"/>
  <c r="BP109" i="39"/>
  <c r="W107" i="27"/>
  <c r="S107" i="30" l="1"/>
  <c r="R107" i="30"/>
  <c r="R108" i="30"/>
  <c r="S108" i="30"/>
  <c r="R109" i="64"/>
  <c r="S109" i="64"/>
  <c r="N110" i="64"/>
  <c r="Q110" i="64" s="1"/>
  <c r="N109" i="30"/>
  <c r="Q109" i="30" s="1"/>
  <c r="X109" i="41"/>
  <c r="Y109" i="41"/>
  <c r="G110" i="30"/>
  <c r="S110" i="29"/>
  <c r="W110" i="41"/>
  <c r="BP110" i="39"/>
  <c r="BN111" i="39"/>
  <c r="G111" i="64" s="1"/>
  <c r="BO110" i="39"/>
  <c r="W108" i="27"/>
  <c r="R109" i="30" l="1"/>
  <c r="S109" i="30"/>
  <c r="S110" i="64"/>
  <c r="W137" i="64" s="1"/>
  <c r="R110" i="64"/>
  <c r="V137" i="64" s="1"/>
  <c r="N110" i="30"/>
  <c r="Q110" i="30" s="1"/>
  <c r="N111" i="64"/>
  <c r="Q111" i="64" s="1"/>
  <c r="S111" i="64" s="1"/>
  <c r="W138" i="64" s="1"/>
  <c r="G111" i="30"/>
  <c r="S111" i="29"/>
  <c r="W111" i="41"/>
  <c r="G10" i="33"/>
  <c r="I10" i="33" s="1"/>
  <c r="G11" i="33"/>
  <c r="I11" i="33" s="1"/>
  <c r="G12" i="33"/>
  <c r="I12" i="33" s="1"/>
  <c r="BP111" i="39"/>
  <c r="BN112" i="39"/>
  <c r="G112" i="64" s="1"/>
  <c r="BO111" i="39"/>
  <c r="W110" i="27"/>
  <c r="R110" i="30" l="1"/>
  <c r="S110" i="30"/>
  <c r="N112" i="64"/>
  <c r="Q112" i="64" s="1"/>
  <c r="N111" i="30"/>
  <c r="Q111" i="30" s="1"/>
  <c r="R111" i="64"/>
  <c r="V138" i="64" s="1"/>
  <c r="W109" i="27"/>
  <c r="G13" i="33" s="1"/>
  <c r="I13" i="33" s="1"/>
  <c r="S112" i="29"/>
  <c r="G112" i="30"/>
  <c r="W112" i="41"/>
  <c r="BP112" i="39"/>
  <c r="BN113" i="39"/>
  <c r="G113" i="64" s="1"/>
  <c r="BO112" i="39"/>
  <c r="W111" i="27"/>
  <c r="S112" i="64" l="1"/>
  <c r="W139" i="64" s="1"/>
  <c r="R112" i="64"/>
  <c r="R111" i="30"/>
  <c r="S111" i="30"/>
  <c r="N113" i="64"/>
  <c r="Q113" i="64" s="1"/>
  <c r="N112" i="30"/>
  <c r="Q112" i="30" s="1"/>
  <c r="V139" i="64"/>
  <c r="G113" i="30"/>
  <c r="S113" i="29"/>
  <c r="W113" i="41"/>
  <c r="BP113" i="39"/>
  <c r="BN114" i="39"/>
  <c r="G114" i="64" s="1"/>
  <c r="BO113" i="39"/>
  <c r="W112" i="27"/>
  <c r="R113" i="64" l="1"/>
  <c r="V140" i="64" s="1"/>
  <c r="S113" i="64"/>
  <c r="W140" i="64" s="1"/>
  <c r="R112" i="30"/>
  <c r="S112" i="30"/>
  <c r="N114" i="64"/>
  <c r="Q114" i="64" s="1"/>
  <c r="N113" i="30"/>
  <c r="Q113" i="30" s="1"/>
  <c r="S114" i="29"/>
  <c r="G114" i="30"/>
  <c r="W114" i="41"/>
  <c r="BP114" i="39"/>
  <c r="BN115" i="39"/>
  <c r="G115" i="64" s="1"/>
  <c r="BO114" i="39"/>
  <c r="W113" i="27"/>
  <c r="R114" i="64" l="1"/>
  <c r="S114" i="64"/>
  <c r="S113" i="30"/>
  <c r="R113" i="30"/>
  <c r="N115" i="64"/>
  <c r="Q115" i="64" s="1"/>
  <c r="N114" i="30"/>
  <c r="Q114" i="30" s="1"/>
  <c r="W141" i="64"/>
  <c r="V141" i="64"/>
  <c r="G115" i="30"/>
  <c r="S115" i="29"/>
  <c r="W115" i="41"/>
  <c r="BO115" i="39"/>
  <c r="BN116" i="39"/>
  <c r="G116" i="64" s="1"/>
  <c r="BP115" i="39"/>
  <c r="W114" i="27"/>
  <c r="S114" i="30" l="1"/>
  <c r="R114" i="30"/>
  <c r="S115" i="64"/>
  <c r="W142" i="64" s="1"/>
  <c r="R115" i="64"/>
  <c r="V142" i="64" s="1"/>
  <c r="N116" i="64"/>
  <c r="Q116" i="64" s="1"/>
  <c r="N115" i="30"/>
  <c r="Q115" i="30" s="1"/>
  <c r="S116" i="29"/>
  <c r="G116" i="30"/>
  <c r="W116" i="41"/>
  <c r="BO116" i="39"/>
  <c r="BN117" i="39"/>
  <c r="G117" i="64" s="1"/>
  <c r="BP116" i="39"/>
  <c r="W115" i="27"/>
  <c r="S116" i="64" l="1"/>
  <c r="R116" i="64"/>
  <c r="S115" i="30"/>
  <c r="R115" i="30"/>
  <c r="N117" i="64"/>
  <c r="Q117" i="64" s="1"/>
  <c r="N116" i="30"/>
  <c r="Q116" i="30" s="1"/>
  <c r="W143" i="64"/>
  <c r="V143" i="64"/>
  <c r="G117" i="30"/>
  <c r="S117" i="29"/>
  <c r="W117" i="41"/>
  <c r="BP117" i="39"/>
  <c r="BN118" i="39"/>
  <c r="G118" i="64" s="1"/>
  <c r="BO117" i="39"/>
  <c r="W116" i="27"/>
  <c r="R117" i="64" l="1"/>
  <c r="V144" i="64" s="1"/>
  <c r="S117" i="64"/>
  <c r="W144" i="64" s="1"/>
  <c r="S116" i="30"/>
  <c r="R116" i="30"/>
  <c r="N118" i="64"/>
  <c r="Q118" i="64" s="1"/>
  <c r="N117" i="30"/>
  <c r="Q117" i="30" s="1"/>
  <c r="G118" i="30"/>
  <c r="S118" i="29"/>
  <c r="W118" i="41"/>
  <c r="BP118" i="39"/>
  <c r="BN119" i="39"/>
  <c r="G119" i="64" s="1"/>
  <c r="BO118" i="39"/>
  <c r="W117" i="27"/>
  <c r="R118" i="64" l="1"/>
  <c r="S118" i="64"/>
  <c r="S117" i="30"/>
  <c r="R117" i="30"/>
  <c r="N118" i="30"/>
  <c r="Q118" i="30" s="1"/>
  <c r="N119" i="64"/>
  <c r="Q119" i="64" s="1"/>
  <c r="W145" i="64"/>
  <c r="V145" i="64"/>
  <c r="G119" i="30"/>
  <c r="S119" i="29"/>
  <c r="W119" i="41"/>
  <c r="BP119" i="39"/>
  <c r="BN120" i="39"/>
  <c r="G120" i="64" s="1"/>
  <c r="BO119" i="39"/>
  <c r="W118" i="27"/>
  <c r="R119" i="64" l="1"/>
  <c r="V146" i="64" s="1"/>
  <c r="S119" i="64"/>
  <c r="W146" i="64" s="1"/>
  <c r="R118" i="30"/>
  <c r="S118" i="30"/>
  <c r="N120" i="64"/>
  <c r="Q120" i="64" s="1"/>
  <c r="N119" i="30"/>
  <c r="Q119" i="30" s="1"/>
  <c r="S120" i="29"/>
  <c r="G120" i="30"/>
  <c r="W120" i="41"/>
  <c r="BP120" i="39"/>
  <c r="BN121" i="39"/>
  <c r="G121" i="64" s="1"/>
  <c r="BO120" i="39"/>
  <c r="W119" i="27"/>
  <c r="R119" i="30" l="1"/>
  <c r="S119" i="30"/>
  <c r="S120" i="64"/>
  <c r="W147" i="64" s="1"/>
  <c r="R120" i="64"/>
  <c r="V147" i="64" s="1"/>
  <c r="N120" i="30"/>
  <c r="Q120" i="30" s="1"/>
  <c r="N121" i="64"/>
  <c r="Q121" i="64" s="1"/>
  <c r="S12" i="26"/>
  <c r="T12" i="26" s="1"/>
  <c r="G121" i="30"/>
  <c r="S121" i="29"/>
  <c r="W121" i="41"/>
  <c r="BP121" i="39"/>
  <c r="BO121" i="39"/>
  <c r="W120" i="27"/>
  <c r="R121" i="64" l="1"/>
  <c r="V148" i="64" s="1"/>
  <c r="S121" i="64"/>
  <c r="S13" i="26"/>
  <c r="T13" i="26" s="1"/>
  <c r="S120" i="30"/>
  <c r="R120" i="30"/>
  <c r="N121" i="30"/>
  <c r="Q121" i="30" s="1"/>
  <c r="V158" i="64"/>
  <c r="V159" i="64"/>
  <c r="D12" i="26"/>
  <c r="E12" i="26" s="1"/>
  <c r="D13" i="26"/>
  <c r="W122" i="27"/>
  <c r="P5" i="33"/>
  <c r="P6" i="33"/>
  <c r="P7" i="33"/>
  <c r="P8" i="33"/>
  <c r="P9" i="33"/>
  <c r="G5" i="33"/>
  <c r="I5" i="33" s="1"/>
  <c r="G6" i="33"/>
  <c r="I6" i="33" s="1"/>
  <c r="G7" i="33"/>
  <c r="I7" i="33" s="1"/>
  <c r="G8" i="33"/>
  <c r="I8" i="33" s="1"/>
  <c r="G9" i="33"/>
  <c r="I9" i="33" s="1"/>
  <c r="W148" i="64" l="1"/>
  <c r="S134" i="64"/>
  <c r="T18" i="26" s="1"/>
  <c r="R121" i="30"/>
  <c r="S121" i="30"/>
  <c r="AB150" i="41"/>
  <c r="AB151" i="41"/>
  <c r="AB152" i="41"/>
  <c r="AB153" i="41"/>
  <c r="AB154" i="41"/>
  <c r="AB155" i="41"/>
  <c r="AB156" i="41"/>
  <c r="AB157" i="41"/>
  <c r="AB158" i="41"/>
  <c r="W121" i="27"/>
  <c r="G14" i="33" s="1"/>
  <c r="W158" i="64"/>
  <c r="W159" i="64"/>
  <c r="W123" i="27"/>
  <c r="N122" i="30"/>
  <c r="AH5" i="33"/>
  <c r="AH6" i="33"/>
  <c r="AH7" i="33"/>
  <c r="AH8" i="33"/>
  <c r="AH9" i="33"/>
  <c r="AC150" i="41" l="1"/>
  <c r="AC151" i="41"/>
  <c r="AC152" i="41"/>
  <c r="AC153" i="41"/>
  <c r="AC154" i="41"/>
  <c r="AC155" i="41"/>
  <c r="AC156" i="41"/>
  <c r="AC157" i="41"/>
  <c r="AC158" i="41"/>
  <c r="W124" i="27"/>
  <c r="Q122" i="30"/>
  <c r="N123" i="30"/>
  <c r="AJ7" i="33"/>
  <c r="AJ6" i="33"/>
  <c r="I20" i="35" s="1"/>
  <c r="J20" i="35" s="1"/>
  <c r="D43" i="35" s="1"/>
  <c r="AJ9" i="33"/>
  <c r="I23" i="35" s="1"/>
  <c r="J23" i="35" s="1"/>
  <c r="D46" i="35" s="1"/>
  <c r="AJ5" i="33"/>
  <c r="I19" i="35" s="1"/>
  <c r="J19" i="35" s="1"/>
  <c r="D42" i="35" s="1"/>
  <c r="AJ8" i="33"/>
  <c r="I22" i="35" s="1"/>
  <c r="J22" i="35" s="1"/>
  <c r="Y5" i="33"/>
  <c r="Y6" i="33"/>
  <c r="Y7" i="33"/>
  <c r="Y8" i="33"/>
  <c r="Y9" i="33"/>
  <c r="W125" i="27" l="1"/>
  <c r="D45" i="35"/>
  <c r="Q123" i="30"/>
  <c r="N124" i="30"/>
  <c r="S122" i="29"/>
  <c r="I21" i="35"/>
  <c r="J21" i="35" s="1"/>
  <c r="D44" i="35" s="1"/>
  <c r="W126" i="27" l="1"/>
  <c r="S123" i="29"/>
  <c r="Q124" i="30"/>
  <c r="N125" i="30"/>
  <c r="W127" i="27" l="1"/>
  <c r="Q125" i="30"/>
  <c r="N126" i="30"/>
  <c r="S124" i="29"/>
  <c r="G25" i="67"/>
  <c r="G26" i="67"/>
  <c r="W128" i="27" l="1"/>
  <c r="Q126" i="30"/>
  <c r="N127" i="30"/>
  <c r="S125" i="29"/>
  <c r="D38" i="36"/>
  <c r="E38" i="36" s="1"/>
  <c r="D38" i="68"/>
  <c r="E38" i="68" s="1"/>
  <c r="D39" i="36"/>
  <c r="E39" i="36" s="1"/>
  <c r="D39" i="68"/>
  <c r="E39" i="68" s="1"/>
  <c r="F24" i="72" l="1"/>
  <c r="H24" i="72" s="1"/>
  <c r="F23" i="72"/>
  <c r="H23" i="72" s="1"/>
  <c r="D63" i="68"/>
  <c r="D62" i="68"/>
  <c r="D63" i="36"/>
  <c r="D62" i="36"/>
  <c r="W129" i="27"/>
  <c r="S126" i="29"/>
  <c r="Q127" i="30"/>
  <c r="N128" i="30"/>
  <c r="W130" i="27" l="1"/>
  <c r="Q128" i="30"/>
  <c r="N129" i="30"/>
  <c r="S127" i="29"/>
  <c r="W131" i="27" l="1"/>
  <c r="S128" i="29"/>
  <c r="Q129" i="30"/>
  <c r="N130" i="30"/>
  <c r="W132" i="27" l="1"/>
  <c r="N131" i="30"/>
  <c r="Q130" i="30"/>
  <c r="S129" i="29"/>
  <c r="W133" i="27" l="1"/>
  <c r="S130" i="29"/>
  <c r="N132" i="30"/>
  <c r="Q131" i="30"/>
  <c r="W134" i="27" l="1"/>
  <c r="Q132" i="30"/>
  <c r="N133" i="30"/>
  <c r="S131" i="29"/>
  <c r="G134" i="30" l="1"/>
  <c r="N134" i="30" s="1"/>
  <c r="W135" i="27"/>
  <c r="AH10" i="33"/>
  <c r="AJ10" i="33" s="1"/>
  <c r="AH11" i="33"/>
  <c r="AJ11" i="33" s="1"/>
  <c r="AH12" i="33"/>
  <c r="AJ12" i="33" s="1"/>
  <c r="S132" i="29"/>
  <c r="I24" i="35" l="1"/>
  <c r="J24" i="35" s="1"/>
  <c r="Q133" i="30"/>
  <c r="S133" i="29"/>
  <c r="W136" i="27"/>
  <c r="G135" i="30"/>
  <c r="N135" i="30" s="1"/>
  <c r="Q134" i="30"/>
  <c r="I25" i="35"/>
  <c r="J25" i="35" s="1"/>
  <c r="I26" i="35"/>
  <c r="J26" i="35" s="1"/>
  <c r="Y10" i="33"/>
  <c r="AA10" i="33" s="1"/>
  <c r="Y11" i="33"/>
  <c r="AA11" i="33" s="1"/>
  <c r="Y12" i="33"/>
  <c r="AA12" i="33" s="1"/>
  <c r="D48" i="35" l="1"/>
  <c r="D47" i="35"/>
  <c r="W137" i="27"/>
  <c r="S134" i="29"/>
  <c r="G136" i="30"/>
  <c r="N136" i="30" s="1"/>
  <c r="Q135" i="30"/>
  <c r="D49" i="35"/>
  <c r="S135" i="29" l="1"/>
  <c r="W138" i="27"/>
  <c r="Q136" i="30"/>
  <c r="G137" i="30"/>
  <c r="N137" i="30" s="1"/>
  <c r="Q137" i="30" l="1"/>
  <c r="G138" i="30"/>
  <c r="N138" i="30" s="1"/>
  <c r="W139" i="27"/>
  <c r="S136" i="29"/>
  <c r="S137" i="29" l="1"/>
  <c r="W140" i="27"/>
  <c r="G139" i="30"/>
  <c r="N139" i="30" s="1"/>
  <c r="Q138" i="30"/>
  <c r="Q139" i="30" l="1"/>
  <c r="G140" i="30"/>
  <c r="N140" i="30" s="1"/>
  <c r="W141" i="27"/>
  <c r="S138" i="29"/>
  <c r="W142" i="27" l="1"/>
  <c r="S139" i="29"/>
  <c r="G141" i="30"/>
  <c r="N141" i="30" s="1"/>
  <c r="Q140" i="30"/>
  <c r="Q141" i="30" l="1"/>
  <c r="G142" i="30"/>
  <c r="N142" i="30" s="1"/>
  <c r="S140" i="29"/>
  <c r="W143" i="27"/>
  <c r="S141" i="29" l="1"/>
  <c r="W145" i="27"/>
  <c r="W144" i="27"/>
  <c r="Q142" i="30"/>
  <c r="G143" i="30"/>
  <c r="N143" i="30" s="1"/>
  <c r="R5" i="33"/>
  <c r="R6" i="33"/>
  <c r="R7" i="33"/>
  <c r="R8" i="33"/>
  <c r="G15" i="33" l="1"/>
  <c r="I15" i="33" s="1"/>
  <c r="G16" i="33"/>
  <c r="G144" i="30"/>
  <c r="N144" i="30" s="1"/>
  <c r="Q143" i="30"/>
  <c r="S142" i="29"/>
  <c r="AA5" i="33"/>
  <c r="C19" i="35" s="1"/>
  <c r="D19" i="35" s="1"/>
  <c r="C42" i="35" s="1"/>
  <c r="AA8" i="33"/>
  <c r="AA7" i="33"/>
  <c r="AA6" i="33"/>
  <c r="C22" i="35" l="1"/>
  <c r="D22" i="35" s="1"/>
  <c r="C20" i="35"/>
  <c r="D20" i="35" s="1"/>
  <c r="C21" i="35"/>
  <c r="D21" i="35" s="1"/>
  <c r="S143" i="29"/>
  <c r="Q144" i="30"/>
  <c r="G145" i="30"/>
  <c r="C45" i="35" l="1"/>
  <c r="C44" i="35"/>
  <c r="C43" i="35"/>
  <c r="N145" i="30"/>
  <c r="Q145" i="30" s="1"/>
  <c r="AH13" i="33"/>
  <c r="AJ13" i="33" s="1"/>
  <c r="S145" i="29"/>
  <c r="S144" i="29"/>
  <c r="AH16" i="33" l="1"/>
  <c r="AJ16" i="33" s="1"/>
  <c r="M6" i="68" s="1"/>
  <c r="C18" i="68" s="1"/>
  <c r="E18" i="68" s="1"/>
  <c r="AH14" i="33"/>
  <c r="AJ14" i="33" s="1"/>
  <c r="I28" i="35" s="1"/>
  <c r="J28" i="35" s="1"/>
  <c r="AH15" i="33"/>
  <c r="AJ15" i="33" s="1"/>
  <c r="I29" i="35" s="1"/>
  <c r="J29" i="35" s="1"/>
  <c r="Y14" i="33"/>
  <c r="AA14" i="33" s="1"/>
  <c r="Y15" i="33"/>
  <c r="AA15" i="33" s="1"/>
  <c r="C29" i="35" s="1"/>
  <c r="D29" i="35" s="1"/>
  <c r="I27" i="35"/>
  <c r="J27" i="35" s="1"/>
  <c r="Y13" i="33"/>
  <c r="AA13" i="33" s="1"/>
  <c r="Y16" i="33"/>
  <c r="AA16" i="33" s="1"/>
  <c r="C23" i="67" s="1"/>
  <c r="M6" i="36" l="1"/>
  <c r="C18" i="36" s="1"/>
  <c r="E18" i="36" s="1"/>
  <c r="C24" i="67"/>
  <c r="E24" i="67" s="1"/>
  <c r="I30" i="35"/>
  <c r="J30" i="35" s="1"/>
  <c r="M28" i="36" s="1"/>
  <c r="C37" i="36" s="1"/>
  <c r="D50" i="35"/>
  <c r="D51" i="35"/>
  <c r="C28" i="35"/>
  <c r="D28" i="35" s="1"/>
  <c r="C27" i="35"/>
  <c r="D27" i="35" s="1"/>
  <c r="C30" i="35"/>
  <c r="D30" i="35" s="1"/>
  <c r="M5" i="36"/>
  <c r="M5" i="68"/>
  <c r="R9" i="33"/>
  <c r="F24" i="67" l="1"/>
  <c r="G24" i="67" s="1"/>
  <c r="M28" i="68"/>
  <c r="C37" i="68" s="1"/>
  <c r="C51" i="35"/>
  <c r="C61" i="36"/>
  <c r="C17" i="36"/>
  <c r="C17" i="68"/>
  <c r="E17" i="68" s="1"/>
  <c r="M27" i="68"/>
  <c r="C36" i="68" s="1"/>
  <c r="M27" i="36"/>
  <c r="F23" i="67"/>
  <c r="E23" i="67"/>
  <c r="C28" i="67"/>
  <c r="AA9" i="33"/>
  <c r="C23" i="35" l="1"/>
  <c r="D23" i="35" s="1"/>
  <c r="E28" i="67"/>
  <c r="C36" i="36"/>
  <c r="G23" i="67"/>
  <c r="D37" i="36"/>
  <c r="E37" i="36" s="1"/>
  <c r="D37" i="68"/>
  <c r="E37" i="68" s="1"/>
  <c r="F22" i="72" l="1"/>
  <c r="H22" i="72" s="1"/>
  <c r="C46" i="35"/>
  <c r="D61" i="68"/>
  <c r="D61" i="36"/>
  <c r="D36" i="36"/>
  <c r="D36" i="68"/>
  <c r="E36" i="68" s="1"/>
  <c r="D60" i="68" l="1"/>
  <c r="C26" i="35" l="1"/>
  <c r="D26" i="35" l="1"/>
  <c r="J11" i="68"/>
  <c r="C25" i="35"/>
  <c r="D25" i="35" s="1"/>
  <c r="C24" i="35"/>
  <c r="D24" i="35" s="1"/>
  <c r="C47" i="35" l="1"/>
  <c r="C48" i="35"/>
  <c r="C49" i="35"/>
  <c r="K11" i="68"/>
  <c r="C50" i="35"/>
  <c r="E17" i="36"/>
  <c r="C60" i="36" l="1"/>
  <c r="E16" i="68"/>
  <c r="E16" i="36"/>
  <c r="F20" i="72" l="1"/>
  <c r="H20" i="72" s="1"/>
  <c r="C59" i="68"/>
  <c r="C59" i="36"/>
  <c r="E36" i="36"/>
  <c r="F21" i="72" l="1"/>
  <c r="H21" i="72" s="1"/>
  <c r="D60" i="36"/>
  <c r="DR242" i="6" l="1"/>
  <c r="DR243" i="6"/>
  <c r="DR245" i="6"/>
  <c r="DR216" i="6"/>
  <c r="DR191" i="6"/>
  <c r="DR201" i="6"/>
  <c r="DR202" i="6"/>
  <c r="DR169" i="6"/>
  <c r="DR225" i="6"/>
  <c r="DR250" i="6"/>
  <c r="DR194" i="6"/>
  <c r="DR175" i="6"/>
  <c r="DR218" i="6"/>
  <c r="DR187" i="6"/>
  <c r="DR228" i="6"/>
  <c r="DR221" i="6"/>
  <c r="DR165" i="6"/>
  <c r="DR173" i="6"/>
  <c r="DR240" i="6"/>
  <c r="DR219" i="6"/>
  <c r="DR238" i="6"/>
  <c r="DR183" i="6"/>
  <c r="DR251" i="6"/>
  <c r="DR171" i="6"/>
  <c r="DR163" i="6"/>
  <c r="DR215" i="6"/>
  <c r="DR166" i="6"/>
  <c r="DR168" i="6"/>
  <c r="DR161" i="6"/>
  <c r="D96" i="29"/>
  <c r="DR252" i="6"/>
  <c r="D97" i="29"/>
  <c r="DR253" i="6"/>
  <c r="D97" i="58"/>
  <c r="DD97" i="39"/>
  <c r="DA97" i="39"/>
  <c r="D31" i="58"/>
  <c r="D31" i="29"/>
  <c r="DD31" i="39"/>
  <c r="DA31" i="39"/>
  <c r="D35" i="29"/>
  <c r="D35" i="58"/>
  <c r="DD35" i="39"/>
  <c r="DA35" i="39"/>
  <c r="D89" i="29"/>
  <c r="D89" i="58"/>
  <c r="DD89" i="39"/>
  <c r="DA89" i="39"/>
  <c r="D13" i="29"/>
  <c r="D13" i="58"/>
  <c r="DD13" i="39"/>
  <c r="DA13" i="39"/>
  <c r="D5" i="29"/>
  <c r="D5" i="58"/>
  <c r="DD5" i="39"/>
  <c r="DA5" i="39"/>
  <c r="D27" i="29"/>
  <c r="D27" i="58"/>
  <c r="DD27" i="39"/>
  <c r="DA27" i="39"/>
  <c r="D94" i="29"/>
  <c r="D94" i="58"/>
  <c r="DD94" i="39"/>
  <c r="DA94" i="39"/>
  <c r="D60" i="29"/>
  <c r="DD60" i="39"/>
  <c r="D60" i="58"/>
  <c r="DA60" i="39"/>
  <c r="D19" i="29"/>
  <c r="D19" i="58"/>
  <c r="DD19" i="39"/>
  <c r="DA19" i="39"/>
  <c r="D45" i="29"/>
  <c r="D45" i="58"/>
  <c r="DD45" i="39"/>
  <c r="DA45" i="39"/>
  <c r="D62" i="29"/>
  <c r="D62" i="58"/>
  <c r="DD62" i="39"/>
  <c r="DA62" i="39"/>
  <c r="D84" i="29"/>
  <c r="DD84" i="39"/>
  <c r="D84" i="58"/>
  <c r="DA84" i="39"/>
  <c r="D10" i="29"/>
  <c r="D10" i="58"/>
  <c r="DD10" i="39"/>
  <c r="DA10" i="39"/>
  <c r="D46" i="29"/>
  <c r="D46" i="58"/>
  <c r="DD46" i="39"/>
  <c r="DA46" i="39"/>
  <c r="D63" i="29"/>
  <c r="D63" i="58"/>
  <c r="DD63" i="39"/>
  <c r="DA63" i="39"/>
  <c r="D87" i="29"/>
  <c r="D87" i="58"/>
  <c r="DD87" i="39"/>
  <c r="DA87" i="39"/>
  <c r="D96" i="58"/>
  <c r="DD96" i="39"/>
  <c r="DA96" i="39"/>
  <c r="D95" i="29"/>
  <c r="D95" i="58"/>
  <c r="DD95" i="39"/>
  <c r="DA95" i="39"/>
  <c r="D15" i="29"/>
  <c r="D15" i="58"/>
  <c r="DD15" i="39"/>
  <c r="DA15" i="39"/>
  <c r="D38" i="29"/>
  <c r="D38" i="58"/>
  <c r="DD38" i="39"/>
  <c r="DA38" i="39"/>
  <c r="D7" i="29"/>
  <c r="D7" i="58"/>
  <c r="DD7" i="39"/>
  <c r="DA7" i="39"/>
  <c r="D59" i="29"/>
  <c r="D59" i="58"/>
  <c r="DD59" i="39"/>
  <c r="DA59" i="39"/>
  <c r="D86" i="29"/>
  <c r="D86" i="58"/>
  <c r="DD86" i="39"/>
  <c r="DA86" i="39"/>
  <c r="D9" i="29"/>
  <c r="D9" i="58"/>
  <c r="DD9" i="39"/>
  <c r="DA9" i="39"/>
  <c r="D17" i="29"/>
  <c r="D17" i="58"/>
  <c r="DD17" i="39"/>
  <c r="DA17" i="39"/>
  <c r="D12" i="29"/>
  <c r="DD12" i="39"/>
  <c r="D12" i="58"/>
  <c r="DA12" i="39"/>
  <c r="D72" i="29"/>
  <c r="DD72" i="39"/>
  <c r="D72" i="58"/>
  <c r="DA72" i="39"/>
  <c r="D82" i="29"/>
  <c r="D82" i="58"/>
  <c r="DD82" i="39"/>
  <c r="DA82" i="39"/>
  <c r="D69" i="29"/>
  <c r="D69" i="58"/>
  <c r="DD69" i="39"/>
  <c r="DA69" i="39"/>
  <c r="D65" i="29"/>
  <c r="D65" i="58"/>
  <c r="DD65" i="39"/>
  <c r="DA65" i="39"/>
  <c r="DR170" i="6" l="1"/>
  <c r="DR213" i="6"/>
  <c r="DR217" i="6"/>
  <c r="DR249" i="6"/>
  <c r="DR158" i="6"/>
  <c r="DR246" i="6"/>
  <c r="DR206" i="6"/>
  <c r="DR244" i="6"/>
  <c r="DR211" i="6"/>
  <c r="DR180" i="6"/>
  <c r="DR185" i="6"/>
  <c r="DR190" i="6"/>
  <c r="DR223" i="6"/>
  <c r="DR224" i="6"/>
  <c r="DR162" i="6"/>
  <c r="DR222" i="6"/>
  <c r="DR181" i="6"/>
  <c r="DR236" i="6"/>
  <c r="DR199" i="6"/>
  <c r="DR182" i="6"/>
  <c r="DR174" i="6"/>
  <c r="DR176" i="6"/>
  <c r="DR203" i="6"/>
  <c r="DR159" i="6"/>
  <c r="DR214" i="6"/>
  <c r="DR239" i="6"/>
  <c r="DR212" i="6"/>
  <c r="DR227" i="6"/>
  <c r="DR237" i="6"/>
  <c r="DR179" i="6"/>
  <c r="DR189" i="6"/>
  <c r="DR192" i="6"/>
  <c r="DR230" i="6"/>
  <c r="DR209" i="6"/>
  <c r="DR247" i="6"/>
  <c r="DR186" i="6"/>
  <c r="DR196" i="6"/>
  <c r="DR178" i="6"/>
  <c r="DR241" i="6"/>
  <c r="DR226" i="6"/>
  <c r="DR232" i="6"/>
  <c r="DR233" i="6"/>
  <c r="DR197" i="6"/>
  <c r="DR172" i="6"/>
  <c r="DR188" i="6"/>
  <c r="DR234" i="6"/>
  <c r="DR164" i="6"/>
  <c r="DR177" i="6"/>
  <c r="DR205" i="6"/>
  <c r="DR235" i="6"/>
  <c r="DR160" i="6"/>
  <c r="DR184" i="6"/>
  <c r="DR248" i="6"/>
  <c r="DR204" i="6"/>
  <c r="DR220" i="6"/>
  <c r="DR193" i="6"/>
  <c r="DR229" i="6"/>
  <c r="DR167" i="6"/>
  <c r="DR198" i="6"/>
  <c r="DR210" i="6"/>
  <c r="DR208" i="6"/>
  <c r="DR231" i="6"/>
  <c r="DR207" i="6"/>
  <c r="DR195" i="6"/>
  <c r="DR200" i="6"/>
  <c r="W10" i="33"/>
  <c r="W12" i="33"/>
  <c r="W11" i="33"/>
  <c r="T17" i="58"/>
  <c r="U17" i="58"/>
  <c r="D28" i="29"/>
  <c r="DD28" i="39"/>
  <c r="D28" i="58"/>
  <c r="DA28" i="39"/>
  <c r="D25" i="29"/>
  <c r="D25" i="58"/>
  <c r="DD25" i="39"/>
  <c r="DA25" i="39"/>
  <c r="D91" i="29"/>
  <c r="D91" i="58"/>
  <c r="DD91" i="39"/>
  <c r="DA91" i="39"/>
  <c r="T38" i="58"/>
  <c r="U38" i="58"/>
  <c r="D93" i="29"/>
  <c r="D93" i="58"/>
  <c r="DD93" i="39"/>
  <c r="DA93" i="39"/>
  <c r="T63" i="58"/>
  <c r="U63" i="58"/>
  <c r="U46" i="58"/>
  <c r="T46" i="58"/>
  <c r="T45" i="58"/>
  <c r="U45" i="58"/>
  <c r="D47" i="29"/>
  <c r="D47" i="58"/>
  <c r="DD47" i="39"/>
  <c r="DA47" i="39"/>
  <c r="T27" i="58"/>
  <c r="U27" i="58"/>
  <c r="D55" i="29"/>
  <c r="D55" i="58"/>
  <c r="DD55" i="39"/>
  <c r="DA55" i="39"/>
  <c r="U13" i="58"/>
  <c r="T13" i="58"/>
  <c r="D42" i="29"/>
  <c r="D42" i="58"/>
  <c r="DD42" i="39"/>
  <c r="DA42" i="39"/>
  <c r="U35" i="58"/>
  <c r="T35" i="58"/>
  <c r="D8" i="29"/>
  <c r="DD8" i="39"/>
  <c r="D8" i="58"/>
  <c r="DA8" i="39"/>
  <c r="U12" i="58"/>
  <c r="T12" i="58"/>
  <c r="D79" i="29"/>
  <c r="D79" i="58"/>
  <c r="DD79" i="39"/>
  <c r="DA79" i="39"/>
  <c r="D49" i="29"/>
  <c r="D49" i="58"/>
  <c r="DD49" i="39"/>
  <c r="DA49" i="39"/>
  <c r="D36" i="29"/>
  <c r="DD36" i="39"/>
  <c r="D36" i="58"/>
  <c r="DA36" i="39"/>
  <c r="W8" i="33"/>
  <c r="U95" i="58"/>
  <c r="T95" i="58"/>
  <c r="U96" i="58"/>
  <c r="T96" i="58"/>
  <c r="D30" i="29"/>
  <c r="D30" i="58"/>
  <c r="DD30" i="39"/>
  <c r="DA30" i="39"/>
  <c r="D26" i="29"/>
  <c r="D26" i="58"/>
  <c r="DD26" i="39"/>
  <c r="DA26" i="39"/>
  <c r="W7" i="33"/>
  <c r="D64" i="29"/>
  <c r="D64" i="58"/>
  <c r="DD64" i="39"/>
  <c r="DA64" i="39"/>
  <c r="D22" i="29"/>
  <c r="D22" i="58"/>
  <c r="DD22" i="39"/>
  <c r="DA22" i="39"/>
  <c r="D37" i="29"/>
  <c r="D37" i="58"/>
  <c r="DD37" i="39"/>
  <c r="DA37" i="39"/>
  <c r="D20" i="29"/>
  <c r="DD20" i="39"/>
  <c r="D20" i="58"/>
  <c r="DA20" i="39"/>
  <c r="T10" i="58"/>
  <c r="U10" i="58"/>
  <c r="U84" i="58"/>
  <c r="T84" i="58"/>
  <c r="T62" i="58"/>
  <c r="U62" i="58"/>
  <c r="U19" i="58"/>
  <c r="T19" i="58"/>
  <c r="T60" i="58"/>
  <c r="U60" i="58"/>
  <c r="T5" i="58"/>
  <c r="U5" i="58"/>
  <c r="T89" i="58"/>
  <c r="U89" i="58"/>
  <c r="D54" i="29"/>
  <c r="D54" i="58"/>
  <c r="DD54" i="39"/>
  <c r="DA54" i="39"/>
  <c r="D83" i="29"/>
  <c r="D83" i="58"/>
  <c r="DD83" i="39"/>
  <c r="DA83" i="39"/>
  <c r="D41" i="29"/>
  <c r="D41" i="58"/>
  <c r="DD41" i="39"/>
  <c r="DA41" i="39"/>
  <c r="D56" i="29"/>
  <c r="DD56" i="39"/>
  <c r="D56" i="58"/>
  <c r="DA56" i="39"/>
  <c r="D75" i="29"/>
  <c r="D75" i="58"/>
  <c r="DD75" i="39"/>
  <c r="DA75" i="39"/>
  <c r="D71" i="29"/>
  <c r="D71" i="58"/>
  <c r="DD71" i="39"/>
  <c r="DA71" i="39"/>
  <c r="D51" i="29"/>
  <c r="D51" i="58"/>
  <c r="DD51" i="39"/>
  <c r="DA51" i="39"/>
  <c r="D81" i="29"/>
  <c r="D81" i="58"/>
  <c r="DD81" i="39"/>
  <c r="DA81" i="39"/>
  <c r="D39" i="29"/>
  <c r="D39" i="58"/>
  <c r="DD39" i="39"/>
  <c r="DA39" i="39"/>
  <c r="D66" i="29"/>
  <c r="D66" i="58"/>
  <c r="DD66" i="39"/>
  <c r="DA66" i="39"/>
  <c r="D21" i="29"/>
  <c r="D21" i="58"/>
  <c r="DD21" i="39"/>
  <c r="DA21" i="39"/>
  <c r="U65" i="58"/>
  <c r="T65" i="58"/>
  <c r="T72" i="58"/>
  <c r="U72" i="58"/>
  <c r="U9" i="58"/>
  <c r="T9" i="58"/>
  <c r="D61" i="29"/>
  <c r="D61" i="58"/>
  <c r="DD61" i="39"/>
  <c r="DA61" i="39"/>
  <c r="D92" i="29"/>
  <c r="DD92" i="39"/>
  <c r="D92" i="58"/>
  <c r="DA92" i="39"/>
  <c r="U59" i="58"/>
  <c r="T59" i="58"/>
  <c r="U15" i="58"/>
  <c r="T15" i="58"/>
  <c r="D88" i="29"/>
  <c r="DD88" i="39"/>
  <c r="D88" i="58"/>
  <c r="DA88" i="39"/>
  <c r="D70" i="29"/>
  <c r="D70" i="58"/>
  <c r="DD70" i="39"/>
  <c r="DA70" i="39"/>
  <c r="T94" i="58"/>
  <c r="U94" i="58"/>
  <c r="D11" i="29"/>
  <c r="D11" i="58"/>
  <c r="DD11" i="39"/>
  <c r="DA11" i="39"/>
  <c r="D76" i="29"/>
  <c r="DD76" i="39"/>
  <c r="D76" i="58"/>
  <c r="DA76" i="39"/>
  <c r="D24" i="29"/>
  <c r="DD24" i="39"/>
  <c r="D24" i="58"/>
  <c r="DA24" i="39"/>
  <c r="D58" i="29"/>
  <c r="D58" i="58"/>
  <c r="DD58" i="39"/>
  <c r="DA58" i="39"/>
  <c r="D23" i="29"/>
  <c r="D23" i="58"/>
  <c r="DD23" i="39"/>
  <c r="DA23" i="39"/>
  <c r="T31" i="58"/>
  <c r="U31" i="58"/>
  <c r="U97" i="58"/>
  <c r="T97" i="58"/>
  <c r="U69" i="58"/>
  <c r="T69" i="58"/>
  <c r="T82" i="58"/>
  <c r="U82" i="58"/>
  <c r="D14" i="29"/>
  <c r="D14" i="58"/>
  <c r="DD14" i="39"/>
  <c r="DA14" i="39"/>
  <c r="W6" i="33"/>
  <c r="D74" i="29"/>
  <c r="D74" i="58"/>
  <c r="DD74" i="39"/>
  <c r="DA74" i="39"/>
  <c r="D4" i="29"/>
  <c r="DD4" i="39"/>
  <c r="D4" i="58"/>
  <c r="DA4" i="39"/>
  <c r="D57" i="29"/>
  <c r="D57" i="58"/>
  <c r="DD57" i="39"/>
  <c r="DA57" i="39"/>
  <c r="D53" i="29"/>
  <c r="D53" i="58"/>
  <c r="DD53" i="39"/>
  <c r="DA53" i="39"/>
  <c r="U86" i="58"/>
  <c r="T86" i="58"/>
  <c r="T7" i="58"/>
  <c r="U7" i="58"/>
  <c r="D80" i="58"/>
  <c r="DD80" i="39"/>
  <c r="D80" i="29"/>
  <c r="DA80" i="39"/>
  <c r="U87" i="58"/>
  <c r="T87" i="58"/>
  <c r="D43" i="29"/>
  <c r="D43" i="58"/>
  <c r="DD43" i="39"/>
  <c r="DA43" i="39"/>
  <c r="D48" i="29"/>
  <c r="D48" i="58"/>
  <c r="DD48" i="39"/>
  <c r="DA48" i="39"/>
  <c r="D2" i="29"/>
  <c r="D2" i="58"/>
  <c r="T2" i="58" s="1"/>
  <c r="DD2" i="39"/>
  <c r="DA2" i="39"/>
  <c r="W5" i="33"/>
  <c r="D40" i="29"/>
  <c r="DD40" i="39"/>
  <c r="D40" i="58"/>
  <c r="DA40" i="39"/>
  <c r="D90" i="29"/>
  <c r="D90" i="58"/>
  <c r="DD90" i="39"/>
  <c r="DA90" i="39"/>
  <c r="D18" i="29"/>
  <c r="D18" i="58"/>
  <c r="DD18" i="39"/>
  <c r="DA18" i="39"/>
  <c r="D50" i="29"/>
  <c r="D50" i="58"/>
  <c r="DD50" i="39"/>
  <c r="DA50" i="39"/>
  <c r="W9" i="33"/>
  <c r="D85" i="29"/>
  <c r="D85" i="58"/>
  <c r="DD85" i="39"/>
  <c r="DA85" i="39"/>
  <c r="D73" i="29"/>
  <c r="D73" i="58"/>
  <c r="DD73" i="39"/>
  <c r="DA73" i="39"/>
  <c r="D3" i="29"/>
  <c r="D3" i="58"/>
  <c r="DD3" i="39"/>
  <c r="DA3" i="39"/>
  <c r="D77" i="29"/>
  <c r="D77" i="58"/>
  <c r="DD77" i="39"/>
  <c r="DA77" i="39"/>
  <c r="D29" i="29"/>
  <c r="D29" i="58"/>
  <c r="DD29" i="39"/>
  <c r="DA29" i="39"/>
  <c r="D52" i="29"/>
  <c r="DD52" i="39"/>
  <c r="D52" i="58"/>
  <c r="DA52" i="39"/>
  <c r="D34" i="29"/>
  <c r="D34" i="58"/>
  <c r="DD34" i="39"/>
  <c r="DA34" i="39"/>
  <c r="D16" i="29"/>
  <c r="D16" i="58"/>
  <c r="DD16" i="39"/>
  <c r="DA16" i="39"/>
  <c r="D67" i="29"/>
  <c r="D67" i="58"/>
  <c r="DD67" i="39"/>
  <c r="DA67" i="39"/>
  <c r="D32" i="29"/>
  <c r="D32" i="58"/>
  <c r="DD32" i="39"/>
  <c r="DA32" i="39"/>
  <c r="D68" i="29"/>
  <c r="DD68" i="39"/>
  <c r="D68" i="58"/>
  <c r="DA68" i="39"/>
  <c r="D78" i="29"/>
  <c r="D78" i="58"/>
  <c r="DD78" i="39"/>
  <c r="DA78" i="39"/>
  <c r="D6" i="29"/>
  <c r="D6" i="58"/>
  <c r="DD6" i="39"/>
  <c r="DA6" i="39"/>
  <c r="D44" i="29"/>
  <c r="DD44" i="39"/>
  <c r="D44" i="58"/>
  <c r="DA44" i="39"/>
  <c r="D33" i="29"/>
  <c r="D33" i="58"/>
  <c r="DD33" i="39"/>
  <c r="DA33" i="39"/>
  <c r="M11" i="26" l="1"/>
  <c r="O11" i="26" s="1"/>
  <c r="M7" i="26"/>
  <c r="O7" i="26" s="1"/>
  <c r="T81" i="58"/>
  <c r="U81" i="58"/>
  <c r="T37" i="58"/>
  <c r="U37" i="58"/>
  <c r="T22" i="58"/>
  <c r="U22" i="58"/>
  <c r="M6" i="26"/>
  <c r="O6" i="26" s="1"/>
  <c r="T26" i="58"/>
  <c r="U26" i="58"/>
  <c r="T49" i="58"/>
  <c r="U49" i="58"/>
  <c r="T8" i="58"/>
  <c r="U8" i="58"/>
  <c r="T25" i="58"/>
  <c r="U25" i="58"/>
  <c r="U78" i="58"/>
  <c r="T78" i="58"/>
  <c r="U68" i="58"/>
  <c r="T68" i="58"/>
  <c r="U67" i="58"/>
  <c r="T67" i="58"/>
  <c r="U16" i="58"/>
  <c r="T16" i="58"/>
  <c r="T73" i="58"/>
  <c r="U73" i="58"/>
  <c r="T18" i="58"/>
  <c r="U18" i="58"/>
  <c r="M4" i="26"/>
  <c r="O4" i="26" s="1"/>
  <c r="U2" i="58"/>
  <c r="U53" i="58"/>
  <c r="T53" i="58"/>
  <c r="U4" i="58"/>
  <c r="T4" i="58"/>
  <c r="T70" i="58"/>
  <c r="U70" i="58"/>
  <c r="U88" i="58"/>
  <c r="T88" i="58"/>
  <c r="T44" i="58"/>
  <c r="U44" i="58"/>
  <c r="U34" i="58"/>
  <c r="T34" i="58"/>
  <c r="U52" i="58"/>
  <c r="T52" i="58"/>
  <c r="U29" i="58"/>
  <c r="T29" i="58"/>
  <c r="U85" i="58"/>
  <c r="T85" i="58"/>
  <c r="T90" i="58"/>
  <c r="U90" i="58"/>
  <c r="U40" i="58"/>
  <c r="T40" i="58"/>
  <c r="U48" i="58"/>
  <c r="T48" i="58"/>
  <c r="U57" i="58"/>
  <c r="T57" i="58"/>
  <c r="M5" i="26"/>
  <c r="O5" i="26" s="1"/>
  <c r="T14" i="58"/>
  <c r="U14" i="58"/>
  <c r="T21" i="58"/>
  <c r="U21" i="58"/>
  <c r="U66" i="58"/>
  <c r="T66" i="58"/>
  <c r="U51" i="58"/>
  <c r="T51" i="58"/>
  <c r="T20" i="58"/>
  <c r="U20" i="58"/>
  <c r="U79" i="58"/>
  <c r="T79" i="58"/>
  <c r="U47" i="58"/>
  <c r="T47" i="58"/>
  <c r="T33" i="58"/>
  <c r="U33" i="58"/>
  <c r="T32" i="58"/>
  <c r="U32" i="58"/>
  <c r="U77" i="58"/>
  <c r="T77" i="58"/>
  <c r="M8" i="26"/>
  <c r="O8" i="26" s="1"/>
  <c r="U50" i="58"/>
  <c r="T50" i="58"/>
  <c r="T80" i="58"/>
  <c r="U80" i="58"/>
  <c r="U23" i="58"/>
  <c r="T23" i="58"/>
  <c r="T58" i="58"/>
  <c r="U58" i="58"/>
  <c r="T24" i="58"/>
  <c r="U24" i="58"/>
  <c r="U11" i="58"/>
  <c r="T11" i="58"/>
  <c r="T92" i="58"/>
  <c r="U92" i="58"/>
  <c r="U61" i="58"/>
  <c r="T61" i="58"/>
  <c r="U71" i="58"/>
  <c r="T71" i="58"/>
  <c r="U56" i="58"/>
  <c r="T56" i="58"/>
  <c r="T41" i="58"/>
  <c r="U41" i="58"/>
  <c r="M9" i="26"/>
  <c r="O9" i="26" s="1"/>
  <c r="T64" i="58"/>
  <c r="U64" i="58"/>
  <c r="T30" i="58"/>
  <c r="U30" i="58"/>
  <c r="T42" i="58"/>
  <c r="U42" i="58"/>
  <c r="T55" i="58"/>
  <c r="U55" i="58"/>
  <c r="U93" i="58"/>
  <c r="T93" i="58"/>
  <c r="U6" i="58"/>
  <c r="T6" i="58"/>
  <c r="U3" i="58"/>
  <c r="T3" i="58"/>
  <c r="T43" i="58"/>
  <c r="U43" i="58"/>
  <c r="M10" i="26"/>
  <c r="O10" i="26" s="1"/>
  <c r="T74" i="58"/>
  <c r="U74" i="58"/>
  <c r="U76" i="58"/>
  <c r="T76" i="58"/>
  <c r="T39" i="58"/>
  <c r="U39" i="58"/>
  <c r="T75" i="58"/>
  <c r="U75" i="58"/>
  <c r="U83" i="58"/>
  <c r="T83" i="58"/>
  <c r="T54" i="58"/>
  <c r="U54" i="58"/>
  <c r="T36" i="58"/>
  <c r="U36" i="58"/>
  <c r="U91" i="58"/>
  <c r="T91" i="58"/>
  <c r="T28" i="58"/>
  <c r="U28" i="58"/>
  <c r="U134" i="58" l="1"/>
  <c r="Y137" i="58"/>
  <c r="Z146" i="58"/>
  <c r="Y147" i="58"/>
  <c r="Z155" i="58"/>
  <c r="Y155" i="58"/>
  <c r="Z137" i="58"/>
  <c r="Z140" i="58"/>
  <c r="Z153" i="58"/>
  <c r="Y145" i="58"/>
  <c r="Y153" i="58"/>
  <c r="Y141" i="58"/>
  <c r="O18" i="26"/>
  <c r="Y157" i="58"/>
  <c r="Z141" i="58"/>
  <c r="Z157" i="58"/>
  <c r="Y144" i="58"/>
  <c r="Y151" i="58"/>
  <c r="Z144" i="58"/>
  <c r="Z145" i="58"/>
  <c r="Z142" i="58"/>
  <c r="Z143" i="58"/>
  <c r="Z156" i="58"/>
  <c r="Y146" i="58"/>
  <c r="Z147" i="58"/>
  <c r="Y138" i="58"/>
  <c r="Z152" i="58"/>
  <c r="Y143" i="58"/>
  <c r="Y156" i="58"/>
  <c r="Y148" i="58"/>
  <c r="Y154" i="58"/>
  <c r="Z138" i="58"/>
  <c r="Z150" i="58"/>
  <c r="Y152" i="58"/>
  <c r="Z139" i="58"/>
  <c r="Z148" i="58"/>
  <c r="Z154" i="58"/>
  <c r="Y142" i="58"/>
  <c r="Y140" i="58"/>
  <c r="Z151" i="58"/>
  <c r="Y150" i="58"/>
  <c r="Y139" i="58"/>
  <c r="O23" i="32" l="1"/>
  <c r="L48" i="68" l="1"/>
  <c r="L48" i="36"/>
  <c r="P23" i="32"/>
  <c r="O42" i="32"/>
  <c r="O43" i="32" s="1"/>
  <c r="O44" i="32" s="1"/>
  <c r="O45" i="32" s="1"/>
  <c r="L53" i="36" l="1"/>
  <c r="L53" i="68"/>
  <c r="O46" i="32"/>
  <c r="O47" i="32" s="1"/>
  <c r="O48" i="32" s="1"/>
  <c r="O49" i="32" s="1"/>
  <c r="O50" i="32" s="1"/>
  <c r="O51" i="32" s="1"/>
  <c r="O52" i="32" s="1"/>
  <c r="O24" i="32" s="1"/>
  <c r="M48" i="36" l="1"/>
  <c r="M48" i="68"/>
  <c r="O25" i="32"/>
  <c r="J53" i="68"/>
  <c r="P24" i="32"/>
  <c r="C22" i="72" l="1"/>
  <c r="D22" i="72" s="1"/>
  <c r="E61" i="68"/>
  <c r="E61" i="36"/>
  <c r="K53" i="68"/>
  <c r="AB30" i="35"/>
  <c r="F27" i="67" l="1"/>
  <c r="M31" i="36"/>
  <c r="M32" i="36" s="1"/>
  <c r="M31" i="68"/>
  <c r="F28" i="67" l="1"/>
  <c r="G27" i="67"/>
  <c r="D40" i="36" s="1"/>
  <c r="D41" i="36" s="1"/>
  <c r="J32" i="68"/>
  <c r="C40" i="68"/>
  <c r="M32" i="68"/>
  <c r="C40" i="36"/>
  <c r="K32" i="68"/>
  <c r="D40" i="68" l="1"/>
  <c r="D41" i="68" s="1"/>
  <c r="G28" i="67"/>
  <c r="C41" i="68"/>
  <c r="C41" i="36"/>
  <c r="E40" i="36"/>
  <c r="K32" i="70"/>
  <c r="F25" i="72" l="1"/>
  <c r="H25" i="72" s="1"/>
  <c r="E40" i="68"/>
  <c r="E41" i="36"/>
  <c r="D64" i="36"/>
  <c r="D64" i="68" l="1"/>
  <c r="D66" i="68" s="1"/>
  <c r="E41" i="68"/>
  <c r="D66" i="36"/>
  <c r="E7" i="67"/>
  <c r="D15" i="36" s="1"/>
  <c r="D23" i="36" s="1"/>
  <c r="C15" i="67"/>
  <c r="E15" i="67" s="1"/>
  <c r="L15" i="67" s="1"/>
  <c r="C104" i="9" l="1"/>
  <c r="I16" i="33" s="1"/>
  <c r="D15" i="68"/>
  <c r="D23" i="68" s="1"/>
  <c r="D14" i="33" l="1"/>
  <c r="H14" i="33" s="1"/>
  <c r="I14" i="33" s="1"/>
  <c r="M3" i="36"/>
  <c r="M3" i="68"/>
  <c r="CY117" i="39" l="1"/>
  <c r="DP273" i="6"/>
  <c r="L11" i="36"/>
  <c r="C15" i="68"/>
  <c r="M11" i="68"/>
  <c r="X117" i="41"/>
  <c r="AB144" i="41" s="1"/>
  <c r="Y117" i="41"/>
  <c r="AC144" i="41" s="1"/>
  <c r="M11" i="36"/>
  <c r="C15" i="36"/>
  <c r="CY114" i="39" l="1"/>
  <c r="DP270" i="6"/>
  <c r="CY111" i="39"/>
  <c r="DP267" i="6"/>
  <c r="CY115" i="39"/>
  <c r="DP271" i="6"/>
  <c r="CY119" i="39"/>
  <c r="DP275" i="6"/>
  <c r="CY118" i="39"/>
  <c r="DP274" i="6"/>
  <c r="CY110" i="39"/>
  <c r="DP266" i="6"/>
  <c r="CY112" i="39"/>
  <c r="DP268" i="6"/>
  <c r="CY116" i="39"/>
  <c r="DP272" i="6"/>
  <c r="CY120" i="39"/>
  <c r="DP276" i="6"/>
  <c r="CY121" i="39"/>
  <c r="DP277" i="6"/>
  <c r="CY113" i="39"/>
  <c r="DP269" i="6"/>
  <c r="Y118" i="41"/>
  <c r="AC145" i="41" s="1"/>
  <c r="X118" i="41"/>
  <c r="AB145" i="41" s="1"/>
  <c r="X112" i="41"/>
  <c r="AB139" i="41" s="1"/>
  <c r="Y112" i="41"/>
  <c r="AC139" i="41" s="1"/>
  <c r="E15" i="36"/>
  <c r="C23" i="36"/>
  <c r="Y111" i="41"/>
  <c r="AC138" i="41" s="1"/>
  <c r="X111" i="41"/>
  <c r="AB138" i="41" s="1"/>
  <c r="X119" i="41"/>
  <c r="AB146" i="41" s="1"/>
  <c r="Y119" i="41"/>
  <c r="AC146" i="41" s="1"/>
  <c r="Y120" i="41"/>
  <c r="AC147" i="41" s="1"/>
  <c r="X120" i="41"/>
  <c r="AB147" i="41" s="1"/>
  <c r="Y121" i="41"/>
  <c r="X121" i="41"/>
  <c r="AB148" i="41" s="1"/>
  <c r="Y113" i="41"/>
  <c r="AC140" i="41" s="1"/>
  <c r="X113" i="41"/>
  <c r="AB140" i="41" s="1"/>
  <c r="X116" i="41"/>
  <c r="AB143" i="41" s="1"/>
  <c r="Y116" i="41"/>
  <c r="AC143" i="41" s="1"/>
  <c r="X114" i="41"/>
  <c r="AB141" i="41" s="1"/>
  <c r="Y114" i="41"/>
  <c r="AC141" i="41" s="1"/>
  <c r="C23" i="68"/>
  <c r="E15" i="68"/>
  <c r="Y115" i="41"/>
  <c r="AC142" i="41" s="1"/>
  <c r="X115" i="41"/>
  <c r="AB142" i="41" s="1"/>
  <c r="X110" i="41"/>
  <c r="Y110" i="41"/>
  <c r="C13" i="26"/>
  <c r="E13" i="26" s="1"/>
  <c r="F19" i="72" l="1"/>
  <c r="H19" i="72" s="1"/>
  <c r="E18" i="26"/>
  <c r="AC148" i="41"/>
  <c r="AC137" i="41"/>
  <c r="AC159" i="41"/>
  <c r="E23" i="68"/>
  <c r="C58" i="68"/>
  <c r="C66" i="68" s="1"/>
  <c r="AB137" i="41"/>
  <c r="AB159" i="41"/>
  <c r="E23" i="36"/>
  <c r="C58" i="36"/>
  <c r="C44" i="32"/>
  <c r="C66" i="36" l="1"/>
  <c r="C45" i="32"/>
  <c r="C46" i="32" s="1"/>
  <c r="C47" i="32" s="1"/>
  <c r="C48" i="32" s="1"/>
  <c r="C49" i="32" s="1"/>
  <c r="C50" i="32" s="1"/>
  <c r="C51" i="32" s="1"/>
  <c r="C52" i="32" s="1"/>
  <c r="C24" i="32" l="1"/>
  <c r="C25" i="32" s="1"/>
  <c r="M45" i="68" l="1"/>
  <c r="D24" i="32"/>
  <c r="M45" i="36"/>
  <c r="C19" i="72" l="1"/>
  <c r="C27" i="72" s="1"/>
  <c r="E58" i="36"/>
  <c r="M53" i="36"/>
  <c r="E58" i="68"/>
  <c r="E66" i="68" s="1"/>
  <c r="M53" i="68"/>
  <c r="D19" i="72" l="1"/>
  <c r="D27" i="72" s="1"/>
  <c r="E66" i="36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<sst xmlns="http://schemas.openxmlformats.org/spreadsheetml/2006/main" count="1920" uniqueCount="397">
  <si>
    <t>Date</t>
  </si>
  <si>
    <t>WholesalekWh</t>
  </si>
  <si>
    <t>ReskWh</t>
  </si>
  <si>
    <t>ResCust</t>
  </si>
  <si>
    <t>GSlt50kWh</t>
  </si>
  <si>
    <t>GSlt50Cust</t>
  </si>
  <si>
    <t>GSgt50kWh</t>
  </si>
  <si>
    <t>GSgt50kW</t>
  </si>
  <si>
    <t>GSgt50Cust</t>
  </si>
  <si>
    <t>IntkWh</t>
  </si>
  <si>
    <t>IntkW</t>
  </si>
  <si>
    <t>IntCust</t>
  </si>
  <si>
    <t>LUkWh</t>
  </si>
  <si>
    <t>LUkW</t>
  </si>
  <si>
    <t>LUCust</t>
  </si>
  <si>
    <t>StreetkWh</t>
  </si>
  <si>
    <t>StreetkW</t>
  </si>
  <si>
    <t>StreetCust</t>
  </si>
  <si>
    <t>SentkWh</t>
  </si>
  <si>
    <t>SentkW</t>
  </si>
  <si>
    <t>SentCust</t>
  </si>
  <si>
    <t>USLkWh</t>
  </si>
  <si>
    <t>USLCust</t>
  </si>
  <si>
    <t>Total</t>
  </si>
  <si>
    <t>GS&lt;50</t>
  </si>
  <si>
    <t>Residential</t>
  </si>
  <si>
    <t>GS&gt;50</t>
  </si>
  <si>
    <t>Intermediate</t>
  </si>
  <si>
    <t>December</t>
  </si>
  <si>
    <t>Sarnia Climate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</si>
  <si>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</si>
  <si>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</si>
  <si>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</si>
  <si>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</si>
  <si>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</si>
  <si>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</si>
  <si>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</si>
  <si>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</si>
  <si>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</si>
  <si>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</si>
  <si>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</si>
  <si>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10 Year Average</t>
  </si>
  <si>
    <t>10-year</t>
  </si>
  <si>
    <t>Dec</t>
  </si>
  <si>
    <t>Nov</t>
  </si>
  <si>
    <t>Oct</t>
  </si>
  <si>
    <t>Sept</t>
  </si>
  <si>
    <t>Apr</t>
  </si>
  <si>
    <t>Mar</t>
  </si>
  <si>
    <t>Feb</t>
  </si>
  <si>
    <t>Jan</t>
  </si>
  <si>
    <t>Sarnia Airport from 1999 to March 19, 2006</t>
  </si>
  <si>
    <t>Month</t>
  </si>
  <si>
    <t>Year</t>
  </si>
  <si>
    <t>Seasonally Adjusted</t>
  </si>
  <si>
    <t>Unadjusted</t>
  </si>
  <si>
    <t>ON Employment</t>
  </si>
  <si>
    <t>Int</t>
  </si>
  <si>
    <t>LU</t>
  </si>
  <si>
    <t>Ont_GDP</t>
  </si>
  <si>
    <t>Ont_FTE</t>
  </si>
  <si>
    <t>Trend</t>
  </si>
  <si>
    <t>Jun</t>
  </si>
  <si>
    <t>Jul</t>
  </si>
  <si>
    <t>Aug</t>
  </si>
  <si>
    <t>Spring</t>
  </si>
  <si>
    <t>Fall</t>
  </si>
  <si>
    <t>Shoulder</t>
  </si>
  <si>
    <t>Month Days</t>
  </si>
  <si>
    <t>Peak Days</t>
  </si>
  <si>
    <t>kWh</t>
  </si>
  <si>
    <t>USL</t>
  </si>
  <si>
    <t>Sen Light</t>
  </si>
  <si>
    <t>St. Light</t>
  </si>
  <si>
    <t>kW</t>
  </si>
  <si>
    <t>ReskWh_NoCDM</t>
  </si>
  <si>
    <t>ReskWh_CDM</t>
  </si>
  <si>
    <t>GSlt50kWh_CDM</t>
  </si>
  <si>
    <t>GSlt50kWh_NoCDM</t>
  </si>
  <si>
    <t>GSgt50kWh_CDM</t>
  </si>
  <si>
    <t>GSgt50kWh_NoCDM</t>
  </si>
  <si>
    <t>IntkWh_CDM</t>
  </si>
  <si>
    <t>IntkWh_NoCDM</t>
  </si>
  <si>
    <t>LUkWh_CDM</t>
  </si>
  <si>
    <t>LUkWh_NoCDM</t>
  </si>
  <si>
    <t>const</t>
  </si>
  <si>
    <t>Predicted</t>
  </si>
  <si>
    <t>Model Error</t>
  </si>
  <si>
    <t>Dependent variable: ReskWh_NoCDM</t>
  </si>
  <si>
    <t>coefficient</t>
  </si>
  <si>
    <t>std. error</t>
  </si>
  <si>
    <t>t-ratio</t>
  </si>
  <si>
    <t>p-value</t>
  </si>
  <si>
    <t>MonthDays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</si>
  <si>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</si>
  <si>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</si>
  <si>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</si>
  <si>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</si>
  <si>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</si>
  <si>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</si>
  <si>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</si>
  <si>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</si>
  <si>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</si>
  <si>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Dependent variable: GSgt50kWh_NoCDM</t>
  </si>
  <si>
    <t>Diff</t>
  </si>
  <si>
    <t>Dependent variable: IntkWh_NoCDM</t>
  </si>
  <si>
    <t>Dependent variable: LUkWh_NoCDM</t>
  </si>
  <si>
    <t>GDP</t>
  </si>
  <si>
    <t>Ontario</t>
  </si>
  <si>
    <t>36-10-0402-01</t>
  </si>
  <si>
    <t>FTE</t>
  </si>
  <si>
    <t>BMO</t>
  </si>
  <si>
    <t>TD</t>
  </si>
  <si>
    <t>Scotia</t>
  </si>
  <si>
    <t>RBC</t>
  </si>
  <si>
    <t>Average</t>
  </si>
  <si>
    <t>Lnd_FTE</t>
  </si>
  <si>
    <t>Res kWh</t>
  </si>
  <si>
    <t>Absolute</t>
  </si>
  <si>
    <t>CDM Added Back</t>
  </si>
  <si>
    <t>Error (%)</t>
  </si>
  <si>
    <t>Mean Absolute Percentage Error (Annual)</t>
  </si>
  <si>
    <t>Mean Absolute Percentage Error (Monthly)</t>
  </si>
  <si>
    <t>GS &gt; 50 kWh</t>
  </si>
  <si>
    <t>GS &lt; 50 kWh</t>
  </si>
  <si>
    <t>Int kWh</t>
  </si>
  <si>
    <t>LU kWh</t>
  </si>
  <si>
    <t>HDD10</t>
  </si>
  <si>
    <t>CDD10</t>
  </si>
  <si>
    <t>Normalized</t>
  </si>
  <si>
    <t>Percent of Prior Year</t>
  </si>
  <si>
    <t>GS &lt; 50</t>
  </si>
  <si>
    <t>Customers</t>
  </si>
  <si>
    <t>GS &gt; 50</t>
  </si>
  <si>
    <t>Sen Lights</t>
  </si>
  <si>
    <t>St. Lights</t>
  </si>
  <si>
    <t>Residential kWh</t>
  </si>
  <si>
    <t>Actual</t>
  </si>
  <si>
    <t>Cumulative Persisting CDM</t>
  </si>
  <si>
    <t>Actual No CDM</t>
  </si>
  <si>
    <t>Normalized No CDM</t>
  </si>
  <si>
    <t>A</t>
  </si>
  <si>
    <t>B</t>
  </si>
  <si>
    <t>C = A + B</t>
  </si>
  <si>
    <t>D</t>
  </si>
  <si>
    <t>E = B</t>
  </si>
  <si>
    <t>F = D - E</t>
  </si>
  <si>
    <t>GS&lt;50 kWh</t>
  </si>
  <si>
    <t>GS&gt;50 kWh</t>
  </si>
  <si>
    <t>Street Light</t>
  </si>
  <si>
    <t>Lamps / Devices</t>
  </si>
  <si>
    <t>Average per Connection</t>
  </si>
  <si>
    <t>Normal Forecast</t>
  </si>
  <si>
    <t>Sentinel Light</t>
  </si>
  <si>
    <t>Large Use</t>
  </si>
  <si>
    <t>Sentinel</t>
  </si>
  <si>
    <t>Ratio</t>
  </si>
  <si>
    <t>Ratio Moving Average</t>
  </si>
  <si>
    <t>C = B / A</t>
  </si>
  <si>
    <t>kWh Normalized</t>
  </si>
  <si>
    <t>kW Normalized</t>
  </si>
  <si>
    <t>E</t>
  </si>
  <si>
    <t>CDM</t>
  </si>
  <si>
    <t>2014 Actual</t>
  </si>
  <si>
    <t>2015 Actual</t>
  </si>
  <si>
    <t>2016 Actual</t>
  </si>
  <si>
    <t>2017 Actual</t>
  </si>
  <si>
    <t>Large User</t>
  </si>
  <si>
    <t>CDM Adjusted</t>
  </si>
  <si>
    <t>CDM Adjustment</t>
  </si>
  <si>
    <t>Customers / Connections</t>
  </si>
  <si>
    <t>2018 Actual</t>
  </si>
  <si>
    <t>London Employment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</si>
  <si>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</si>
  <si>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</si>
  <si>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</si>
  <si>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</si>
  <si>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</si>
  <si>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</si>
  <si>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</si>
  <si>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</si>
  <si>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</si>
  <si>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</si>
  <si>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HDD8</t>
  </si>
  <si>
    <t>CDD8</t>
  </si>
  <si>
    <t>Avg. Temp</t>
  </si>
  <si>
    <t>Adj.Lnd_FTE</t>
  </si>
  <si>
    <t>Adj.Ont_FTE</t>
  </si>
  <si>
    <t>Avg.Res</t>
  </si>
  <si>
    <t>Avg. GSlt50</t>
  </si>
  <si>
    <t>Statistics based on the rho-differenced data</t>
  </si>
  <si>
    <t>AdjOnt_FTE</t>
  </si>
  <si>
    <t>10 Avg</t>
  </si>
  <si>
    <t>Trend2</t>
  </si>
  <si>
    <t>TrendLog</t>
  </si>
  <si>
    <t>Sep</t>
  </si>
  <si>
    <t>All industries  [T001]9</t>
  </si>
  <si>
    <t>Agriculture, forestry, fishing and hunting  [11]</t>
  </si>
  <si>
    <t>Crop and animal production  [11A]10</t>
  </si>
  <si>
    <t>Support activities for agriculture and forestry  [115]</t>
  </si>
  <si>
    <t>Mining, quarrying, and oil and gas extraction  [21]</t>
  </si>
  <si>
    <t>Oil and gas extraction  [211]</t>
  </si>
  <si>
    <t>Support activities for mining, and oil and gas extraction  [213]</t>
  </si>
  <si>
    <t>Ag Gen</t>
  </si>
  <si>
    <t>Crop&amp;An</t>
  </si>
  <si>
    <t>Ag Support</t>
  </si>
  <si>
    <t>Min Gen</t>
  </si>
  <si>
    <t>O&amp;G</t>
  </si>
  <si>
    <t>Min Support</t>
  </si>
  <si>
    <t>AgGen_GDP</t>
  </si>
  <si>
    <t>Crop&amp;Anim_GDP</t>
  </si>
  <si>
    <t>AgSupport_GDP</t>
  </si>
  <si>
    <t>MinGenGDP</t>
  </si>
  <si>
    <t>O&amp;G_GDP</t>
  </si>
  <si>
    <t>MinSupport_GDP</t>
  </si>
  <si>
    <t>Ag&amp;Min_GDP</t>
  </si>
  <si>
    <t>AvgGSgt50PD</t>
  </si>
  <si>
    <t>AvgIntPD</t>
  </si>
  <si>
    <t>AvgLUPD</t>
  </si>
  <si>
    <t>AvgGSgt50MD</t>
  </si>
  <si>
    <t>AvgIntMD</t>
  </si>
  <si>
    <t>AvgLUMD</t>
  </si>
  <si>
    <t>AgMin_GDP</t>
  </si>
  <si>
    <t>OG_GDP</t>
  </si>
  <si>
    <t>Persisting to</t>
  </si>
  <si>
    <t>AgMin</t>
  </si>
  <si>
    <t>5-year change</t>
  </si>
  <si>
    <t>10-year change</t>
  </si>
  <si>
    <t>F</t>
  </si>
  <si>
    <t>G</t>
  </si>
  <si>
    <t>E = D * F</t>
  </si>
  <si>
    <t>Divergence</t>
  </si>
  <si>
    <t>E = D * G</t>
  </si>
  <si>
    <t>Rate Class</t>
  </si>
  <si>
    <t>CDM Adj Weight</t>
  </si>
  <si>
    <t>Amount</t>
  </si>
  <si>
    <t>C = A * B</t>
  </si>
  <si>
    <t>TOTAL</t>
  </si>
  <si>
    <t>Weather-Normal Forecast</t>
  </si>
  <si>
    <t>% Savings</t>
  </si>
  <si>
    <t>E = C * D</t>
  </si>
  <si>
    <t>2019 Actual</t>
  </si>
  <si>
    <t>Retrofit</t>
  </si>
  <si>
    <t>Device</t>
  </si>
  <si>
    <t>kWh/Device/Day</t>
  </si>
  <si>
    <t>Reallocation</t>
  </si>
  <si>
    <t>Note: "Actual Data" in this tab (Class Adj.) includes reclassified figures of customers that changed classes or ceased service in past 10 years.</t>
  </si>
  <si>
    <t>ResActualCust</t>
  </si>
  <si>
    <t>GSlt50ActualCust</t>
  </si>
  <si>
    <t>GSgt50ActualCust</t>
  </si>
  <si>
    <t>IntActualCust</t>
  </si>
  <si>
    <t>LUActualCust</t>
  </si>
  <si>
    <t>*Note all actual data - unadjusted</t>
  </si>
  <si>
    <t>Note: "Actual Data" in this tab (Actuals) includes unadjusted data. Data for customers that have changed classes or ceased operations is within their original classes.</t>
  </si>
  <si>
    <t>2013 Actual</t>
  </si>
  <si>
    <t>H</t>
  </si>
  <si>
    <t>E = D * H</t>
  </si>
  <si>
    <t>Normalized kW</t>
  </si>
  <si>
    <t>2011-2020</t>
  </si>
  <si>
    <t>&amp; 1/2 of 2021</t>
  </si>
  <si>
    <t>20 Year Trend (2023)</t>
  </si>
  <si>
    <t>14-10-0294-01 / 14-10-0380-01 (Mar06)</t>
  </si>
  <si>
    <t>GDP (StatCan)</t>
  </si>
  <si>
    <t>(Calculated)</t>
  </si>
  <si>
    <t>Q1</t>
  </si>
  <si>
    <t>Q2</t>
  </si>
  <si>
    <t>Q3</t>
  </si>
  <si>
    <t>Q4</t>
  </si>
  <si>
    <t>3.       Agriculture, Forestry, Fishing &amp; Hunting</t>
  </si>
  <si>
    <t>4.       Mining</t>
  </si>
  <si>
    <t>7.       Natural Gas, Water and Other</t>
  </si>
  <si>
    <t>GDP (Ontario Economic Accounts)</t>
  </si>
  <si>
    <t>Table 15</t>
  </si>
  <si>
    <t>Total (40)</t>
  </si>
  <si>
    <t>Total_OEA</t>
  </si>
  <si>
    <t>Ag_OEA</t>
  </si>
  <si>
    <t>Min_OEA</t>
  </si>
  <si>
    <t>Gas_OEA</t>
  </si>
  <si>
    <t>COVID</t>
  </si>
  <si>
    <t>COVID_AM</t>
  </si>
  <si>
    <t>COVID2020</t>
  </si>
  <si>
    <t>Monthly Average</t>
  </si>
  <si>
    <t>5-Year Average</t>
  </si>
  <si>
    <t>5-Year Average Used</t>
  </si>
  <si>
    <t>10-Year Average Used</t>
  </si>
  <si>
    <t>2020 Actual</t>
  </si>
  <si>
    <t>2021 Actual</t>
  </si>
  <si>
    <t>2023 Forecast</t>
  </si>
  <si>
    <t>2023 Weather Normal Forecast</t>
  </si>
  <si>
    <t>2023 CDM Adjusted Forecast</t>
  </si>
  <si>
    <t>2021-2023 kW Forcasted Savings by Rate Class</t>
  </si>
  <si>
    <t>2023 Forecast kWh</t>
  </si>
  <si>
    <t>2023 Forecast kW</t>
  </si>
  <si>
    <t>In year energy savings (GWh)</t>
  </si>
  <si>
    <t>% of provincial kWh</t>
  </si>
  <si>
    <t>Small Business</t>
  </si>
  <si>
    <t>Energy Performance Program</t>
  </si>
  <si>
    <t>Energy Management</t>
  </si>
  <si>
    <t>Customer Solutions</t>
  </si>
  <si>
    <t>Local Initiatives</t>
  </si>
  <si>
    <t>Energy Affordability Program</t>
  </si>
  <si>
    <t>% of prov. LIM</t>
  </si>
  <si>
    <t>First Nations Program</t>
  </si>
  <si>
    <t xml:space="preserve">Source: </t>
  </si>
  <si>
    <t>2021-2024 Conservation and Demand Management Framework Program Plan, 2021-01-04</t>
  </si>
  <si>
    <t>Province</t>
  </si>
  <si>
    <t>General Service&lt;50 kW</t>
  </si>
  <si>
    <t>General Service &gt;=50 kW</t>
  </si>
  <si>
    <t>Total Distributed kWh</t>
  </si>
  <si>
    <t>5-Year Avg.</t>
  </si>
  <si>
    <t>2016-2020 OEB Yearbooks of Electricity Distributors</t>
  </si>
  <si>
    <t>Low-Income Measure</t>
  </si>
  <si>
    <t>4-Year Average</t>
  </si>
  <si>
    <t>No 2020 Data Available</t>
  </si>
  <si>
    <t>Statistics Canada Census Family Low Income Measure (CFLIM-AT)  Table 11-10-0020-01</t>
  </si>
  <si>
    <t>Number of Census Families in low income</t>
  </si>
  <si>
    <t>Total CDM</t>
  </si>
  <si>
    <t>GS&lt; 50</t>
  </si>
  <si>
    <t>Bluewater</t>
  </si>
  <si>
    <t>Bluewater Share</t>
  </si>
  <si>
    <t>Bluewater % Share</t>
  </si>
  <si>
    <t>Sarnia</t>
  </si>
  <si>
    <t>Cummulative</t>
  </si>
  <si>
    <t>w/ 1/2 Year Adj.</t>
  </si>
  <si>
    <t>Total by Year</t>
  </si>
  <si>
    <t>COVIDHDD20</t>
  </si>
  <si>
    <t>COVIDCDD20</t>
  </si>
  <si>
    <t>COVIDHDD18</t>
  </si>
  <si>
    <t>COVIDCDD18</t>
  </si>
  <si>
    <t>COVIDHDD16</t>
  </si>
  <si>
    <t>COVIDCDD16</t>
  </si>
  <si>
    <t>COVIDHDD14</t>
  </si>
  <si>
    <t>COVIDCDD14</t>
  </si>
  <si>
    <t>COVIDHDD12</t>
  </si>
  <si>
    <t>COVIDCDD12</t>
  </si>
  <si>
    <t>COVIDHDD10</t>
  </si>
  <si>
    <t>COVIDCDD10</t>
  </si>
  <si>
    <t>COVIDHDD8</t>
  </si>
  <si>
    <t>COVIDCDD8</t>
  </si>
  <si>
    <t>Dependent variable: GSlt50kWh_NoCDM</t>
  </si>
  <si>
    <t>AdjLnd_FTE</t>
  </si>
  <si>
    <t>Summary</t>
  </si>
  <si>
    <t>Sarnia Climate from March 20, 2006 to 2021</t>
  </si>
  <si>
    <t xml:space="preserve"> </t>
  </si>
  <si>
    <t>In year energy savings (kWh)</t>
  </si>
  <si>
    <t>(2021-2024 Framework)</t>
  </si>
  <si>
    <t>(Post-CFF)</t>
  </si>
  <si>
    <t>Post CFF Savings</t>
  </si>
  <si>
    <t>(Consistent with LRAMVA)</t>
  </si>
  <si>
    <t>2021 Adj</t>
  </si>
  <si>
    <t>Adj. Actual</t>
  </si>
  <si>
    <t>USL Adjusted</t>
  </si>
  <si>
    <t>Incremental kWh</t>
  </si>
  <si>
    <t>Incremental Count</t>
  </si>
  <si>
    <t>&lt;- Actual amounts to be adjusted in Jan. 2023</t>
  </si>
  <si>
    <t>2023 adj.</t>
  </si>
  <si>
    <t>Average Used</t>
  </si>
  <si>
    <t>2021-2023 Forecasted kWh Savings by Rate Class</t>
  </si>
  <si>
    <t>2022 data not yet available</t>
  </si>
  <si>
    <t>2019-2021 data has been updated</t>
  </si>
  <si>
    <t>Updated with Q1 2022 to Q3 2022 data (replacing forecast figures). Q4 2022 remains a forecast.</t>
  </si>
  <si>
    <t>2011-2021</t>
  </si>
  <si>
    <t>&amp; 1/2 of 2022</t>
  </si>
  <si>
    <t>Statistics Canada GDP Update:</t>
  </si>
  <si>
    <t>Ontario Economic Accounts GDP Update:</t>
  </si>
  <si>
    <t>Statistics Canada FTE Update:</t>
  </si>
  <si>
    <t>Updated with full 2022 data</t>
  </si>
  <si>
    <t>2006-2021 data has been updated according to full Table 14-10-0380-01 updates</t>
  </si>
  <si>
    <t>Model 2: Prais-Winsten, using observations 2012:01-2022:12 (T = 132)</t>
  </si>
  <si>
    <t>rho = 0.292721</t>
  </si>
  <si>
    <t>F(8, 123)</t>
  </si>
  <si>
    <t>Model 3: Prais-Winsten, using observations 2012:01-2022:12 (T = 132)</t>
  </si>
  <si>
    <t>rho = 0.180882</t>
  </si>
  <si>
    <t>F(4, 127)</t>
  </si>
  <si>
    <t>F(6, 125)</t>
  </si>
  <si>
    <t>F(3, 128)</t>
  </si>
  <si>
    <t>F = D * E</t>
  </si>
  <si>
    <t>I = G * H</t>
  </si>
  <si>
    <t>J = C + F + I</t>
  </si>
  <si>
    <t xml:space="preserve">*January 2023 counts set by "goalseek" function to ensure average of monthly forecasts match annual forecast </t>
  </si>
  <si>
    <t>2022 Actual</t>
  </si>
  <si>
    <t>Model 1: Prais-Winsten, using observations 2012:01-2022:12 (T = 132)</t>
  </si>
  <si>
    <t>Model 4: Prais-Winsten, using observations 2012:01-2022:12 (T = 132)</t>
  </si>
  <si>
    <t>F(5, 126)</t>
  </si>
  <si>
    <t>Latest Figures as of January 31, 2023</t>
  </si>
  <si>
    <t>rho = 0.0986276</t>
  </si>
  <si>
    <t>rho = 0.379205</t>
  </si>
  <si>
    <t>rho = 0.404079</t>
  </si>
  <si>
    <t>rho = 0.52883</t>
  </si>
  <si>
    <t>Customers/Devices</t>
  </si>
  <si>
    <t>Volumes</t>
  </si>
  <si>
    <t>Volumetric Difference</t>
  </si>
  <si>
    <t>Diff.</t>
  </si>
  <si>
    <t>kWh / kW</t>
  </si>
  <si>
    <t>GS &lt; 50 kW</t>
  </si>
  <si>
    <t>GS &gt; 50 kW</t>
  </si>
  <si>
    <t>2023 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</si>
</sst>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8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_-;\-* #,##0_-;_-* &quot;-&quot;??_-;_-@_-"/>
    <numFmt numFmtId="166" formatCode="0.0%"/>
    <numFmt numFmtId="167" formatCode="0.000000"/>
    <numFmt numFmtId="168" formatCode="0.0"/>
    <numFmt numFmtId="169" formatCode="_-* #,##0.00_-;\-* #,##0.00_-;_-* &quot;-&quot;??_-;_-@_-"/>
    <numFmt numFmtId="170" formatCode="_(* #,##0.0_);_(* \(#,##0.0\);_(* &quot;-&quot;??_);_(@_)"/>
    <numFmt numFmtId="171" formatCode="_(* #,##0.000_);_(* \(#,##0.000\);_(* &quot;-&quot;??_);_(@_)"/>
    <numFmt numFmtId="172" formatCode="0_);\(0\)"/>
    <numFmt numFmtId="173" formatCode="_(* #,##0.0000_);_(* \(#,##0.0000\);_(* &quot;-&quot;??_);_(@_)"/>
    <numFmt numFmtId="174" formatCode="#,##0.000"/>
    <numFmt numFmtId="175" formatCode="#,##0.0000000"/>
    <numFmt numFmtId="176" formatCode="0.000"/>
    <numFmt numFmtId="177" formatCode="#,##0.0"/>
    <numFmt numFmtId="178" formatCode="_-&quot;$&quot;* #,##0.00_-;\-&quot;$&quot;* #,##0.00_-;_-&quot;$&quot;* &quot;-&quot;??_-;_-@_-"/>
    <numFmt numFmtId="179" formatCode="0.0000"/>
    <numFmt numFmtId="180" formatCode="mm/dd/yyyy"/>
    <numFmt numFmtId="181" formatCode="0\-0"/>
    <numFmt numFmtId="182" formatCode="##\-#"/>
    <numFmt numFmtId="183" formatCode="&quot;£ &quot;#,##0.00;[Red]\-&quot;£ &quot;#,##0.00"/>
    <numFmt numFmtId="184" formatCode="_-* #,##0.00_-;\-* #,##0.00_-;_-* \-??_-;_-@_-"/>
    <numFmt numFmtId="185" formatCode="_(* #,##0.00000_);_(* \(#,##0.00000\);_(* &quot;-&quot;??_);_(@_)"/>
    <numFmt numFmtId="186" formatCode="0.00000"/>
    <numFmt numFmtId="187" formatCode="mmm\-yyyy"/>
    <numFmt numFmtId="188" formatCode="0.000%"/>
  </numFmts>
  <fonts count="7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sz val="12"/>
      <color rgb="FF000000"/>
      <name val="Arial"/>
      <family val="2"/>
    </font>
    <font>
      <sz val="12"/>
      <color rgb="FF50505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0"/>
      <color rgb="FFFF0000"/>
      <name val="Arial"/>
      <family val="2"/>
    </font>
    <font>
      <sz val="11"/>
      <color indexed="8"/>
      <name val="Calibri"/>
      <family val="2"/>
      <scheme val="minor"/>
    </font>
    <font>
      <i/>
      <sz val="10"/>
      <color rgb="FFFF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10"/>
      <name val="Mangal"/>
      <family val="2"/>
      <charset val="1"/>
    </font>
    <font>
      <sz val="11"/>
      <color theme="1"/>
      <name val="Calibri"/>
      <family val="2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Arial"/>
      <family val="2"/>
    </font>
    <font>
      <sz val="11"/>
      <name val="Arial"/>
      <family val="2"/>
    </font>
    <font>
      <b/>
      <sz val="10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19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9" fontId="3" fillId="0" borderId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" fillId="0" borderId="0"/>
    <xf numFmtId="0" fontId="3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46" applyNumberFormat="0" applyAlignment="0" applyProtection="0"/>
    <xf numFmtId="0" fontId="48" fillId="55" borderId="47" applyNumberFormat="0" applyAlignment="0" applyProtection="0"/>
    <xf numFmtId="178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48" applyNumberFormat="0" applyFill="0" applyAlignment="0" applyProtection="0"/>
    <xf numFmtId="0" fontId="52" fillId="0" borderId="49" applyNumberFormat="0" applyFill="0" applyAlignment="0" applyProtection="0"/>
    <xf numFmtId="0" fontId="53" fillId="0" borderId="50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4" fillId="41" borderId="46" applyNumberFormat="0" applyAlignment="0" applyProtection="0"/>
    <xf numFmtId="0" fontId="55" fillId="0" borderId="51" applyNumberFormat="0" applyFill="0" applyAlignment="0" applyProtection="0"/>
    <xf numFmtId="0" fontId="56" fillId="56" borderId="0" applyNumberFormat="0" applyBorder="0" applyAlignment="0" applyProtection="0"/>
    <xf numFmtId="0" fontId="3" fillId="57" borderId="52" applyNumberFormat="0" applyFont="0" applyAlignment="0" applyProtection="0"/>
    <xf numFmtId="0" fontId="57" fillId="54" borderId="53" applyNumberFormat="0" applyAlignment="0" applyProtection="0"/>
    <xf numFmtId="0" fontId="58" fillId="0" borderId="0" applyNumberFormat="0" applyFill="0" applyBorder="0" applyAlignment="0" applyProtection="0"/>
    <xf numFmtId="0" fontId="59" fillId="0" borderId="54" applyNumberFormat="0" applyFill="0" applyAlignment="0" applyProtection="0"/>
    <xf numFmtId="0" fontId="6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6" fillId="0" borderId="12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63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8" fillId="35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3" fillId="0" borderId="0"/>
    <xf numFmtId="177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80" fontId="3" fillId="0" borderId="0"/>
    <xf numFmtId="181" fontId="3" fillId="0" borderId="0"/>
    <xf numFmtId="180" fontId="3" fillId="0" borderId="0"/>
    <xf numFmtId="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38" fontId="44" fillId="58" borderId="0" applyNumberFormat="0" applyBorder="0" applyAlignment="0" applyProtection="0"/>
    <xf numFmtId="10" fontId="44" fillId="59" borderId="28" applyNumberFormat="0" applyBorder="0" applyAlignment="0" applyProtection="0"/>
    <xf numFmtId="182" fontId="3" fillId="0" borderId="0"/>
    <xf numFmtId="164" fontId="3" fillId="0" borderId="0"/>
    <xf numFmtId="182" fontId="3" fillId="0" borderId="0"/>
    <xf numFmtId="182" fontId="3" fillId="0" borderId="0"/>
    <xf numFmtId="182" fontId="3" fillId="0" borderId="0"/>
    <xf numFmtId="182" fontId="3" fillId="0" borderId="0"/>
    <xf numFmtId="183" fontId="3" fillId="0" borderId="0"/>
    <xf numFmtId="10" fontId="3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7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3" fillId="0" borderId="0" applyFont="0" applyFill="0" applyBorder="0" applyAlignment="0" applyProtection="0"/>
    <xf numFmtId="184" fontId="65" fillId="0" borderId="0" applyFill="0" applyBorder="0" applyAlignment="0" applyProtection="0"/>
    <xf numFmtId="9" fontId="65" fillId="0" borderId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0" borderId="0"/>
    <xf numFmtId="0" fontId="66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334">
    <xf numFmtId="0" fontId="0" fillId="0" borderId="0" xfId="0"/>
    <xf numFmtId="0" fontId="0" fillId="0" borderId="0" xfId="0" applyAlignment="1">
      <alignment horizontal="right"/>
    </xf>
    <xf numFmtId="164" fontId="1" fillId="0" borderId="0" xfId="1" applyNumberFormat="1"/>
    <xf numFmtId="17" fontId="0" fillId="0" borderId="0" xfId="0" applyNumberFormat="1"/>
    <xf numFmtId="3" fontId="0" fillId="0" borderId="0" xfId="0" applyNumberFormat="1"/>
    <xf numFmtId="164" fontId="0" fillId="0" borderId="0" xfId="1" applyNumberFormat="1" applyFont="1" applyAlignment="1">
      <alignment horizontal="right"/>
    </xf>
    <xf numFmtId="164" fontId="0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3" fillId="0" borderId="0" xfId="0" applyFont="1"/>
    <xf numFmtId="0" fontId="6" fillId="0" borderId="0" xfId="0" applyFont="1"/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2" fontId="6" fillId="0" borderId="0" xfId="0" applyNumberFormat="1" applyFont="1"/>
    <xf numFmtId="166" fontId="0" fillId="0" borderId="0" xfId="4" applyNumberFormat="1" applyFont="1"/>
    <xf numFmtId="166" fontId="0" fillId="0" borderId="0" xfId="0" applyNumberFormat="1"/>
    <xf numFmtId="164" fontId="5" fillId="0" borderId="0" xfId="1" applyNumberFormat="1" applyFont="1"/>
    <xf numFmtId="4" fontId="0" fillId="0" borderId="0" xfId="0" applyNumberFormat="1"/>
    <xf numFmtId="164" fontId="0" fillId="0" borderId="0" xfId="0" applyNumberFormat="1"/>
    <xf numFmtId="14" fontId="0" fillId="0" borderId="0" xfId="0" applyNumberFormat="1"/>
    <xf numFmtId="11" fontId="0" fillId="0" borderId="0" xfId="0" applyNumberFormat="1"/>
    <xf numFmtId="0" fontId="3" fillId="0" borderId="0" xfId="5"/>
    <xf numFmtId="10" fontId="3" fillId="0" borderId="0" xfId="5" applyNumberFormat="1"/>
    <xf numFmtId="0" fontId="4" fillId="0" borderId="0" xfId="6"/>
    <xf numFmtId="0" fontId="4" fillId="0" borderId="0" xfId="6" applyAlignment="1">
      <alignment horizontal="right"/>
    </xf>
    <xf numFmtId="0" fontId="3" fillId="0" borderId="0" xfId="6" applyFont="1" applyAlignment="1">
      <alignment horizontal="right"/>
    </xf>
    <xf numFmtId="3" fontId="4" fillId="0" borderId="0" xfId="6" applyNumberFormat="1"/>
    <xf numFmtId="166" fontId="0" fillId="0" borderId="0" xfId="7" applyNumberFormat="1" applyFont="1"/>
    <xf numFmtId="166" fontId="4" fillId="0" borderId="0" xfId="6" applyNumberFormat="1"/>
    <xf numFmtId="17" fontId="6" fillId="0" borderId="0" xfId="0" applyNumberFormat="1" applyFont="1"/>
    <xf numFmtId="0" fontId="3" fillId="0" borderId="0" xfId="5" applyAlignment="1">
      <alignment horizontal="right"/>
    </xf>
    <xf numFmtId="3" fontId="3" fillId="0" borderId="0" xfId="5" applyNumberFormat="1"/>
    <xf numFmtId="10" fontId="3" fillId="0" borderId="0" xfId="8" applyNumberFormat="1" applyFont="1"/>
    <xf numFmtId="166" fontId="3" fillId="0" borderId="0" xfId="5" applyNumberFormat="1"/>
    <xf numFmtId="0" fontId="11" fillId="0" borderId="0" xfId="5" applyFont="1"/>
    <xf numFmtId="3" fontId="11" fillId="0" borderId="0" xfId="5" applyNumberFormat="1" applyFont="1"/>
    <xf numFmtId="10" fontId="11" fillId="0" borderId="0" xfId="8" applyNumberFormat="1" applyFont="1"/>
    <xf numFmtId="0" fontId="3" fillId="0" borderId="0" xfId="5" applyAlignment="1">
      <alignment horizontal="center"/>
    </xf>
    <xf numFmtId="0" fontId="3" fillId="0" borderId="0" xfId="5" applyAlignment="1">
      <alignment horizontal="center" wrapText="1"/>
    </xf>
    <xf numFmtId="1" fontId="6" fillId="0" borderId="0" xfId="0" applyNumberFormat="1" applyFont="1"/>
    <xf numFmtId="0" fontId="3" fillId="3" borderId="0" xfId="5" applyFill="1" applyAlignment="1">
      <alignment horizontal="right"/>
    </xf>
    <xf numFmtId="0" fontId="3" fillId="3" borderId="0" xfId="5" applyFill="1"/>
    <xf numFmtId="3" fontId="3" fillId="3" borderId="0" xfId="5" applyNumberFormat="1" applyFill="1"/>
    <xf numFmtId="3" fontId="11" fillId="3" borderId="0" xfId="5" applyNumberFormat="1" applyFont="1" applyFill="1"/>
    <xf numFmtId="0" fontId="11" fillId="3" borderId="0" xfId="5" applyFont="1" applyFill="1"/>
    <xf numFmtId="0" fontId="3" fillId="3" borderId="0" xfId="5" applyFill="1" applyAlignment="1">
      <alignment horizontal="right" wrapText="1"/>
    </xf>
    <xf numFmtId="0" fontId="0" fillId="0" borderId="0" xfId="0" applyAlignment="1">
      <alignment wrapText="1"/>
    </xf>
    <xf numFmtId="0" fontId="8" fillId="0" borderId="0" xfId="5" applyFont="1"/>
    <xf numFmtId="0" fontId="8" fillId="0" borderId="0" xfId="5" applyFont="1" applyAlignment="1">
      <alignment horizontal="center"/>
    </xf>
    <xf numFmtId="167" fontId="3" fillId="0" borderId="0" xfId="5" applyNumberFormat="1"/>
    <xf numFmtId="165" fontId="0" fillId="0" borderId="0" xfId="9" applyNumberFormat="1" applyFont="1"/>
    <xf numFmtId="165" fontId="8" fillId="0" borderId="0" xfId="9" applyNumberFormat="1" applyFont="1" applyAlignment="1">
      <alignment horizontal="center"/>
    </xf>
    <xf numFmtId="164" fontId="3" fillId="0" borderId="0" xfId="1" applyNumberFormat="1" applyFont="1"/>
    <xf numFmtId="164" fontId="8" fillId="0" borderId="0" xfId="1" applyNumberFormat="1" applyFont="1"/>
    <xf numFmtId="0" fontId="12" fillId="3" borderId="0" xfId="5" applyFont="1" applyFill="1"/>
    <xf numFmtId="0" fontId="8" fillId="2" borderId="6" xfId="5" applyFont="1" applyFill="1" applyBorder="1"/>
    <xf numFmtId="0" fontId="8" fillId="2" borderId="7" xfId="5" applyFont="1" applyFill="1" applyBorder="1" applyAlignment="1">
      <alignment vertical="center"/>
    </xf>
    <xf numFmtId="0" fontId="8" fillId="2" borderId="8" xfId="5" applyFont="1" applyFill="1" applyBorder="1" applyAlignment="1">
      <alignment vertical="center"/>
    </xf>
    <xf numFmtId="0" fontId="8" fillId="3" borderId="9" xfId="5" applyFont="1" applyFill="1" applyBorder="1" applyAlignment="1">
      <alignment horizontal="center"/>
    </xf>
    <xf numFmtId="3" fontId="3" fillId="3" borderId="1" xfId="5" applyNumberFormat="1" applyFill="1" applyBorder="1"/>
    <xf numFmtId="0" fontId="8" fillId="3" borderId="10" xfId="5" applyFont="1" applyFill="1" applyBorder="1" applyAlignment="1">
      <alignment horizontal="center"/>
    </xf>
    <xf numFmtId="0" fontId="8" fillId="2" borderId="11" xfId="5" applyFont="1" applyFill="1" applyBorder="1" applyAlignment="1">
      <alignment horizontal="center"/>
    </xf>
    <xf numFmtId="3" fontId="3" fillId="2" borderId="2" xfId="5" applyNumberFormat="1" applyFill="1" applyBorder="1"/>
    <xf numFmtId="3" fontId="3" fillId="2" borderId="3" xfId="5" applyNumberFormat="1" applyFill="1" applyBorder="1"/>
    <xf numFmtId="0" fontId="8" fillId="2" borderId="7" xfId="5" applyFont="1" applyFill="1" applyBorder="1" applyAlignment="1">
      <alignment horizontal="center" vertical="center" wrapText="1"/>
    </xf>
    <xf numFmtId="0" fontId="8" fillId="2" borderId="8" xfId="5" applyFont="1" applyFill="1" applyBorder="1" applyAlignment="1">
      <alignment horizontal="center" vertical="center" wrapText="1"/>
    </xf>
    <xf numFmtId="164" fontId="13" fillId="0" borderId="0" xfId="1" applyNumberFormat="1" applyFont="1"/>
    <xf numFmtId="1" fontId="0" fillId="0" borderId="0" xfId="0" applyNumberFormat="1"/>
    <xf numFmtId="168" fontId="6" fillId="0" borderId="0" xfId="0" applyNumberFormat="1" applyFont="1"/>
    <xf numFmtId="170" fontId="0" fillId="0" borderId="0" xfId="1" applyNumberFormat="1" applyFont="1"/>
    <xf numFmtId="43" fontId="0" fillId="0" borderId="0" xfId="1" applyFont="1"/>
    <xf numFmtId="43" fontId="14" fillId="0" borderId="0" xfId="1" applyFont="1"/>
    <xf numFmtId="4" fontId="9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17" fontId="9" fillId="0" borderId="0" xfId="0" applyNumberFormat="1" applyFont="1" applyAlignment="1">
      <alignment horizontal="left" vertical="center" wrapText="1"/>
    </xf>
    <xf numFmtId="10" fontId="0" fillId="0" borderId="0" xfId="4" applyNumberFormat="1" applyFont="1"/>
    <xf numFmtId="164" fontId="0" fillId="0" borderId="0" xfId="1" applyNumberFormat="1" applyFont="1" applyAlignment="1">
      <alignment horizontal="left"/>
    </xf>
    <xf numFmtId="170" fontId="0" fillId="0" borderId="0" xfId="1" applyNumberFormat="1" applyFont="1" applyAlignment="1">
      <alignment horizontal="right"/>
    </xf>
    <xf numFmtId="164" fontId="14" fillId="0" borderId="0" xfId="1" applyNumberFormat="1" applyFont="1" applyAlignment="1">
      <alignment horizontal="right"/>
    </xf>
    <xf numFmtId="43" fontId="0" fillId="0" borderId="0" xfId="1" applyFont="1" applyAlignment="1">
      <alignment horizontal="right"/>
    </xf>
    <xf numFmtId="3" fontId="5" fillId="0" borderId="0" xfId="6" applyNumberFormat="1" applyFont="1"/>
    <xf numFmtId="166" fontId="5" fillId="0" borderId="0" xfId="7" applyNumberFormat="1" applyFont="1"/>
    <xf numFmtId="0" fontId="5" fillId="0" borderId="0" xfId="6" applyFont="1" applyAlignment="1">
      <alignment horizontal="center"/>
    </xf>
    <xf numFmtId="10" fontId="0" fillId="0" borderId="0" xfId="0" applyNumberFormat="1"/>
    <xf numFmtId="171" fontId="0" fillId="0" borderId="0" xfId="1" applyNumberFormat="1" applyFont="1"/>
    <xf numFmtId="167" fontId="8" fillId="0" borderId="0" xfId="5" applyNumberFormat="1" applyFont="1" applyAlignment="1">
      <alignment horizontal="center"/>
    </xf>
    <xf numFmtId="164" fontId="11" fillId="0" borderId="0" xfId="1" applyNumberFormat="1" applyFont="1"/>
    <xf numFmtId="0" fontId="5" fillId="0" borderId="0" xfId="0" applyFont="1" applyAlignment="1">
      <alignment horizontal="center"/>
    </xf>
    <xf numFmtId="0" fontId="31" fillId="0" borderId="0" xfId="0" applyFont="1"/>
    <xf numFmtId="170" fontId="14" fillId="0" borderId="0" xfId="1" applyNumberFormat="1" applyFont="1"/>
    <xf numFmtId="2" fontId="30" fillId="0" borderId="0" xfId="0" applyNumberFormat="1" applyFont="1"/>
    <xf numFmtId="164" fontId="3" fillId="0" borderId="0" xfId="1" applyNumberFormat="1" applyFont="1" applyAlignment="1">
      <alignment horizontal="center"/>
    </xf>
    <xf numFmtId="2" fontId="32" fillId="0" borderId="0" xfId="0" applyNumberFormat="1" applyFont="1"/>
    <xf numFmtId="3" fontId="3" fillId="0" borderId="0" xfId="5" applyNumberFormat="1" applyAlignment="1">
      <alignment horizontal="center"/>
    </xf>
    <xf numFmtId="9" fontId="3" fillId="0" borderId="0" xfId="4" applyFont="1"/>
    <xf numFmtId="0" fontId="0" fillId="0" borderId="27" xfId="0" applyBorder="1" applyAlignment="1">
      <alignment vertical="center" wrapText="1"/>
    </xf>
    <xf numFmtId="167" fontId="33" fillId="0" borderId="0" xfId="5" applyNumberFormat="1" applyFont="1"/>
    <xf numFmtId="9" fontId="8" fillId="0" borderId="0" xfId="5" applyNumberFormat="1" applyFont="1"/>
    <xf numFmtId="9" fontId="3" fillId="0" borderId="0" xfId="5" applyNumberFormat="1"/>
    <xf numFmtId="170" fontId="3" fillId="0" borderId="28" xfId="1" applyNumberFormat="1" applyFont="1" applyBorder="1" applyAlignment="1">
      <alignment vertical="center"/>
    </xf>
    <xf numFmtId="0" fontId="8" fillId="0" borderId="32" xfId="5" applyFont="1" applyBorder="1"/>
    <xf numFmtId="170" fontId="8" fillId="0" borderId="32" xfId="1" applyNumberFormat="1" applyFont="1" applyBorder="1"/>
    <xf numFmtId="0" fontId="0" fillId="0" borderId="27" xfId="0" applyBorder="1" applyAlignment="1">
      <alignment vertical="center"/>
    </xf>
    <xf numFmtId="0" fontId="5" fillId="0" borderId="28" xfId="0" applyFont="1" applyBorder="1"/>
    <xf numFmtId="0" fontId="5" fillId="0" borderId="2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164" fontId="0" fillId="0" borderId="28" xfId="0" applyNumberFormat="1" applyBorder="1" applyAlignment="1">
      <alignment vertical="top"/>
    </xf>
    <xf numFmtId="164" fontId="3" fillId="0" borderId="28" xfId="5" applyNumberFormat="1" applyBorder="1"/>
    <xf numFmtId="166" fontId="0" fillId="0" borderId="28" xfId="4" applyNumberFormat="1" applyFont="1" applyBorder="1" applyAlignment="1">
      <alignment vertical="top"/>
    </xf>
    <xf numFmtId="164" fontId="0" fillId="0" borderId="30" xfId="0" applyNumberFormat="1" applyBorder="1" applyAlignment="1">
      <alignment vertical="top"/>
    </xf>
    <xf numFmtId="0" fontId="0" fillId="0" borderId="9" xfId="0" applyBorder="1" applyAlignment="1">
      <alignment vertical="center" wrapText="1"/>
    </xf>
    <xf numFmtId="164" fontId="0" fillId="0" borderId="35" xfId="0" applyNumberFormat="1" applyBorder="1" applyAlignment="1">
      <alignment vertical="top"/>
    </xf>
    <xf numFmtId="10" fontId="3" fillId="3" borderId="0" xfId="4" applyNumberFormat="1" applyFont="1" applyFill="1"/>
    <xf numFmtId="167" fontId="35" fillId="0" borderId="0" xfId="5" applyNumberFormat="1" applyFont="1"/>
    <xf numFmtId="168" fontId="0" fillId="0" borderId="0" xfId="0" applyNumberFormat="1"/>
    <xf numFmtId="43" fontId="0" fillId="0" borderId="0" xfId="0" applyNumberFormat="1"/>
    <xf numFmtId="10" fontId="6" fillId="0" borderId="0" xfId="0" applyNumberFormat="1" applyFont="1"/>
    <xf numFmtId="10" fontId="6" fillId="0" borderId="0" xfId="4" applyNumberFormat="1" applyFont="1"/>
    <xf numFmtId="43" fontId="6" fillId="0" borderId="0" xfId="0" applyNumberFormat="1" applyFont="1"/>
    <xf numFmtId="173" fontId="0" fillId="0" borderId="0" xfId="1" applyNumberFormat="1" applyFont="1"/>
    <xf numFmtId="0" fontId="36" fillId="0" borderId="0" xfId="0" applyFont="1" applyAlignment="1">
      <alignment horizontal="right" vertical="center" wrapText="1"/>
    </xf>
    <xf numFmtId="167" fontId="11" fillId="0" borderId="0" xfId="5" applyNumberFormat="1" applyFont="1"/>
    <xf numFmtId="9" fontId="3" fillId="3" borderId="0" xfId="5" applyNumberFormat="1" applyFill="1"/>
    <xf numFmtId="9" fontId="3" fillId="3" borderId="0" xfId="5" applyNumberFormat="1" applyFill="1" applyAlignment="1">
      <alignment horizontal="right"/>
    </xf>
    <xf numFmtId="0" fontId="8" fillId="3" borderId="0" xfId="5" applyFont="1" applyFill="1"/>
    <xf numFmtId="167" fontId="8" fillId="0" borderId="0" xfId="5" applyNumberFormat="1" applyFont="1"/>
    <xf numFmtId="167" fontId="39" fillId="0" borderId="0" xfId="5" applyNumberFormat="1" applyFont="1"/>
    <xf numFmtId="0" fontId="3" fillId="0" borderId="36" xfId="5" applyBorder="1"/>
    <xf numFmtId="0" fontId="3" fillId="0" borderId="37" xfId="5" applyBorder="1"/>
    <xf numFmtId="0" fontId="3" fillId="0" borderId="38" xfId="5" applyBorder="1"/>
    <xf numFmtId="0" fontId="3" fillId="0" borderId="27" xfId="5" applyBorder="1"/>
    <xf numFmtId="164" fontId="3" fillId="0" borderId="30" xfId="5" applyNumberFormat="1" applyBorder="1"/>
    <xf numFmtId="0" fontId="3" fillId="0" borderId="31" xfId="5" applyBorder="1"/>
    <xf numFmtId="164" fontId="3" fillId="0" borderId="32" xfId="5" applyNumberFormat="1" applyBorder="1"/>
    <xf numFmtId="164" fontId="3" fillId="0" borderId="33" xfId="5" applyNumberFormat="1" applyBorder="1"/>
    <xf numFmtId="164" fontId="0" fillId="0" borderId="0" xfId="1" applyNumberFormat="1" applyFont="1" applyBorder="1"/>
    <xf numFmtId="164" fontId="6" fillId="0" borderId="0" xfId="1" applyNumberFormat="1" applyFont="1"/>
    <xf numFmtId="43" fontId="13" fillId="0" borderId="0" xfId="1" applyFont="1"/>
    <xf numFmtId="17" fontId="13" fillId="0" borderId="0" xfId="0" applyNumberFormat="1" applyFont="1"/>
    <xf numFmtId="17" fontId="31" fillId="0" borderId="0" xfId="0" applyNumberFormat="1" applyFont="1"/>
    <xf numFmtId="43" fontId="31" fillId="0" borderId="0" xfId="1" applyFont="1"/>
    <xf numFmtId="170" fontId="31" fillId="0" borderId="0" xfId="1" applyNumberFormat="1" applyFont="1"/>
    <xf numFmtId="0" fontId="3" fillId="0" borderId="0" xfId="0" applyFont="1" applyAlignment="1">
      <alignment horizontal="center"/>
    </xf>
    <xf numFmtId="170" fontId="6" fillId="0" borderId="0" xfId="1" applyNumberFormat="1" applyFont="1"/>
    <xf numFmtId="174" fontId="0" fillId="0" borderId="0" xfId="0" applyNumberFormat="1"/>
    <xf numFmtId="174" fontId="35" fillId="0" borderId="0" xfId="5" applyNumberFormat="1" applyFont="1" applyAlignment="1">
      <alignment horizontal="center"/>
    </xf>
    <xf numFmtId="175" fontId="0" fillId="0" borderId="0" xfId="0" applyNumberFormat="1"/>
    <xf numFmtId="164" fontId="3" fillId="3" borderId="0" xfId="1" applyNumberFormat="1" applyFont="1" applyFill="1" applyBorder="1"/>
    <xf numFmtId="164" fontId="3" fillId="3" borderId="1" xfId="1" applyNumberFormat="1" applyFont="1" applyFill="1" applyBorder="1"/>
    <xf numFmtId="0" fontId="5" fillId="0" borderId="31" xfId="0" applyFont="1" applyBorder="1" applyAlignment="1">
      <alignment wrapText="1"/>
    </xf>
    <xf numFmtId="164" fontId="5" fillId="0" borderId="32" xfId="0" applyNumberFormat="1" applyFont="1" applyBorder="1"/>
    <xf numFmtId="166" fontId="5" fillId="0" borderId="32" xfId="4" applyNumberFormat="1" applyFont="1" applyBorder="1" applyAlignment="1">
      <alignment vertical="top"/>
    </xf>
    <xf numFmtId="164" fontId="5" fillId="0" borderId="32" xfId="1" applyNumberFormat="1" applyFont="1" applyBorder="1"/>
    <xf numFmtId="164" fontId="5" fillId="0" borderId="33" xfId="1" applyNumberFormat="1" applyFont="1" applyBorder="1"/>
    <xf numFmtId="0" fontId="40" fillId="0" borderId="0" xfId="0" applyFont="1"/>
    <xf numFmtId="0" fontId="41" fillId="0" borderId="0" xfId="0" applyFont="1"/>
    <xf numFmtId="10" fontId="3" fillId="0" borderId="0" xfId="0" applyNumberFormat="1" applyFont="1" applyAlignment="1">
      <alignment horizontal="center"/>
    </xf>
    <xf numFmtId="10" fontId="3" fillId="0" borderId="0" xfId="0" applyNumberFormat="1" applyFont="1"/>
    <xf numFmtId="164" fontId="0" fillId="0" borderId="0" xfId="57" applyNumberFormat="1" applyFont="1"/>
    <xf numFmtId="0" fontId="3" fillId="4" borderId="0" xfId="0" applyFont="1" applyFill="1"/>
    <xf numFmtId="0" fontId="0" fillId="4" borderId="0" xfId="0" applyFill="1"/>
    <xf numFmtId="0" fontId="2" fillId="4" borderId="0" xfId="0" applyFont="1" applyFill="1"/>
    <xf numFmtId="0" fontId="8" fillId="0" borderId="0" xfId="0" applyFont="1"/>
    <xf numFmtId="164" fontId="8" fillId="0" borderId="0" xfId="0" applyNumberFormat="1" applyFont="1"/>
    <xf numFmtId="0" fontId="3" fillId="0" borderId="39" xfId="0" applyFont="1" applyBorder="1"/>
    <xf numFmtId="0" fontId="3" fillId="0" borderId="40" xfId="0" applyFont="1" applyBorder="1"/>
    <xf numFmtId="0" fontId="3" fillId="0" borderId="41" xfId="0" applyFont="1" applyBorder="1"/>
    <xf numFmtId="0" fontId="3" fillId="0" borderId="42" xfId="0" applyFont="1" applyBorder="1"/>
    <xf numFmtId="0" fontId="3" fillId="0" borderId="43" xfId="0" applyFont="1" applyBorder="1"/>
    <xf numFmtId="164" fontId="3" fillId="0" borderId="0" xfId="57" applyNumberFormat="1" applyFont="1" applyBorder="1"/>
    <xf numFmtId="10" fontId="3" fillId="0" borderId="0" xfId="58" applyNumberFormat="1" applyFont="1" applyBorder="1"/>
    <xf numFmtId="0" fontId="3" fillId="0" borderId="0" xfId="57" applyNumberFormat="1" applyFont="1" applyBorder="1"/>
    <xf numFmtId="0" fontId="3" fillId="0" borderId="43" xfId="0" applyFont="1" applyBorder="1" applyAlignment="1">
      <alignment horizontal="center"/>
    </xf>
    <xf numFmtId="164" fontId="3" fillId="0" borderId="0" xfId="57" applyNumberFormat="1" applyFont="1" applyBorder="1" applyAlignment="1">
      <alignment vertical="top" wrapText="1"/>
    </xf>
    <xf numFmtId="164" fontId="8" fillId="0" borderId="43" xfId="0" applyNumberFormat="1" applyFont="1" applyBorder="1"/>
    <xf numFmtId="164" fontId="38" fillId="0" borderId="0" xfId="57" applyNumberFormat="1" applyFont="1" applyBorder="1"/>
    <xf numFmtId="10" fontId="8" fillId="0" borderId="43" xfId="58" applyNumberFormat="1" applyFont="1" applyBorder="1"/>
    <xf numFmtId="10" fontId="8" fillId="0" borderId="0" xfId="58" applyNumberFormat="1" applyFont="1"/>
    <xf numFmtId="0" fontId="8" fillId="0" borderId="43" xfId="0" applyFont="1" applyBorder="1"/>
    <xf numFmtId="3" fontId="36" fillId="0" borderId="0" xfId="0" applyNumberFormat="1" applyFont="1" applyAlignment="1">
      <alignment horizontal="right" vertical="center"/>
    </xf>
    <xf numFmtId="3" fontId="3" fillId="0" borderId="43" xfId="0" applyNumberFormat="1" applyFont="1" applyBorder="1"/>
    <xf numFmtId="10" fontId="3" fillId="0" borderId="0" xfId="58" applyNumberFormat="1" applyFont="1" applyFill="1" applyBorder="1"/>
    <xf numFmtId="0" fontId="3" fillId="0" borderId="44" xfId="0" applyFont="1" applyBorder="1"/>
    <xf numFmtId="0" fontId="3" fillId="0" borderId="25" xfId="0" applyFont="1" applyBorder="1"/>
    <xf numFmtId="0" fontId="3" fillId="0" borderId="45" xfId="0" applyFont="1" applyBorder="1"/>
    <xf numFmtId="14" fontId="31" fillId="0" borderId="0" xfId="0" applyNumberFormat="1" applyFont="1"/>
    <xf numFmtId="164" fontId="31" fillId="0" borderId="0" xfId="1" applyNumberFormat="1" applyFont="1"/>
    <xf numFmtId="170" fontId="31" fillId="0" borderId="0" xfId="0" applyNumberFormat="1" applyFont="1"/>
    <xf numFmtId="0" fontId="0" fillId="0" borderId="39" xfId="0" applyBorder="1"/>
    <xf numFmtId="0" fontId="0" fillId="0" borderId="40" xfId="0" applyBorder="1"/>
    <xf numFmtId="164" fontId="0" fillId="0" borderId="40" xfId="57" applyNumberFormat="1" applyFont="1" applyBorder="1"/>
    <xf numFmtId="164" fontId="0" fillId="0" borderId="41" xfId="57" applyNumberFormat="1" applyFont="1" applyBorder="1"/>
    <xf numFmtId="0" fontId="0" fillId="0" borderId="42" xfId="0" applyBorder="1"/>
    <xf numFmtId="164" fontId="0" fillId="0" borderId="0" xfId="57" applyNumberFormat="1" applyFont="1" applyBorder="1"/>
    <xf numFmtId="164" fontId="0" fillId="0" borderId="43" xfId="57" applyNumberFormat="1" applyFont="1" applyBorder="1"/>
    <xf numFmtId="0" fontId="3" fillId="0" borderId="42" xfId="0" applyFont="1" applyBorder="1" applyAlignment="1">
      <alignment horizontal="right"/>
    </xf>
    <xf numFmtId="0" fontId="0" fillId="0" borderId="42" xfId="0" applyBorder="1" applyAlignment="1">
      <alignment horizontal="right"/>
    </xf>
    <xf numFmtId="0" fontId="3" fillId="0" borderId="42" xfId="0" applyFont="1" applyBorder="1" applyAlignment="1">
      <alignment horizontal="center"/>
    </xf>
    <xf numFmtId="164" fontId="8" fillId="0" borderId="42" xfId="0" applyNumberFormat="1" applyFont="1" applyBorder="1"/>
    <xf numFmtId="0" fontId="0" fillId="0" borderId="43" xfId="0" applyBorder="1"/>
    <xf numFmtId="10" fontId="8" fillId="0" borderId="42" xfId="58" applyNumberFormat="1" applyFont="1" applyBorder="1"/>
    <xf numFmtId="164" fontId="0" fillId="0" borderId="43" xfId="0" applyNumberFormat="1" applyBorder="1"/>
    <xf numFmtId="0" fontId="0" fillId="0" borderId="44" xfId="0" applyBorder="1"/>
    <xf numFmtId="0" fontId="8" fillId="0" borderId="25" xfId="0" applyFont="1" applyBorder="1"/>
    <xf numFmtId="164" fontId="8" fillId="0" borderId="25" xfId="0" applyNumberFormat="1" applyFont="1" applyBorder="1"/>
    <xf numFmtId="164" fontId="8" fillId="0" borderId="45" xfId="0" applyNumberFormat="1" applyFont="1" applyBorder="1"/>
    <xf numFmtId="0" fontId="40" fillId="0" borderId="40" xfId="0" applyFont="1" applyBorder="1"/>
    <xf numFmtId="0" fontId="0" fillId="0" borderId="41" xfId="0" applyBorder="1"/>
    <xf numFmtId="0" fontId="40" fillId="0" borderId="0" xfId="0" applyFont="1" applyAlignment="1">
      <alignment horizontal="center"/>
    </xf>
    <xf numFmtId="168" fontId="38" fillId="0" borderId="0" xfId="0" applyNumberFormat="1" applyFont="1" applyAlignment="1">
      <alignment horizontal="center"/>
    </xf>
    <xf numFmtId="0" fontId="3" fillId="4" borderId="42" xfId="0" applyFont="1" applyFill="1" applyBorder="1"/>
    <xf numFmtId="164" fontId="3" fillId="4" borderId="0" xfId="57" applyNumberFormat="1" applyFont="1" applyFill="1" applyBorder="1"/>
    <xf numFmtId="0" fontId="0" fillId="0" borderId="25" xfId="0" applyBorder="1"/>
    <xf numFmtId="0" fontId="0" fillId="0" borderId="45" xfId="0" applyBorder="1"/>
    <xf numFmtId="166" fontId="0" fillId="0" borderId="0" xfId="4" applyNumberFormat="1" applyFont="1" applyFill="1" applyBorder="1"/>
    <xf numFmtId="9" fontId="0" fillId="0" borderId="0" xfId="58" applyFont="1" applyBorder="1"/>
    <xf numFmtId="9" fontId="0" fillId="0" borderId="0" xfId="0" applyNumberFormat="1"/>
    <xf numFmtId="164" fontId="0" fillId="0" borderId="25" xfId="0" applyNumberFormat="1" applyBorder="1"/>
    <xf numFmtId="0" fontId="8" fillId="2" borderId="6" xfId="5" applyFont="1" applyFill="1" applyBorder="1" applyAlignment="1">
      <alignment horizontal="center" vertical="center"/>
    </xf>
    <xf numFmtId="3" fontId="8" fillId="2" borderId="2" xfId="5" applyNumberFormat="1" applyFont="1" applyFill="1" applyBorder="1"/>
    <xf numFmtId="3" fontId="8" fillId="2" borderId="3" xfId="5" applyNumberFormat="1" applyFont="1" applyFill="1" applyBorder="1"/>
    <xf numFmtId="164" fontId="0" fillId="0" borderId="0" xfId="1" applyNumberFormat="1" applyFont="1" applyFill="1" applyAlignment="1">
      <alignment horizontal="right"/>
    </xf>
    <xf numFmtId="176" fontId="12" fillId="3" borderId="0" xfId="5" applyNumberFormat="1" applyFont="1" applyFill="1"/>
    <xf numFmtId="43" fontId="3" fillId="3" borderId="0" xfId="5" applyNumberFormat="1" applyFill="1"/>
    <xf numFmtId="3" fontId="0" fillId="0" borderId="25" xfId="0" applyNumberFormat="1" applyBorder="1"/>
    <xf numFmtId="0" fontId="5" fillId="0" borderId="43" xfId="0" applyFont="1" applyBorder="1" applyAlignment="1">
      <alignment horizontal="center"/>
    </xf>
    <xf numFmtId="1" fontId="5" fillId="0" borderId="0" xfId="0" applyNumberFormat="1" applyFont="1"/>
    <xf numFmtId="3" fontId="0" fillId="0" borderId="40" xfId="0" applyNumberFormat="1" applyBorder="1"/>
    <xf numFmtId="174" fontId="0" fillId="0" borderId="40" xfId="0" applyNumberFormat="1" applyBorder="1"/>
    <xf numFmtId="174" fontId="0" fillId="0" borderId="25" xfId="0" applyNumberFormat="1" applyBorder="1"/>
    <xf numFmtId="0" fontId="37" fillId="0" borderId="0" xfId="56"/>
    <xf numFmtId="15" fontId="0" fillId="0" borderId="0" xfId="0" applyNumberFormat="1" applyAlignment="1">
      <alignment horizontal="center"/>
    </xf>
    <xf numFmtId="0" fontId="42" fillId="0" borderId="0" xfId="0" applyFont="1" applyAlignment="1">
      <alignment horizontal="center"/>
    </xf>
    <xf numFmtId="0" fontId="13" fillId="0" borderId="0" xfId="0" applyFont="1"/>
    <xf numFmtId="15" fontId="5" fillId="0" borderId="0" xfId="0" applyNumberFormat="1" applyFont="1" applyAlignment="1">
      <alignment horizontal="right" vertical="center"/>
    </xf>
    <xf numFmtId="0" fontId="13" fillId="0" borderId="0" xfId="5" applyFont="1"/>
    <xf numFmtId="166" fontId="13" fillId="0" borderId="0" xfId="5" applyNumberFormat="1" applyFont="1"/>
    <xf numFmtId="177" fontId="11" fillId="0" borderId="0" xfId="5" applyNumberFormat="1" applyFont="1"/>
    <xf numFmtId="0" fontId="8" fillId="2" borderId="6" xfId="5" applyFont="1" applyFill="1" applyBorder="1" applyAlignment="1">
      <alignment horizontal="center"/>
    </xf>
    <xf numFmtId="185" fontId="0" fillId="0" borderId="0" xfId="1" applyNumberFormat="1" applyFont="1"/>
    <xf numFmtId="11" fontId="0" fillId="0" borderId="0" xfId="1" applyNumberFormat="1" applyFont="1"/>
    <xf numFmtId="186" fontId="0" fillId="0" borderId="0" xfId="0" applyNumberFormat="1"/>
    <xf numFmtId="179" fontId="0" fillId="0" borderId="0" xfId="0" applyNumberFormat="1"/>
    <xf numFmtId="176" fontId="0" fillId="0" borderId="0" xfId="0" applyNumberFormat="1"/>
    <xf numFmtId="187" fontId="0" fillId="0" borderId="0" xfId="0" applyNumberFormat="1"/>
    <xf numFmtId="0" fontId="64" fillId="0" borderId="27" xfId="0" applyFont="1" applyBorder="1" applyAlignment="1">
      <alignment horizontal="center" vertical="center"/>
    </xf>
    <xf numFmtId="0" fontId="61" fillId="0" borderId="28" xfId="0" applyFont="1" applyBorder="1" applyAlignment="1">
      <alignment horizontal="center" vertical="center"/>
    </xf>
    <xf numFmtId="0" fontId="61" fillId="0" borderId="28" xfId="0" applyFont="1" applyBorder="1" applyAlignment="1">
      <alignment horizontal="center" vertical="center" wrapText="1"/>
    </xf>
    <xf numFmtId="0" fontId="61" fillId="0" borderId="28" xfId="0" applyFont="1" applyBorder="1" applyAlignment="1">
      <alignment horizontal="center"/>
    </xf>
    <xf numFmtId="0" fontId="64" fillId="0" borderId="27" xfId="0" applyFont="1" applyBorder="1" applyAlignment="1">
      <alignment vertical="center" wrapText="1"/>
    </xf>
    <xf numFmtId="164" fontId="64" fillId="0" borderId="28" xfId="1" applyNumberFormat="1" applyFont="1" applyFill="1" applyBorder="1" applyAlignment="1">
      <alignment horizontal="right" vertical="center"/>
    </xf>
    <xf numFmtId="0" fontId="3" fillId="0" borderId="28" xfId="5" applyBorder="1" applyAlignment="1">
      <alignment horizontal="right" vertical="center"/>
    </xf>
    <xf numFmtId="164" fontId="64" fillId="0" borderId="28" xfId="1" applyNumberFormat="1" applyFont="1" applyBorder="1" applyAlignment="1">
      <alignment horizontal="right" vertical="center"/>
    </xf>
    <xf numFmtId="164" fontId="64" fillId="0" borderId="28" xfId="1" applyNumberFormat="1" applyFont="1" applyBorder="1" applyAlignment="1">
      <alignment vertical="center"/>
    </xf>
    <xf numFmtId="0" fontId="64" fillId="0" borderId="9" xfId="0" applyFont="1" applyBorder="1" applyAlignment="1">
      <alignment vertical="center" wrapText="1"/>
    </xf>
    <xf numFmtId="0" fontId="8" fillId="0" borderId="31" xfId="0" applyFont="1" applyBorder="1" applyAlignment="1">
      <alignment wrapText="1"/>
    </xf>
    <xf numFmtId="164" fontId="8" fillId="0" borderId="32" xfId="0" applyNumberFormat="1" applyFont="1" applyBorder="1"/>
    <xf numFmtId="164" fontId="8" fillId="0" borderId="32" xfId="1" applyNumberFormat="1" applyFont="1" applyBorder="1"/>
    <xf numFmtId="164" fontId="8" fillId="0" borderId="32" xfId="1" applyNumberFormat="1" applyFont="1" applyBorder="1" applyAlignment="1">
      <alignment vertical="top"/>
    </xf>
    <xf numFmtId="0" fontId="8" fillId="0" borderId="30" xfId="5" applyFont="1" applyBorder="1" applyAlignment="1">
      <alignment horizontal="center" vertical="center" wrapText="1"/>
    </xf>
    <xf numFmtId="0" fontId="61" fillId="0" borderId="30" xfId="0" applyFont="1" applyBorder="1" applyAlignment="1">
      <alignment horizontal="center" vertical="center"/>
    </xf>
    <xf numFmtId="0" fontId="8" fillId="0" borderId="30" xfId="5" applyFont="1" applyBorder="1" applyAlignment="1">
      <alignment horizontal="center"/>
    </xf>
    <xf numFmtId="164" fontId="3" fillId="0" borderId="30" xfId="1" applyNumberFormat="1" applyFont="1" applyBorder="1" applyAlignment="1">
      <alignment vertical="center"/>
    </xf>
    <xf numFmtId="164" fontId="8" fillId="0" borderId="33" xfId="1" applyNumberFormat="1" applyFont="1" applyBorder="1" applyAlignment="1">
      <alignment vertical="center"/>
    </xf>
    <xf numFmtId="188" fontId="3" fillId="3" borderId="0" xfId="4" applyNumberFormat="1" applyFont="1" applyFill="1"/>
    <xf numFmtId="0" fontId="0" fillId="0" borderId="0" xfId="0" applyFont="1"/>
    <xf numFmtId="4" fontId="67" fillId="0" borderId="0" xfId="0" applyNumberFormat="1" applyFont="1" applyAlignment="1">
      <alignment horizontal="right" vertical="center"/>
    </xf>
    <xf numFmtId="0" fontId="67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 wrapText="1"/>
    </xf>
    <xf numFmtId="4" fontId="0" fillId="0" borderId="0" xfId="0" applyNumberFormat="1" applyFont="1"/>
    <xf numFmtId="0" fontId="69" fillId="0" borderId="0" xfId="0" applyFont="1" applyAlignment="1">
      <alignment horizontal="left" vertical="center"/>
    </xf>
    <xf numFmtId="4" fontId="69" fillId="0" borderId="0" xfId="0" applyNumberFormat="1" applyFont="1" applyAlignment="1">
      <alignment horizontal="right" vertical="center"/>
    </xf>
    <xf numFmtId="17" fontId="69" fillId="0" borderId="0" xfId="0" applyNumberFormat="1" applyFont="1" applyAlignment="1">
      <alignment horizontal="left" vertical="center" wrapText="1"/>
    </xf>
    <xf numFmtId="170" fontId="64" fillId="0" borderId="28" xfId="1" applyNumberFormat="1" applyFont="1" applyFill="1" applyBorder="1" applyAlignment="1">
      <alignment horizontal="right" vertical="center"/>
    </xf>
    <xf numFmtId="0" fontId="0" fillId="0" borderId="0" xfId="0" applyAlignment="1"/>
    <xf numFmtId="3" fontId="3" fillId="0" borderId="0" xfId="5" applyNumberFormat="1" applyFont="1"/>
    <xf numFmtId="166" fontId="13" fillId="0" borderId="0" xfId="4" applyNumberFormat="1" applyFont="1"/>
    <xf numFmtId="10" fontId="13" fillId="0" borderId="0" xfId="0" applyNumberFormat="1" applyFont="1"/>
    <xf numFmtId="10" fontId="13" fillId="0" borderId="0" xfId="4" applyNumberFormat="1" applyFont="1"/>
    <xf numFmtId="171" fontId="0" fillId="60" borderId="0" xfId="1" applyNumberFormat="1" applyFont="1" applyFill="1"/>
    <xf numFmtId="166" fontId="0" fillId="0" borderId="0" xfId="0" applyNumberFormat="1" applyFont="1"/>
    <xf numFmtId="0" fontId="71" fillId="0" borderId="59" xfId="5" applyFont="1" applyBorder="1" applyAlignment="1">
      <alignment horizontal="justify" vertical="center" wrapText="1"/>
    </xf>
    <xf numFmtId="3" fontId="71" fillId="0" borderId="3" xfId="5" applyNumberFormat="1" applyFont="1" applyBorder="1" applyAlignment="1">
      <alignment horizontal="right" vertical="center" wrapText="1"/>
    </xf>
    <xf numFmtId="177" fontId="71" fillId="0" borderId="3" xfId="5" applyNumberFormat="1" applyFont="1" applyBorder="1" applyAlignment="1">
      <alignment horizontal="right" vertical="center" wrapText="1"/>
    </xf>
    <xf numFmtId="0" fontId="70" fillId="0" borderId="55" xfId="5" applyFont="1" applyFill="1" applyBorder="1" applyAlignment="1">
      <alignment horizontal="center" vertical="center" wrapText="1"/>
    </xf>
    <xf numFmtId="0" fontId="70" fillId="0" borderId="59" xfId="5" applyFont="1" applyFill="1" applyBorder="1" applyAlignment="1">
      <alignment horizontal="center" vertical="center" wrapText="1"/>
    </xf>
    <xf numFmtId="0" fontId="70" fillId="0" borderId="3" xfId="5" applyFont="1" applyFill="1" applyBorder="1" applyAlignment="1">
      <alignment horizontal="center" vertical="center" wrapText="1"/>
    </xf>
    <xf numFmtId="0" fontId="7" fillId="61" borderId="59" xfId="5" applyFont="1" applyFill="1" applyBorder="1" applyAlignment="1">
      <alignment horizontal="justify" vertical="center" wrapText="1"/>
    </xf>
    <xf numFmtId="3" fontId="7" fillId="61" borderId="3" xfId="5" applyNumberFormat="1" applyFont="1" applyFill="1" applyBorder="1" applyAlignment="1">
      <alignment horizontal="right" vertical="center" wrapText="1"/>
    </xf>
    <xf numFmtId="0" fontId="72" fillId="61" borderId="3" xfId="5" applyFont="1" applyFill="1" applyBorder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4" fillId="0" borderId="0" xfId="6"/>
    <xf numFmtId="0" fontId="0" fillId="0" borderId="0" xfId="6" applyFont="1" applyAlignment="1">
      <alignment horizontal="center"/>
    </xf>
    <xf numFmtId="0" fontId="4" fillId="0" borderId="0" xfId="6" applyAlignment="1">
      <alignment horizontal="center"/>
    </xf>
    <xf numFmtId="0" fontId="3" fillId="3" borderId="0" xfId="5" applyFill="1" applyAlignment="1">
      <alignment horizontal="center"/>
    </xf>
    <xf numFmtId="0" fontId="3" fillId="0" borderId="0" xfId="5" applyAlignment="1">
      <alignment horizontal="center" wrapText="1"/>
    </xf>
    <xf numFmtId="0" fontId="3" fillId="0" borderId="0" xfId="5" applyAlignment="1">
      <alignment horizontal="center"/>
    </xf>
    <xf numFmtId="0" fontId="3" fillId="0" borderId="0" xfId="0" applyFont="1" applyAlignment="1">
      <alignment horizontal="center" wrapText="1"/>
    </xf>
    <xf numFmtId="0" fontId="61" fillId="0" borderId="24" xfId="0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0" fontId="61" fillId="0" borderId="26" xfId="0" applyFont="1" applyBorder="1" applyAlignment="1">
      <alignment horizontal="center"/>
    </xf>
    <xf numFmtId="0" fontId="64" fillId="0" borderId="21" xfId="0" applyFont="1" applyBorder="1" applyAlignment="1">
      <alignment horizontal="center"/>
    </xf>
    <xf numFmtId="0" fontId="64" fillId="0" borderId="22" xfId="0" applyFont="1" applyBorder="1" applyAlignment="1">
      <alignment horizontal="center"/>
    </xf>
    <xf numFmtId="0" fontId="64" fillId="0" borderId="2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64" fillId="0" borderId="27" xfId="0" applyFont="1" applyBorder="1" applyAlignment="1">
      <alignment horizontal="center" vertical="center"/>
    </xf>
    <xf numFmtId="0" fontId="61" fillId="0" borderId="28" xfId="0" applyFont="1" applyBorder="1" applyAlignment="1">
      <alignment horizontal="center" vertical="center"/>
    </xf>
    <xf numFmtId="172" fontId="61" fillId="0" borderId="4" xfId="0" applyNumberFormat="1" applyFont="1" applyBorder="1" applyAlignment="1">
      <alignment horizontal="center" vertical="center" wrapText="1"/>
    </xf>
    <xf numFmtId="172" fontId="61" fillId="0" borderId="29" xfId="0" applyNumberFormat="1" applyFont="1" applyBorder="1" applyAlignment="1">
      <alignment horizontal="center" vertical="center" wrapText="1"/>
    </xf>
    <xf numFmtId="172" fontId="61" fillId="0" borderId="5" xfId="0" applyNumberFormat="1" applyFont="1" applyBorder="1" applyAlignment="1">
      <alignment horizontal="center" vertical="center" wrapText="1"/>
    </xf>
    <xf numFmtId="0" fontId="61" fillId="0" borderId="4" xfId="0" applyFont="1" applyBorder="1" applyAlignment="1">
      <alignment horizontal="center" vertical="center"/>
    </xf>
    <xf numFmtId="0" fontId="61" fillId="0" borderId="29" xfId="0" applyFont="1" applyBorder="1" applyAlignment="1">
      <alignment horizontal="center" vertical="center"/>
    </xf>
    <xf numFmtId="0" fontId="61" fillId="0" borderId="5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72" fontId="5" fillId="0" borderId="4" xfId="0" applyNumberFormat="1" applyFont="1" applyBorder="1" applyAlignment="1">
      <alignment horizontal="center" wrapText="1"/>
    </xf>
    <xf numFmtId="172" fontId="5" fillId="0" borderId="34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" fillId="0" borderId="2" xfId="5" applyBorder="1" applyAlignment="1">
      <alignment horizontal="center"/>
    </xf>
    <xf numFmtId="0" fontId="8" fillId="0" borderId="0" xfId="5" applyFont="1" applyAlignment="1">
      <alignment horizontal="center"/>
    </xf>
    <xf numFmtId="0" fontId="3" fillId="2" borderId="0" xfId="5" applyFill="1" applyAlignment="1">
      <alignment horizontal="center" vertical="center" wrapText="1"/>
    </xf>
    <xf numFmtId="0" fontId="70" fillId="0" borderId="56" xfId="5" applyFont="1" applyFill="1" applyBorder="1" applyAlignment="1">
      <alignment horizontal="center" vertical="center" wrapText="1"/>
    </xf>
    <xf numFmtId="0" fontId="70" fillId="0" borderId="57" xfId="5" applyFont="1" applyFill="1" applyBorder="1" applyAlignment="1">
      <alignment horizontal="center" vertical="center" wrapText="1"/>
    </xf>
    <xf numFmtId="0" fontId="70" fillId="0" borderId="61" xfId="5" applyFont="1" applyFill="1" applyBorder="1" applyAlignment="1">
      <alignment horizontal="center" vertical="center" wrapText="1"/>
    </xf>
    <xf numFmtId="0" fontId="70" fillId="0" borderId="58" xfId="5" applyFont="1" applyFill="1" applyBorder="1" applyAlignment="1">
      <alignment horizontal="center" vertical="center" wrapText="1"/>
    </xf>
    <xf numFmtId="0" fontId="70" fillId="0" borderId="23" xfId="5" applyFont="1" applyFill="1" applyBorder="1" applyAlignment="1">
      <alignment horizontal="center" vertical="center" wrapText="1"/>
    </xf>
    <xf numFmtId="0" fontId="70" fillId="0" borderId="60" xfId="5" applyFont="1" applyFill="1" applyBorder="1" applyAlignment="1">
      <alignment horizontal="center" vertical="center" wrapText="1"/>
    </xf>
    <xf numFmtId="15" fontId="3" fillId="62" borderId="55" xfId="5" applyNumberFormat="1" applyFill="1" applyBorder="1"/>
  </cellXfs>
  <cellStyles count="196">
    <cellStyle name="$" xfId="151"/>
    <cellStyle name="$.00" xfId="152"/>
    <cellStyle name="$_9. Rev2Cost_GDPIPI" xfId="153"/>
    <cellStyle name="$_lists" xfId="154"/>
    <cellStyle name="$_lists_4. Current Monthly Fixed Charge" xfId="155"/>
    <cellStyle name="$_Sheet4" xfId="156"/>
    <cellStyle name="$M" xfId="157"/>
    <cellStyle name="$M.00" xfId="158"/>
    <cellStyle name="$M_9. Rev2Cost_GDPIPI" xfId="159"/>
    <cellStyle name="20% - Accent1" xfId="29" builtinId="30" customBuiltin="1"/>
    <cellStyle name="20% - Accent1 2" xfId="120"/>
    <cellStyle name="20% - Accent1 3" xfId="59"/>
    <cellStyle name="20% - Accent2" xfId="33" builtinId="34" customBuiltin="1"/>
    <cellStyle name="20% - Accent2 2" xfId="124"/>
    <cellStyle name="20% - Accent2 3" xfId="60"/>
    <cellStyle name="20% - Accent3" xfId="37" builtinId="38" customBuiltin="1"/>
    <cellStyle name="20% - Accent3 2" xfId="128"/>
    <cellStyle name="20% - Accent3 3" xfId="61"/>
    <cellStyle name="20% - Accent4" xfId="41" builtinId="42" customBuiltin="1"/>
    <cellStyle name="20% - Accent4 2" xfId="132"/>
    <cellStyle name="20% - Accent4 3" xfId="62"/>
    <cellStyle name="20% - Accent5" xfId="45" builtinId="46" customBuiltin="1"/>
    <cellStyle name="20% - Accent5 2" xfId="136"/>
    <cellStyle name="20% - Accent5 3" xfId="63"/>
    <cellStyle name="20% - Accent6" xfId="49" builtinId="50" customBuiltin="1"/>
    <cellStyle name="20% - Accent6 2" xfId="140"/>
    <cellStyle name="20% - Accent6 3" xfId="64"/>
    <cellStyle name="40% - Accent1" xfId="30" builtinId="31" customBuiltin="1"/>
    <cellStyle name="40% - Accent1 2" xfId="121"/>
    <cellStyle name="40% - Accent1 3" xfId="65"/>
    <cellStyle name="40% - Accent2" xfId="34" builtinId="35" customBuiltin="1"/>
    <cellStyle name="40% - Accent2 2" xfId="125"/>
    <cellStyle name="40% - Accent2 3" xfId="66"/>
    <cellStyle name="40% - Accent3" xfId="38" builtinId="39" customBuiltin="1"/>
    <cellStyle name="40% - Accent3 2" xfId="129"/>
    <cellStyle name="40% - Accent3 3" xfId="67"/>
    <cellStyle name="40% - Accent4" xfId="42" builtinId="43" customBuiltin="1"/>
    <cellStyle name="40% - Accent4 2" xfId="133"/>
    <cellStyle name="40% - Accent4 3" xfId="68"/>
    <cellStyle name="40% - Accent5" xfId="46" builtinId="47" customBuiltin="1"/>
    <cellStyle name="40% - Accent5 2" xfId="137"/>
    <cellStyle name="40% - Accent5 3" xfId="69"/>
    <cellStyle name="40% - Accent6" xfId="50" builtinId="51" customBuiltin="1"/>
    <cellStyle name="40% - Accent6 2" xfId="141"/>
    <cellStyle name="40% - Accent6 3" xfId="70"/>
    <cellStyle name="60% - Accent1" xfId="31" builtinId="32" customBuiltin="1"/>
    <cellStyle name="60% - Accent1 2" xfId="122"/>
    <cellStyle name="60% - Accent1 3" xfId="71"/>
    <cellStyle name="60% - Accent2" xfId="35" builtinId="36" customBuiltin="1"/>
    <cellStyle name="60% - Accent2 2" xfId="126"/>
    <cellStyle name="60% - Accent2 3" xfId="72"/>
    <cellStyle name="60% - Accent3" xfId="39" builtinId="40" customBuiltin="1"/>
    <cellStyle name="60% - Accent3 2" xfId="130"/>
    <cellStyle name="60% - Accent3 3" xfId="73"/>
    <cellStyle name="60% - Accent4" xfId="43" builtinId="44" customBuiltin="1"/>
    <cellStyle name="60% - Accent4 2" xfId="134"/>
    <cellStyle name="60% - Accent4 3" xfId="74"/>
    <cellStyle name="60% - Accent5" xfId="47" builtinId="48" customBuiltin="1"/>
    <cellStyle name="60% - Accent5 2" xfId="138"/>
    <cellStyle name="60% - Accent5 3" xfId="75"/>
    <cellStyle name="60% - Accent6" xfId="51" builtinId="52" customBuiltin="1"/>
    <cellStyle name="60% - Accent6 2" xfId="142"/>
    <cellStyle name="60% - Accent6 3" xfId="76"/>
    <cellStyle name="Accent1" xfId="28" builtinId="29" customBuiltin="1"/>
    <cellStyle name="Accent1 2" xfId="119"/>
    <cellStyle name="Accent1 3" xfId="77"/>
    <cellStyle name="Accent2" xfId="32" builtinId="33" customBuiltin="1"/>
    <cellStyle name="Accent2 2" xfId="123"/>
    <cellStyle name="Accent2 3" xfId="78"/>
    <cellStyle name="Accent3" xfId="36" builtinId="37" customBuiltin="1"/>
    <cellStyle name="Accent3 2" xfId="127"/>
    <cellStyle name="Accent3 3" xfId="79"/>
    <cellStyle name="Accent4" xfId="40" builtinId="41" customBuiltin="1"/>
    <cellStyle name="Accent4 2" xfId="131"/>
    <cellStyle name="Accent4 3" xfId="80"/>
    <cellStyle name="Accent5" xfId="44" builtinId="45" customBuiltin="1"/>
    <cellStyle name="Accent5 2" xfId="135"/>
    <cellStyle name="Accent5 3" xfId="81"/>
    <cellStyle name="Accent6" xfId="48" builtinId="49" customBuiltin="1"/>
    <cellStyle name="Accent6 2" xfId="139"/>
    <cellStyle name="Accent6 3" xfId="82"/>
    <cellStyle name="Bad" xfId="17" builtinId="27" customBuiltin="1"/>
    <cellStyle name="Bad 2" xfId="108"/>
    <cellStyle name="Bad 3" xfId="83"/>
    <cellStyle name="Calculation" xfId="21" builtinId="22" customBuiltin="1"/>
    <cellStyle name="Calculation 2" xfId="112"/>
    <cellStyle name="Calculation 3" xfId="84"/>
    <cellStyle name="Check Cell" xfId="23" builtinId="23" customBuiltin="1"/>
    <cellStyle name="Check Cell 2" xfId="114"/>
    <cellStyle name="Check Cell 3" xfId="85"/>
    <cellStyle name="Comma" xfId="1" builtinId="3"/>
    <cellStyle name="Comma 2" xfId="10"/>
    <cellStyle name="Comma 3" xfId="53"/>
    <cellStyle name="Comma 3 2" xfId="175"/>
    <cellStyle name="Comma 3 2 2" xfId="179"/>
    <cellStyle name="Comma 3 3" xfId="145"/>
    <cellStyle name="Comma 4" xfId="150"/>
    <cellStyle name="Comma 44" xfId="57"/>
    <cellStyle name="Comma 5" xfId="183"/>
    <cellStyle name="Comma 5 14" xfId="9"/>
    <cellStyle name="Comma 6" xfId="186"/>
    <cellStyle name="Comma 7" xfId="189"/>
    <cellStyle name="Comma 7 2" xfId="195"/>
    <cellStyle name="Comma 8" xfId="194"/>
    <cellStyle name="Comma0" xfId="160"/>
    <cellStyle name="Currency 2" xfId="149"/>
    <cellStyle name="Currency 2 2" xfId="185"/>
    <cellStyle name="Currency 3" xfId="177"/>
    <cellStyle name="Currency 4" xfId="182"/>
    <cellStyle name="Currency 5" xfId="188"/>
    <cellStyle name="Currency 6" xfId="86"/>
    <cellStyle name="Currency0" xfId="161"/>
    <cellStyle name="Date" xfId="162"/>
    <cellStyle name="Explanatory Text" xfId="26" builtinId="53" customBuiltin="1"/>
    <cellStyle name="Explanatory Text 2" xfId="117"/>
    <cellStyle name="Explanatory Text 3" xfId="87"/>
    <cellStyle name="Fixed" xfId="163"/>
    <cellStyle name="Good" xfId="16" builtinId="26" customBuiltin="1"/>
    <cellStyle name="Good 2" xfId="107"/>
    <cellStyle name="Good 3" xfId="88"/>
    <cellStyle name="Grey" xfId="164"/>
    <cellStyle name="Heading 1" xfId="12" builtinId="16" customBuiltin="1"/>
    <cellStyle name="Heading 1 2" xfId="104"/>
    <cellStyle name="Heading 1 3" xfId="89"/>
    <cellStyle name="Heading 2" xfId="13" builtinId="17" customBuiltin="1"/>
    <cellStyle name="Heading 2 2" xfId="103"/>
    <cellStyle name="Heading 2 3" xfId="90"/>
    <cellStyle name="Heading 3" xfId="14" builtinId="18" customBuiltin="1"/>
    <cellStyle name="Heading 3 2" xfId="105"/>
    <cellStyle name="Heading 3 3" xfId="91"/>
    <cellStyle name="Heading 4" xfId="15" builtinId="19" customBuiltin="1"/>
    <cellStyle name="Heading 4 2" xfId="106"/>
    <cellStyle name="Heading 4 3" xfId="92"/>
    <cellStyle name="Hyperlink" xfId="56" builtinId="8"/>
    <cellStyle name="Hyperlink 2" xfId="93"/>
    <cellStyle name="Input" xfId="19" builtinId="20" customBuiltin="1"/>
    <cellStyle name="Input [yellow]" xfId="165"/>
    <cellStyle name="Input 2" xfId="110"/>
    <cellStyle name="Input 3" xfId="94"/>
    <cellStyle name="Linked Cell" xfId="22" builtinId="24" customBuiltin="1"/>
    <cellStyle name="Linked Cell 2" xfId="113"/>
    <cellStyle name="Linked Cell 3" xfId="95"/>
    <cellStyle name="M" xfId="166"/>
    <cellStyle name="M.00" xfId="167"/>
    <cellStyle name="M_9. Rev2Cost_GDPIPI" xfId="168"/>
    <cellStyle name="M_lists" xfId="169"/>
    <cellStyle name="M_lists_4. Current Monthly Fixed Charge" xfId="170"/>
    <cellStyle name="M_Sheet4" xfId="171"/>
    <cellStyle name="Neutral" xfId="18" builtinId="28" customBuiltin="1"/>
    <cellStyle name="Neutral 2" xfId="109"/>
    <cellStyle name="Neutral 3" xfId="96"/>
    <cellStyle name="Normal" xfId="0" builtinId="0"/>
    <cellStyle name="Normal - Style1" xfId="172"/>
    <cellStyle name="Normal 10" xfId="192"/>
    <cellStyle name="Normal 11" xfId="193"/>
    <cellStyle name="Normal 2" xfId="2"/>
    <cellStyle name="Normal 2 2 2 2 2" xfId="5"/>
    <cellStyle name="Normal 3" xfId="6"/>
    <cellStyle name="Normal 4" xfId="52"/>
    <cellStyle name="Normal 4 2" xfId="55"/>
    <cellStyle name="Normal 5" xfId="144"/>
    <cellStyle name="Normal 5 2" xfId="174"/>
    <cellStyle name="Normal 5 2 2" xfId="178"/>
    <cellStyle name="Normal 6" xfId="147"/>
    <cellStyle name="Normal 7" xfId="181"/>
    <cellStyle name="Normal 8" xfId="190"/>
    <cellStyle name="Normal 9" xfId="191"/>
    <cellStyle name="Note" xfId="25" builtinId="10" customBuiltin="1"/>
    <cellStyle name="Note 2" xfId="116"/>
    <cellStyle name="Note 3" xfId="97"/>
    <cellStyle name="Output" xfId="20" builtinId="21" customBuiltin="1"/>
    <cellStyle name="Output 2" xfId="111"/>
    <cellStyle name="Output 3" xfId="98"/>
    <cellStyle name="Percent" xfId="4" builtinId="5"/>
    <cellStyle name="Percent [2]" xfId="173"/>
    <cellStyle name="Percent 10" xfId="58"/>
    <cellStyle name="Percent 2" xfId="3"/>
    <cellStyle name="Percent 2 2" xfId="143"/>
    <cellStyle name="Percent 3" xfId="7"/>
    <cellStyle name="Percent 3 2" xfId="176"/>
    <cellStyle name="Percent 3 2 2" xfId="180"/>
    <cellStyle name="Percent 3 3" xfId="146"/>
    <cellStyle name="Percent 4" xfId="54"/>
    <cellStyle name="Percent 4 2" xfId="148"/>
    <cellStyle name="Percent 5" xfId="184"/>
    <cellStyle name="Percent 5 3" xfId="8"/>
    <cellStyle name="Percent 6" xfId="187"/>
    <cellStyle name="Title" xfId="11" builtinId="15" customBuiltin="1"/>
    <cellStyle name="Title 2" xfId="102"/>
    <cellStyle name="Title 3" xfId="99"/>
    <cellStyle name="Total" xfId="27" builtinId="25" customBuiltin="1"/>
    <cellStyle name="Total 2" xfId="118"/>
    <cellStyle name="Total 3" xfId="100"/>
    <cellStyle name="Warning Text" xfId="24" builtinId="11" customBuiltin="1"/>
    <cellStyle name="Warning Text 2" xfId="115"/>
    <cellStyle name="Warning Text 3" xfId="10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Data'!$CY$1</c:f>
              <c:strCache>
                <c:ptCount val="1"/>
                <c:pt idx="0">
                  <c:v>Avg.Res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'Monthly Data'!$AW$2:$AW$133</c:f>
              <c:numCache>
                <c:formatCode>0.00</c:formatCode>
                <c:ptCount val="132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>
                  <c:v>-7.4193548387096714E-2</c:v>
                </c:pt>
                <c:pt idx="97">
                  <c:v>-2.1517241379310343</c:v>
                </c:pt>
                <c:pt idx="98">
                  <c:v>3.3000000000000003</c:v>
                </c:pt>
                <c:pt idx="99">
                  <c:v>5.4466666666666672</c:v>
                </c:pt>
                <c:pt idx="100">
                  <c:v>12.067741935483872</c:v>
                </c:pt>
                <c:pt idx="101">
                  <c:v>19.163333333333334</c:v>
                </c:pt>
                <c:pt idx="102">
                  <c:v>23.132258064516133</c:v>
                </c:pt>
                <c:pt idx="103">
                  <c:v>20.806451612903221</c:v>
                </c:pt>
                <c:pt idx="104">
                  <c:v>15.929999999999998</c:v>
                </c:pt>
                <c:pt idx="105">
                  <c:v>9.6838709677419335</c:v>
                </c:pt>
                <c:pt idx="106">
                  <c:v>7.126666666666666</c:v>
                </c:pt>
                <c:pt idx="107">
                  <c:v>0.40645161290322557</c:v>
                </c:pt>
                <c:pt idx="108">
                  <c:v>-1.9096774193548387</c:v>
                </c:pt>
                <c:pt idx="109">
                  <c:v>-5.4857142857142867</c:v>
                </c:pt>
                <c:pt idx="110">
                  <c:v>4.112903225806452</c:v>
                </c:pt>
                <c:pt idx="111">
                  <c:v>8.73</c:v>
                </c:pt>
                <c:pt idx="112">
                  <c:v>12.941935483870967</c:v>
                </c:pt>
                <c:pt idx="113">
                  <c:v>20.99</c:v>
                </c:pt>
                <c:pt idx="114">
                  <c:v>20.816129032258065</c:v>
                </c:pt>
                <c:pt idx="115">
                  <c:v>22.119354838709679</c:v>
                </c:pt>
                <c:pt idx="116">
                  <c:v>17.493333333333329</c:v>
                </c:pt>
                <c:pt idx="117">
                  <c:v>14.39032258064516</c:v>
                </c:pt>
                <c:pt idx="118">
                  <c:v>3.8966666666666674</c:v>
                </c:pt>
                <c:pt idx="119">
                  <c:v>1.9548387096774196</c:v>
                </c:pt>
                <c:pt idx="120">
                  <c:v>-6.9612903225806457</c:v>
                </c:pt>
                <c:pt idx="121">
                  <c:v>-3.6642857142857137</c:v>
                </c:pt>
                <c:pt idx="122">
                  <c:v>1.667741935483871</c:v>
                </c:pt>
                <c:pt idx="123">
                  <c:v>6.0733333333333341</c:v>
                </c:pt>
                <c:pt idx="124">
                  <c:v>14.835483870967742</c:v>
                </c:pt>
                <c:pt idx="125">
                  <c:v>18.759999999999998</c:v>
                </c:pt>
                <c:pt idx="126">
                  <c:v>21.93225806451613</c:v>
                </c:pt>
                <c:pt idx="127">
                  <c:v>21.41935483870968</c:v>
                </c:pt>
                <c:pt idx="128">
                  <c:v>17.456666666666667</c:v>
                </c:pt>
                <c:pt idx="129">
                  <c:v>10.606451612903225</c:v>
                </c:pt>
                <c:pt idx="130">
                  <c:v>5.69</c:v>
                </c:pt>
                <c:pt idx="131">
                  <c:v>-0.2741935483870967</c:v>
                </c:pt>
              </c:numCache>
            </c:numRef>
          </c:xVal>
          <c:yVal>
            <c:numRef>
              <c:f>'Monthly Data'!$CY$2:$CY$133</c:f>
              <c:numCache>
                <c:formatCode>_(* #,##0.00_);_(* \(#,##0.00\);_(* "-"??_);_(@_)</c:formatCode>
                <c:ptCount val="132"/>
                <c:pt idx="0">
                  <c:v>23.22560606681418</c:v>
                </c:pt>
                <c:pt idx="1">
                  <c:v>21.372690394846185</c:v>
                </c:pt>
                <c:pt idx="2">
                  <c:v>18.896023196864018</c:v>
                </c:pt>
                <c:pt idx="3">
                  <c:v>17.975600373364223</c:v>
                </c:pt>
                <c:pt idx="4">
                  <c:v>19.078854515555758</c:v>
                </c:pt>
                <c:pt idx="5">
                  <c:v>25.424204895806518</c:v>
                </c:pt>
                <c:pt idx="6">
                  <c:v>30.819193254889701</c:v>
                </c:pt>
                <c:pt idx="7">
                  <c:v>26.110498825101807</c:v>
                </c:pt>
                <c:pt idx="8">
                  <c:v>20.636741598991321</c:v>
                </c:pt>
                <c:pt idx="9">
                  <c:v>18.332200994935338</c:v>
                </c:pt>
                <c:pt idx="10">
                  <c:v>20.502042194408862</c:v>
                </c:pt>
                <c:pt idx="11">
                  <c:v>22.51593525868461</c:v>
                </c:pt>
                <c:pt idx="12">
                  <c:v>23.446740769100934</c:v>
                </c:pt>
                <c:pt idx="13">
                  <c:v>23.553252979144304</c:v>
                </c:pt>
                <c:pt idx="14">
                  <c:v>21.300159568628168</c:v>
                </c:pt>
                <c:pt idx="15">
                  <c:v>19.223647938932697</c:v>
                </c:pt>
                <c:pt idx="16">
                  <c:v>18.915367127638618</c:v>
                </c:pt>
                <c:pt idx="17">
                  <c:v>22.438953748136935</c:v>
                </c:pt>
                <c:pt idx="18">
                  <c:v>27.329416606039878</c:v>
                </c:pt>
                <c:pt idx="19">
                  <c:v>24.272690852789591</c:v>
                </c:pt>
                <c:pt idx="20">
                  <c:v>20.548650844090812</c:v>
                </c:pt>
                <c:pt idx="21">
                  <c:v>18.758194080307863</c:v>
                </c:pt>
                <c:pt idx="22">
                  <c:v>21.096033143786851</c:v>
                </c:pt>
                <c:pt idx="23">
                  <c:v>23.998583276019165</c:v>
                </c:pt>
                <c:pt idx="24">
                  <c:v>25.510294545421392</c:v>
                </c:pt>
                <c:pt idx="25">
                  <c:v>24.34372963763365</c:v>
                </c:pt>
                <c:pt idx="26">
                  <c:v>22.221680189379928</c:v>
                </c:pt>
                <c:pt idx="27">
                  <c:v>18.527659035248217</c:v>
                </c:pt>
                <c:pt idx="28">
                  <c:v>17.911193172550455</c:v>
                </c:pt>
                <c:pt idx="29">
                  <c:v>21.795022439865907</c:v>
                </c:pt>
                <c:pt idx="30">
                  <c:v>23.168804893709062</c:v>
                </c:pt>
                <c:pt idx="31">
                  <c:v>22.974056346787844</c:v>
                </c:pt>
                <c:pt idx="32">
                  <c:v>20.210346746415624</c:v>
                </c:pt>
                <c:pt idx="33">
                  <c:v>18.104071525801839</c:v>
                </c:pt>
                <c:pt idx="34">
                  <c:v>20.935302714085552</c:v>
                </c:pt>
                <c:pt idx="35">
                  <c:v>22.373762458934806</c:v>
                </c:pt>
                <c:pt idx="36">
                  <c:v>24.38234404780297</c:v>
                </c:pt>
                <c:pt idx="37">
                  <c:v>24.881368403794077</c:v>
                </c:pt>
                <c:pt idx="38">
                  <c:v>21.022199563436498</c:v>
                </c:pt>
                <c:pt idx="39">
                  <c:v>18.143118557782188</c:v>
                </c:pt>
                <c:pt idx="40">
                  <c:v>18.212740004540251</c:v>
                </c:pt>
                <c:pt idx="41">
                  <c:v>20.501879429319668</c:v>
                </c:pt>
                <c:pt idx="42">
                  <c:v>25.545402712221854</c:v>
                </c:pt>
                <c:pt idx="43">
                  <c:v>24.727037314212129</c:v>
                </c:pt>
                <c:pt idx="44">
                  <c:v>22.870684534609229</c:v>
                </c:pt>
                <c:pt idx="45">
                  <c:v>17.676710024098671</c:v>
                </c:pt>
                <c:pt idx="46">
                  <c:v>18.629519845153194</c:v>
                </c:pt>
                <c:pt idx="47">
                  <c:v>20.736232185692014</c:v>
                </c:pt>
                <c:pt idx="48">
                  <c:v>22.487069897304856</c:v>
                </c:pt>
                <c:pt idx="49">
                  <c:v>21.553859570045784</c:v>
                </c:pt>
                <c:pt idx="50">
                  <c:v>19.277538834412709</c:v>
                </c:pt>
                <c:pt idx="51">
                  <c:v>18.490704346653587</c:v>
                </c:pt>
                <c:pt idx="52">
                  <c:v>18.971263130434636</c:v>
                </c:pt>
                <c:pt idx="53">
                  <c:v>22.753032794587202</c:v>
                </c:pt>
                <c:pt idx="54">
                  <c:v>29.293979795666285</c:v>
                </c:pt>
                <c:pt idx="55">
                  <c:v>30.611036297779496</c:v>
                </c:pt>
                <c:pt idx="56">
                  <c:v>22.518396801071013</c:v>
                </c:pt>
                <c:pt idx="57">
                  <c:v>17.826628679792901</c:v>
                </c:pt>
                <c:pt idx="58">
                  <c:v>18.64913482534757</c:v>
                </c:pt>
                <c:pt idx="59">
                  <c:v>22.076670098955987</c:v>
                </c:pt>
                <c:pt idx="60">
                  <c:v>21.967346455188693</c:v>
                </c:pt>
                <c:pt idx="61">
                  <c:v>20.444361076091525</c:v>
                </c:pt>
                <c:pt idx="62">
                  <c:v>19.836177675417588</c:v>
                </c:pt>
                <c:pt idx="63">
                  <c:v>17.458645912733736</c:v>
                </c:pt>
                <c:pt idx="64">
                  <c:v>18.910523604450102</c:v>
                </c:pt>
                <c:pt idx="65">
                  <c:v>23.556409381897691</c:v>
                </c:pt>
                <c:pt idx="66">
                  <c:v>27.38791222850147</c:v>
                </c:pt>
                <c:pt idx="67">
                  <c:v>25.458925788626782</c:v>
                </c:pt>
                <c:pt idx="68">
                  <c:v>21.531608798075311</c:v>
                </c:pt>
                <c:pt idx="69">
                  <c:v>18.003364462465953</c:v>
                </c:pt>
                <c:pt idx="70">
                  <c:v>19.876709506827712</c:v>
                </c:pt>
                <c:pt idx="71">
                  <c:v>23.397162232895983</c:v>
                </c:pt>
                <c:pt idx="72">
                  <c:v>23.738870279022215</c:v>
                </c:pt>
                <c:pt idx="73">
                  <c:v>22.003758951399394</c:v>
                </c:pt>
                <c:pt idx="74">
                  <c:v>20.647496891160465</c:v>
                </c:pt>
                <c:pt idx="75">
                  <c:v>19.499847645125637</c:v>
                </c:pt>
                <c:pt idx="76">
                  <c:v>19.750954391166129</c:v>
                </c:pt>
                <c:pt idx="77">
                  <c:v>22.994556884790359</c:v>
                </c:pt>
                <c:pt idx="78">
                  <c:v>29.572454597207447</c:v>
                </c:pt>
                <c:pt idx="79">
                  <c:v>30.169136082384171</c:v>
                </c:pt>
                <c:pt idx="80">
                  <c:v>23.678793056852964</c:v>
                </c:pt>
                <c:pt idx="81">
                  <c:v>19.119592598511684</c:v>
                </c:pt>
                <c:pt idx="82">
                  <c:v>21.003468199655874</c:v>
                </c:pt>
                <c:pt idx="83">
                  <c:v>22.752742301354978</c:v>
                </c:pt>
                <c:pt idx="84">
                  <c:v>23.845746875909501</c:v>
                </c:pt>
                <c:pt idx="85">
                  <c:v>23.59826009212815</c:v>
                </c:pt>
                <c:pt idx="86">
                  <c:v>20.479060666297517</c:v>
                </c:pt>
                <c:pt idx="87">
                  <c:v>18.69513142145907</c:v>
                </c:pt>
                <c:pt idx="88">
                  <c:v>17.846145769680636</c:v>
                </c:pt>
                <c:pt idx="89">
                  <c:v>21.076047721600279</c:v>
                </c:pt>
                <c:pt idx="90">
                  <c:v>30.767697586882417</c:v>
                </c:pt>
                <c:pt idx="91">
                  <c:v>27.185974221891318</c:v>
                </c:pt>
                <c:pt idx="92">
                  <c:v>21.513029210619578</c:v>
                </c:pt>
                <c:pt idx="93">
                  <c:v>18.541485703602081</c:v>
                </c:pt>
                <c:pt idx="94">
                  <c:v>21.086923271193161</c:v>
                </c:pt>
                <c:pt idx="95">
                  <c:v>22.543992578849892</c:v>
                </c:pt>
                <c:pt idx="96">
                  <c:v>22.129201920891944</c:v>
                </c:pt>
                <c:pt idx="97">
                  <c:v>22.180762258253662</c:v>
                </c:pt>
                <c:pt idx="98">
                  <c:v>20.82609073667092</c:v>
                </c:pt>
                <c:pt idx="99">
                  <c:v>20.415593195587004</c:v>
                </c:pt>
                <c:pt idx="100">
                  <c:v>21.603508556206513</c:v>
                </c:pt>
                <c:pt idx="101">
                  <c:v>27.022088739430227</c:v>
                </c:pt>
                <c:pt idx="102">
                  <c:v>35.087599370755996</c:v>
                </c:pt>
                <c:pt idx="103">
                  <c:v>30.191661477805017</c:v>
                </c:pt>
                <c:pt idx="104">
                  <c:v>21.265010569135754</c:v>
                </c:pt>
                <c:pt idx="105">
                  <c:v>19.16851280358598</c:v>
                </c:pt>
                <c:pt idx="106">
                  <c:v>20.284259566335439</c:v>
                </c:pt>
                <c:pt idx="107">
                  <c:v>23.903217181926383</c:v>
                </c:pt>
                <c:pt idx="108">
                  <c:v>23.963082269158964</c:v>
                </c:pt>
                <c:pt idx="109">
                  <c:v>24.684943019009001</c:v>
                </c:pt>
                <c:pt idx="110">
                  <c:v>20.721472916330033</c:v>
                </c:pt>
                <c:pt idx="111">
                  <c:v>19.470134562603434</c:v>
                </c:pt>
                <c:pt idx="112">
                  <c:v>21.184153272013852</c:v>
                </c:pt>
                <c:pt idx="113">
                  <c:v>28.975914359615839</c:v>
                </c:pt>
                <c:pt idx="114">
                  <c:v>29.536496658742156</c:v>
                </c:pt>
                <c:pt idx="115">
                  <c:v>33.241818937857722</c:v>
                </c:pt>
                <c:pt idx="116">
                  <c:v>22.544465607372366</c:v>
                </c:pt>
                <c:pt idx="117">
                  <c:v>20.2442510975348</c:v>
                </c:pt>
                <c:pt idx="118">
                  <c:v>21.048225296377534</c:v>
                </c:pt>
                <c:pt idx="119">
                  <c:v>23.093411120384445</c:v>
                </c:pt>
                <c:pt idx="120">
                  <c:v>25.567684950255281</c:v>
                </c:pt>
                <c:pt idx="121">
                  <c:v>24.401266378939308</c:v>
                </c:pt>
                <c:pt idx="122">
                  <c:v>21.706831284301867</c:v>
                </c:pt>
                <c:pt idx="123">
                  <c:v>19.896287154158266</c:v>
                </c:pt>
                <c:pt idx="124">
                  <c:v>20.881144432844614</c:v>
                </c:pt>
                <c:pt idx="125">
                  <c:v>25.622325504612661</c:v>
                </c:pt>
                <c:pt idx="126">
                  <c:v>30.969393650479159</c:v>
                </c:pt>
                <c:pt idx="127">
                  <c:v>30.842008625919565</c:v>
                </c:pt>
                <c:pt idx="128">
                  <c:v>23.857614409557289</c:v>
                </c:pt>
                <c:pt idx="129">
                  <c:v>18.558259166119264</c:v>
                </c:pt>
                <c:pt idx="130">
                  <c:v>20.21298038771284</c:v>
                </c:pt>
                <c:pt idx="131">
                  <c:v>23.681615951539186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3F-4D01-BE55-19D07D97B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 50 kW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Weather!$DR$158:$DR$255</c:f>
              <c:numCache>
                <c:formatCode>_(* #,##0_);_(* \(#,##0\);_(* "-"??_);_(@_)</c:formatCode>
                <c:ptCount val="98"/>
                <c:pt idx="0">
                  <c:v>21656892.322908267</c:v>
                </c:pt>
                <c:pt idx="1">
                  <c:v>19270892.776922364</c:v>
                </c:pt>
                <c:pt idx="2">
                  <c:v>20056817.881679062</c:v>
                </c:pt>
                <c:pt idx="3">
                  <c:v>18860084.058233365</c:v>
                </c:pt>
                <c:pt idx="4">
                  <c:v>18641210.416657664</c:v>
                </c:pt>
                <c:pt idx="5">
                  <c:v>19373443.969514765</c:v>
                </c:pt>
                <c:pt idx="6">
                  <c:v>23546466.734313264</c:v>
                </c:pt>
                <c:pt idx="7">
                  <c:v>21799469.352462463</c:v>
                </c:pt>
                <c:pt idx="8">
                  <c:v>18204589.530658066</c:v>
                </c:pt>
                <c:pt idx="9">
                  <c:v>18651082.538031064</c:v>
                </c:pt>
                <c:pt idx="10">
                  <c:v>18582249.065724567</c:v>
                </c:pt>
                <c:pt idx="11">
                  <c:v>20507929.249744967</c:v>
                </c:pt>
                <c:pt idx="12">
                  <c:v>22574878.338350814</c:v>
                </c:pt>
                <c:pt idx="13">
                  <c:v>18431782.240890011</c:v>
                </c:pt>
                <c:pt idx="14">
                  <c:v>20313644.663039513</c:v>
                </c:pt>
                <c:pt idx="15">
                  <c:v>19283907.481619515</c:v>
                </c:pt>
                <c:pt idx="16">
                  <c:v>19146377.191588316</c:v>
                </c:pt>
                <c:pt idx="17">
                  <c:v>18624260.841029517</c:v>
                </c:pt>
                <c:pt idx="18">
                  <c:v>22473285.336796511</c:v>
                </c:pt>
                <c:pt idx="19">
                  <c:v>20760425.70034701</c:v>
                </c:pt>
                <c:pt idx="20">
                  <c:v>18500510.052468214</c:v>
                </c:pt>
                <c:pt idx="21">
                  <c:v>20153921.133393314</c:v>
                </c:pt>
                <c:pt idx="22">
                  <c:v>18711865.730132714</c:v>
                </c:pt>
                <c:pt idx="23">
                  <c:v>21202370.883770712</c:v>
                </c:pt>
                <c:pt idx="24">
                  <c:v>21407032.927619025</c:v>
                </c:pt>
                <c:pt idx="25">
                  <c:v>19902756.066625524</c:v>
                </c:pt>
                <c:pt idx="26">
                  <c:v>21814873.450316727</c:v>
                </c:pt>
                <c:pt idx="27">
                  <c:v>18254278.850208424</c:v>
                </c:pt>
                <c:pt idx="28">
                  <c:v>17259918.534105126</c:v>
                </c:pt>
                <c:pt idx="29">
                  <c:v>18660682.797031526</c:v>
                </c:pt>
                <c:pt idx="30">
                  <c:v>20445599.577143326</c:v>
                </c:pt>
                <c:pt idx="31">
                  <c:v>19474507.788008928</c:v>
                </c:pt>
                <c:pt idx="32">
                  <c:v>18323247.756729726</c:v>
                </c:pt>
                <c:pt idx="33">
                  <c:v>18647344.273645423</c:v>
                </c:pt>
                <c:pt idx="34">
                  <c:v>18747695.454941425</c:v>
                </c:pt>
                <c:pt idx="35">
                  <c:v>19946857.429488424</c:v>
                </c:pt>
                <c:pt idx="36">
                  <c:v>22107985.779086575</c:v>
                </c:pt>
                <c:pt idx="37">
                  <c:v>20769956.780525178</c:v>
                </c:pt>
                <c:pt idx="38">
                  <c:v>20069088.302363276</c:v>
                </c:pt>
                <c:pt idx="39">
                  <c:v>17741254.020058475</c:v>
                </c:pt>
                <c:pt idx="40">
                  <c:v>17706825.768221878</c:v>
                </c:pt>
                <c:pt idx="41">
                  <c:v>17937111.298871078</c:v>
                </c:pt>
                <c:pt idx="42">
                  <c:v>20524868.937950078</c:v>
                </c:pt>
                <c:pt idx="43">
                  <c:v>19671171.254714578</c:v>
                </c:pt>
                <c:pt idx="44">
                  <c:v>19122866.463099476</c:v>
                </c:pt>
                <c:pt idx="45">
                  <c:v>18089215.969800577</c:v>
                </c:pt>
                <c:pt idx="46">
                  <c:v>17026534.805204477</c:v>
                </c:pt>
                <c:pt idx="47">
                  <c:v>19197412.819288578</c:v>
                </c:pt>
                <c:pt idx="48">
                  <c:v>20964753.748990208</c:v>
                </c:pt>
                <c:pt idx="49">
                  <c:v>19381333.29994791</c:v>
                </c:pt>
                <c:pt idx="50">
                  <c:v>19024870.469088204</c:v>
                </c:pt>
                <c:pt idx="51">
                  <c:v>17881855.054593407</c:v>
                </c:pt>
                <c:pt idx="52">
                  <c:v>18761773.513984606</c:v>
                </c:pt>
                <c:pt idx="53">
                  <c:v>19128253.869357608</c:v>
                </c:pt>
                <c:pt idx="54">
                  <c:v>20805794.785203606</c:v>
                </c:pt>
                <c:pt idx="55">
                  <c:v>22155803.565557607</c:v>
                </c:pt>
                <c:pt idx="56">
                  <c:v>19008676.995803408</c:v>
                </c:pt>
                <c:pt idx="57">
                  <c:v>18392236.257128105</c:v>
                </c:pt>
                <c:pt idx="58">
                  <c:v>17676235.196301106</c:v>
                </c:pt>
                <c:pt idx="59">
                  <c:v>19445977.594531007</c:v>
                </c:pt>
                <c:pt idx="60">
                  <c:v>20405050.233825203</c:v>
                </c:pt>
                <c:pt idx="61">
                  <c:v>18530113.296418317</c:v>
                </c:pt>
                <c:pt idx="62">
                  <c:v>19458491.460847396</c:v>
                </c:pt>
                <c:pt idx="63">
                  <c:v>17068111.602635372</c:v>
                </c:pt>
                <c:pt idx="64">
                  <c:v>17303329.619864244</c:v>
                </c:pt>
                <c:pt idx="65">
                  <c:v>18723157.860614162</c:v>
                </c:pt>
                <c:pt idx="66">
                  <c:v>20650265.274632793</c:v>
                </c:pt>
                <c:pt idx="67">
                  <c:v>19470906.219232164</c:v>
                </c:pt>
                <c:pt idx="68">
                  <c:v>18299077.909161326</c:v>
                </c:pt>
                <c:pt idx="69">
                  <c:v>17819323.199973162</c:v>
                </c:pt>
                <c:pt idx="70">
                  <c:v>18191086.641311783</c:v>
                </c:pt>
                <c:pt idx="71">
                  <c:v>19035131.862352476</c:v>
                </c:pt>
                <c:pt idx="72">
                  <c:v>21215419.540043287</c:v>
                </c:pt>
                <c:pt idx="73">
                  <c:v>18866164.313090462</c:v>
                </c:pt>
                <c:pt idx="74">
                  <c:v>19590305.779881623</c:v>
                </c:pt>
                <c:pt idx="75">
                  <c:v>18011213.958728224</c:v>
                </c:pt>
                <c:pt idx="76">
                  <c:v>18513560.80069286</c:v>
                </c:pt>
                <c:pt idx="77">
                  <c:v>17879570.687290974</c:v>
                </c:pt>
                <c:pt idx="78">
                  <c:v>20694832.372938544</c:v>
                </c:pt>
                <c:pt idx="79">
                  <c:v>21436002.837038804</c:v>
                </c:pt>
                <c:pt idx="80">
                  <c:v>19085586.756315149</c:v>
                </c:pt>
                <c:pt idx="81">
                  <c:v>18365728.767554242</c:v>
                </c:pt>
                <c:pt idx="82">
                  <c:v>18960748.554049645</c:v>
                </c:pt>
                <c:pt idx="83">
                  <c:v>18373721.475781631</c:v>
                </c:pt>
                <c:pt idx="84">
                  <c:v>21388509.732646711</c:v>
                </c:pt>
                <c:pt idx="85">
                  <c:v>19689054.252646711</c:v>
                </c:pt>
                <c:pt idx="86">
                  <c:v>19694014.909946714</c:v>
                </c:pt>
                <c:pt idx="87">
                  <c:v>17847961.116946712</c:v>
                </c:pt>
                <c:pt idx="88">
                  <c:v>17888743.361746714</c:v>
                </c:pt>
                <c:pt idx="89">
                  <c:v>17985271.596546713</c:v>
                </c:pt>
                <c:pt idx="90">
                  <c:v>21371687.413446713</c:v>
                </c:pt>
                <c:pt idx="91">
                  <c:v>20692910.106446713</c:v>
                </c:pt>
                <c:pt idx="92">
                  <c:v>18943818.919546712</c:v>
                </c:pt>
                <c:pt idx="93">
                  <c:v>18584373.277746715</c:v>
                </c:pt>
                <c:pt idx="94">
                  <c:v>19294942.186846711</c:v>
                </c:pt>
                <c:pt idx="95">
                  <c:v>19752493.354446713</c:v>
                </c:pt>
                <c:pt idx="96">
                  <c:v>21003002.009531625</c:v>
                </c:pt>
                <c:pt idx="97">
                  <c:v>20078372.746231623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22-481D-842E-6A004BA57511}"/>
            </c:ext>
          </c:extLst>
        </c:ser>
        <c:ser>
          <c:idx val="1"/>
          <c:order val="1"/>
          <c:tx>
            <c:v>GS &gt;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Weather!$DR$256:$DR$277</c:f>
              <c:numCache>
                <c:formatCode>_(* #,##0_);_(* \(#,##0\);_(* "-"??_);_(@_)</c:formatCode>
                <c:ptCount val="22"/>
                <c:pt idx="0">
                  <c:v>19033212.631531626</c:v>
                </c:pt>
                <c:pt idx="1">
                  <c:v>16146825.079031626</c:v>
                </c:pt>
                <c:pt idx="2">
                  <c:v>16737509.729731625</c:v>
                </c:pt>
                <c:pt idx="3">
                  <c:v>18080324.839931626</c:v>
                </c:pt>
                <c:pt idx="4">
                  <c:v>20778017.208231624</c:v>
                </c:pt>
                <c:pt idx="5">
                  <c:v>19812423.801231623</c:v>
                </c:pt>
                <c:pt idx="6">
                  <c:v>17720405.453531627</c:v>
                </c:pt>
                <c:pt idx="7">
                  <c:v>17763399.932731625</c:v>
                </c:pt>
                <c:pt idx="8">
                  <c:v>18001281.908531625</c:v>
                </c:pt>
                <c:pt idx="9">
                  <c:v>19211884.231731623</c:v>
                </c:pt>
                <c:pt idx="10">
                  <c:v>19429062.246832542</c:v>
                </c:pt>
                <c:pt idx="11">
                  <c:v>18800724.077532545</c:v>
                </c:pt>
                <c:pt idx="12">
                  <c:v>18732854.230432551</c:v>
                </c:pt>
                <c:pt idx="13">
                  <c:v>16690634.706432544</c:v>
                </c:pt>
                <c:pt idx="14">
                  <c:v>17249466.064732548</c:v>
                </c:pt>
                <c:pt idx="15">
                  <c:v>18880616.946932543</c:v>
                </c:pt>
                <c:pt idx="16">
                  <c:v>19932935.032132547</c:v>
                </c:pt>
                <c:pt idx="17">
                  <c:v>20931136.735932548</c:v>
                </c:pt>
                <c:pt idx="18">
                  <c:v>18386871.497632541</c:v>
                </c:pt>
                <c:pt idx="19">
                  <c:v>18326695.988232542</c:v>
                </c:pt>
                <c:pt idx="20">
                  <c:v>18313854.593332544</c:v>
                </c:pt>
                <c:pt idx="21">
                  <c:v>18843469.397732548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22-481D-842E-6A004BA57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ReskWh_NoCDM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'Res Predicted Monthly'!$D$2:$D$121</c:f>
              <c:numCache>
                <c:formatCode>_(* #,##0_);_(* \(#,##0\);_(* "-"??_);_(@_)</c:formatCode>
                <c:ptCount val="120"/>
                <c:pt idx="0">
                  <c:v>22940442.075525835</c:v>
                </c:pt>
                <c:pt idx="1">
                  <c:v>19750182.603521436</c:v>
                </c:pt>
                <c:pt idx="2">
                  <c:v>18667532.484367538</c:v>
                </c:pt>
                <c:pt idx="3">
                  <c:v>17185932.248962335</c:v>
                </c:pt>
                <c:pt idx="4">
                  <c:v>18842238.561853837</c:v>
                </c:pt>
                <c:pt idx="5">
                  <c:v>24330964.085286837</c:v>
                </c:pt>
                <c:pt idx="6">
                  <c:v>30485698.764678538</c:v>
                </c:pt>
                <c:pt idx="7">
                  <c:v>25829575.968242534</c:v>
                </c:pt>
                <c:pt idx="8">
                  <c:v>19738217.869771238</c:v>
                </c:pt>
                <c:pt idx="9">
                  <c:v>18150877.194894433</c:v>
                </c:pt>
                <c:pt idx="10">
                  <c:v>19648132.137011733</c:v>
                </c:pt>
                <c:pt idx="11">
                  <c:v>22299512.088978134</c:v>
                </c:pt>
                <c:pt idx="12">
                  <c:v>23220643.847864494</c:v>
                </c:pt>
                <c:pt idx="13">
                  <c:v>21070740.115142494</c:v>
                </c:pt>
                <c:pt idx="14">
                  <c:v>21090139.995281495</c:v>
                </c:pt>
                <c:pt idx="15">
                  <c:v>18442014.413735695</c:v>
                </c:pt>
                <c:pt idx="16">
                  <c:v>18758766.803188898</c:v>
                </c:pt>
                <c:pt idx="17">
                  <c:v>21531298.069024794</c:v>
                </c:pt>
                <c:pt idx="18">
                  <c:v>27101461.942128897</c:v>
                </c:pt>
                <c:pt idx="19">
                  <c:v>24091301.034046695</c:v>
                </c:pt>
                <c:pt idx="20">
                  <c:v>19743349.217510894</c:v>
                </c:pt>
                <c:pt idx="21">
                  <c:v>18636040.720456898</c:v>
                </c:pt>
                <c:pt idx="22">
                  <c:v>20299657.892608896</c:v>
                </c:pt>
                <c:pt idx="23">
                  <c:v>23861647.359846197</c:v>
                </c:pt>
                <c:pt idx="24">
                  <c:v>25393202.293457907</c:v>
                </c:pt>
                <c:pt idx="25">
                  <c:v>21886278.818173807</c:v>
                </c:pt>
                <c:pt idx="26">
                  <c:v>22125882.52608351</c:v>
                </c:pt>
                <c:pt idx="27">
                  <c:v>17847693.948654607</c:v>
                </c:pt>
                <c:pt idx="28">
                  <c:v>17821762.58503991</c:v>
                </c:pt>
                <c:pt idx="29">
                  <c:v>20998414.369688809</c:v>
                </c:pt>
                <c:pt idx="30">
                  <c:v>23086879.999604907</c:v>
                </c:pt>
                <c:pt idx="31">
                  <c:v>22898517.649519607</c:v>
                </c:pt>
                <c:pt idx="32">
                  <c:v>19497729.920137007</c:v>
                </c:pt>
                <c:pt idx="33">
                  <c:v>18038933.076452006</c:v>
                </c:pt>
                <c:pt idx="34">
                  <c:v>20219734.067318108</c:v>
                </c:pt>
                <c:pt idx="35">
                  <c:v>22345974.245960809</c:v>
                </c:pt>
                <c:pt idx="36">
                  <c:v>24367178.229805239</c:v>
                </c:pt>
                <c:pt idx="37">
                  <c:v>22466482.311995439</c:v>
                </c:pt>
                <c:pt idx="38">
                  <c:v>21013033.88442684</c:v>
                </c:pt>
                <c:pt idx="39">
                  <c:v>17556188.672437936</c:v>
                </c:pt>
                <c:pt idx="40">
                  <c:v>18207057.629658837</c:v>
                </c:pt>
                <c:pt idx="41">
                  <c:v>19833723.178718138</c:v>
                </c:pt>
                <c:pt idx="42">
                  <c:v>25552478.788773138</c:v>
                </c:pt>
                <c:pt idx="43">
                  <c:v>24748450.928526238</c:v>
                </c:pt>
                <c:pt idx="44">
                  <c:v>22156204.349748038</c:v>
                </c:pt>
                <c:pt idx="45">
                  <c:v>17701333.681162238</c:v>
                </c:pt>
                <c:pt idx="46">
                  <c:v>18075477.924958337</c:v>
                </c:pt>
                <c:pt idx="47">
                  <c:v>20795330.447421238</c:v>
                </c:pt>
                <c:pt idx="48">
                  <c:v>22568585.525682587</c:v>
                </c:pt>
                <c:pt idx="49">
                  <c:v>20241380.399246987</c:v>
                </c:pt>
                <c:pt idx="50">
                  <c:v>19359371.986764789</c:v>
                </c:pt>
                <c:pt idx="51">
                  <c:v>17973519.346077684</c:v>
                </c:pt>
                <c:pt idx="52">
                  <c:v>19047091.269166984</c:v>
                </c:pt>
                <c:pt idx="53">
                  <c:v>22125504.150112487</c:v>
                </c:pt>
                <c:pt idx="54">
                  <c:v>29450116.707977187</c:v>
                </c:pt>
                <c:pt idx="55">
                  <c:v>30777988.889747586</c:v>
                </c:pt>
                <c:pt idx="56">
                  <c:v>21927063.701074887</c:v>
                </c:pt>
                <c:pt idx="57">
                  <c:v>17955354.765489686</c:v>
                </c:pt>
                <c:pt idx="58">
                  <c:v>18188501.195161484</c:v>
                </c:pt>
                <c:pt idx="59">
                  <c:v>22264829.558209386</c:v>
                </c:pt>
                <c:pt idx="60">
                  <c:v>22162065.014167484</c:v>
                </c:pt>
                <c:pt idx="61">
                  <c:v>18637570.22163086</c:v>
                </c:pt>
                <c:pt idx="62">
                  <c:v>20024303.984491248</c:v>
                </c:pt>
                <c:pt idx="63">
                  <c:v>17052034.049426168</c:v>
                </c:pt>
                <c:pt idx="64">
                  <c:v>19096905.725095563</c:v>
                </c:pt>
                <c:pt idx="65">
                  <c:v>23026861.29899263</c:v>
                </c:pt>
                <c:pt idx="66">
                  <c:v>27674827.997007251</c:v>
                </c:pt>
                <c:pt idx="67">
                  <c:v>25730368.855385121</c:v>
                </c:pt>
                <c:pt idx="68">
                  <c:v>21065018.835421018</c:v>
                </c:pt>
                <c:pt idx="69">
                  <c:v>18231593.113756634</c:v>
                </c:pt>
                <c:pt idx="70">
                  <c:v>19491896.410775527</c:v>
                </c:pt>
                <c:pt idx="71">
                  <c:v>23724231.163749639</c:v>
                </c:pt>
                <c:pt idx="72">
                  <c:v>24073659.566567264</c:v>
                </c:pt>
                <c:pt idx="73">
                  <c:v>20162044.327167265</c:v>
                </c:pt>
                <c:pt idx="74">
                  <c:v>20947649.553467266</c:v>
                </c:pt>
                <c:pt idx="75">
                  <c:v>19139295.462167267</c:v>
                </c:pt>
                <c:pt idx="76">
                  <c:v>20041747.692667268</c:v>
                </c:pt>
                <c:pt idx="77">
                  <c:v>22588013.119067267</c:v>
                </c:pt>
                <c:pt idx="78">
                  <c:v>30017017.307167266</c:v>
                </c:pt>
                <c:pt idx="79">
                  <c:v>30650726.001667269</c:v>
                </c:pt>
                <c:pt idx="80">
                  <c:v>23280752.545567263</c:v>
                </c:pt>
                <c:pt idx="81">
                  <c:v>19430725.728867266</c:v>
                </c:pt>
                <c:pt idx="82">
                  <c:v>20674343.852967266</c:v>
                </c:pt>
                <c:pt idx="83">
                  <c:v>23150505.742267266</c:v>
                </c:pt>
                <c:pt idx="84">
                  <c:v>24270749.622478835</c:v>
                </c:pt>
                <c:pt idx="85">
                  <c:v>21700393.622478835</c:v>
                </c:pt>
                <c:pt idx="86">
                  <c:v>20849772.622478835</c:v>
                </c:pt>
                <c:pt idx="87">
                  <c:v>18417882.622478835</c:v>
                </c:pt>
                <c:pt idx="88">
                  <c:v>18171409.622478835</c:v>
                </c:pt>
                <c:pt idx="89">
                  <c:v>20767283.622478835</c:v>
                </c:pt>
                <c:pt idx="90">
                  <c:v>31342776.622478835</c:v>
                </c:pt>
                <c:pt idx="91">
                  <c:v>27700006.622478835</c:v>
                </c:pt>
                <c:pt idx="92">
                  <c:v>21219806.622478835</c:v>
                </c:pt>
                <c:pt idx="93">
                  <c:v>18904138.622478835</c:v>
                </c:pt>
                <c:pt idx="94">
                  <c:v>20808997.622478835</c:v>
                </c:pt>
                <c:pt idx="95">
                  <c:v>22994714.622478835</c:v>
                </c:pt>
                <c:pt idx="96">
                  <c:v>22586037.165346839</c:v>
                </c:pt>
                <c:pt idx="97">
                  <c:v>21191611.165346839</c:v>
                </c:pt>
                <c:pt idx="98">
                  <c:v>21271519.165346839</c:v>
                </c:pt>
                <c:pt idx="99">
                  <c:v>20194288.165346839</c:v>
                </c:pt>
                <c:pt idx="100">
                  <c:v>22093692.165346839</c:v>
                </c:pt>
                <c:pt idx="101">
                  <c:v>26755921.165346839</c:v>
                </c:pt>
                <c:pt idx="102">
                  <c:v>35902228.165346839</c:v>
                </c:pt>
                <c:pt idx="103">
                  <c:v>30894493.165346839</c:v>
                </c:pt>
                <c:pt idx="104">
                  <c:v>21056188.165346839</c:v>
                </c:pt>
                <c:pt idx="105">
                  <c:v>19613548.165346839</c:v>
                </c:pt>
                <c:pt idx="106">
                  <c:v>20096630.165346839</c:v>
                </c:pt>
                <c:pt idx="107">
                  <c:v>24485595.165346839</c:v>
                </c:pt>
                <c:pt idx="108">
                  <c:v>24559547.349920601</c:v>
                </c:pt>
                <c:pt idx="109">
                  <c:v>22858652.194690637</c:v>
                </c:pt>
                <c:pt idx="110">
                  <c:v>21250098.411898531</c:v>
                </c:pt>
                <c:pt idx="111">
                  <c:v>19327418.476259552</c:v>
                </c:pt>
                <c:pt idx="112">
                  <c:v>21731149.293650523</c:v>
                </c:pt>
                <c:pt idx="113">
                  <c:v>28777429.346252467</c:v>
                </c:pt>
                <c:pt idx="114">
                  <c:v>30327543.112256587</c:v>
                </c:pt>
                <c:pt idx="115">
                  <c:v>34134162.325425573</c:v>
                </c:pt>
                <c:pt idx="116">
                  <c:v>22407620.701135617</c:v>
                </c:pt>
                <c:pt idx="117">
                  <c:v>20802749.496813588</c:v>
                </c:pt>
                <c:pt idx="118">
                  <c:v>20937511.631318592</c:v>
                </c:pt>
                <c:pt idx="119">
                  <c:v>23749125.435736641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2-4902-81F1-A62C5C717579}"/>
            </c:ext>
          </c:extLst>
        </c:ser>
        <c:ser>
          <c:idx val="1"/>
          <c:order val="1"/>
          <c:tx>
            <c:strRef>
              <c:f>'Res Predicted Monthly'!$W$1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'Res Predicted Monthly'!$W$2:$W$121</c:f>
              <c:numCache>
                <c:formatCode>_(* #,##0_);_(* \(#,##0\);_(* "-"??_);_(@_)</c:formatCode>
                <c:ptCount val="120"/>
                <c:pt idx="0">
                  <c:v>21880886.11595875</c:v>
                </c:pt>
                <c:pt idx="1">
                  <c:v>19648902.505942713</c:v>
                </c:pt>
                <c:pt idx="2">
                  <c:v>18804941.445879783</c:v>
                </c:pt>
                <c:pt idx="3">
                  <c:v>17604582.242275439</c:v>
                </c:pt>
                <c:pt idx="4">
                  <c:v>18983731.52246831</c:v>
                </c:pt>
                <c:pt idx="5">
                  <c:v>24669356.960466716</c:v>
                </c:pt>
                <c:pt idx="6">
                  <c:v>30133508.912264906</c:v>
                </c:pt>
                <c:pt idx="7">
                  <c:v>25847829.195029542</c:v>
                </c:pt>
                <c:pt idx="8">
                  <c:v>18740013.195709608</c:v>
                </c:pt>
                <c:pt idx="9">
                  <c:v>17696233.580805872</c:v>
                </c:pt>
                <c:pt idx="10">
                  <c:v>19347444.816380646</c:v>
                </c:pt>
                <c:pt idx="11">
                  <c:v>21615386.776795756</c:v>
                </c:pt>
                <c:pt idx="12">
                  <c:v>22335536.993460152</c:v>
                </c:pt>
                <c:pt idx="13">
                  <c:v>20300750.000214897</c:v>
                </c:pt>
                <c:pt idx="14">
                  <c:v>20580783.665193822</c:v>
                </c:pt>
                <c:pt idx="15">
                  <c:v>17835213.055286869</c:v>
                </c:pt>
                <c:pt idx="16">
                  <c:v>20243141.477458823</c:v>
                </c:pt>
                <c:pt idx="17">
                  <c:v>21726127.338374145</c:v>
                </c:pt>
                <c:pt idx="18">
                  <c:v>27632865.729047954</c:v>
                </c:pt>
                <c:pt idx="19">
                  <c:v>24663993.543298975</c:v>
                </c:pt>
                <c:pt idx="20">
                  <c:v>19276427.533507396</c:v>
                </c:pt>
                <c:pt idx="21">
                  <c:v>18073138.392132193</c:v>
                </c:pt>
                <c:pt idx="22">
                  <c:v>19899213.893514127</c:v>
                </c:pt>
                <c:pt idx="23">
                  <c:v>23508602.252943404</c:v>
                </c:pt>
                <c:pt idx="24">
                  <c:v>24484687.865847725</c:v>
                </c:pt>
                <c:pt idx="25">
                  <c:v>22003610.765474249</c:v>
                </c:pt>
                <c:pt idx="26">
                  <c:v>22079373.680729728</c:v>
                </c:pt>
                <c:pt idx="27">
                  <c:v>17710920.947555851</c:v>
                </c:pt>
                <c:pt idx="28">
                  <c:v>18410266.556484301</c:v>
                </c:pt>
                <c:pt idx="29">
                  <c:v>22161362.785012875</c:v>
                </c:pt>
                <c:pt idx="30">
                  <c:v>23634833.18483863</c:v>
                </c:pt>
                <c:pt idx="31">
                  <c:v>23892658.057788853</c:v>
                </c:pt>
                <c:pt idx="32">
                  <c:v>18610045.731711227</c:v>
                </c:pt>
                <c:pt idx="33">
                  <c:v>17566641.094149884</c:v>
                </c:pt>
                <c:pt idx="34">
                  <c:v>20180470.584944695</c:v>
                </c:pt>
                <c:pt idx="35">
                  <c:v>22099334.346156713</c:v>
                </c:pt>
                <c:pt idx="36">
                  <c:v>24019245.371750835</c:v>
                </c:pt>
                <c:pt idx="37">
                  <c:v>22925713.752697378</c:v>
                </c:pt>
                <c:pt idx="38">
                  <c:v>21134587.29480828</c:v>
                </c:pt>
                <c:pt idx="39">
                  <c:v>17552765.615018431</c:v>
                </c:pt>
                <c:pt idx="40">
                  <c:v>19921380.901063818</c:v>
                </c:pt>
                <c:pt idx="41">
                  <c:v>20309162.871655867</c:v>
                </c:pt>
                <c:pt idx="42">
                  <c:v>25525297.117872417</c:v>
                </c:pt>
                <c:pt idx="43">
                  <c:v>25203493.032326493</c:v>
                </c:pt>
                <c:pt idx="44">
                  <c:v>22859148.788672943</c:v>
                </c:pt>
                <c:pt idx="45">
                  <c:v>17273432.454660434</c:v>
                </c:pt>
                <c:pt idx="46">
                  <c:v>18505098.288054146</c:v>
                </c:pt>
                <c:pt idx="47">
                  <c:v>20893084.839604814</c:v>
                </c:pt>
                <c:pt idx="48">
                  <c:v>22638635.535836708</c:v>
                </c:pt>
                <c:pt idx="49">
                  <c:v>20674307.197756555</c:v>
                </c:pt>
                <c:pt idx="50">
                  <c:v>19460669.068475239</c:v>
                </c:pt>
                <c:pt idx="51">
                  <c:v>18367783.954515342</c:v>
                </c:pt>
                <c:pt idx="52">
                  <c:v>19968499.065722283</c:v>
                </c:pt>
                <c:pt idx="53">
                  <c:v>21744554.481612157</c:v>
                </c:pt>
                <c:pt idx="54">
                  <c:v>29308977.997642353</c:v>
                </c:pt>
                <c:pt idx="55">
                  <c:v>30931217.463554814</c:v>
                </c:pt>
                <c:pt idx="56">
                  <c:v>21067374.188199449</c:v>
                </c:pt>
                <c:pt idx="57">
                  <c:v>18682889.492048264</c:v>
                </c:pt>
                <c:pt idx="58">
                  <c:v>18611401.309605896</c:v>
                </c:pt>
                <c:pt idx="59">
                  <c:v>23203007.480453044</c:v>
                </c:pt>
                <c:pt idx="60">
                  <c:v>22182634.255194787</c:v>
                </c:pt>
                <c:pt idx="61">
                  <c:v>18912600.172699291</c:v>
                </c:pt>
                <c:pt idx="62">
                  <c:v>20664640.737487089</c:v>
                </c:pt>
                <c:pt idx="63">
                  <c:v>17347261.661685549</c:v>
                </c:pt>
                <c:pt idx="64">
                  <c:v>18755334.891772531</c:v>
                </c:pt>
                <c:pt idx="65">
                  <c:v>24089265.817105196</c:v>
                </c:pt>
                <c:pt idx="66">
                  <c:v>27801219.344945565</c:v>
                </c:pt>
                <c:pt idx="67">
                  <c:v>24543126.541785847</c:v>
                </c:pt>
                <c:pt idx="68">
                  <c:v>21536845.480888188</c:v>
                </c:pt>
                <c:pt idx="69">
                  <c:v>18749070.555590149</c:v>
                </c:pt>
                <c:pt idx="70">
                  <c:v>19967709.166136798</c:v>
                </c:pt>
                <c:pt idx="71">
                  <c:v>24114277.579344377</c:v>
                </c:pt>
                <c:pt idx="72">
                  <c:v>23754674.030648425</c:v>
                </c:pt>
                <c:pt idx="73">
                  <c:v>20275722.511013255</c:v>
                </c:pt>
                <c:pt idx="74">
                  <c:v>21290078.791812997</c:v>
                </c:pt>
                <c:pt idx="75">
                  <c:v>19135120.732698068</c:v>
                </c:pt>
                <c:pt idx="76">
                  <c:v>20880421.300053012</c:v>
                </c:pt>
                <c:pt idx="77">
                  <c:v>22438710.887165934</c:v>
                </c:pt>
                <c:pt idx="78">
                  <c:v>28381378.375020806</c:v>
                </c:pt>
                <c:pt idx="79">
                  <c:v>29164214.082528099</c:v>
                </c:pt>
                <c:pt idx="80">
                  <c:v>21901631.156684645</c:v>
                </c:pt>
                <c:pt idx="81">
                  <c:v>19797065.758733783</c:v>
                </c:pt>
                <c:pt idx="82">
                  <c:v>20792230.626693148</c:v>
                </c:pt>
                <c:pt idx="83">
                  <c:v>22664865.495629691</c:v>
                </c:pt>
                <c:pt idx="84">
                  <c:v>23929962.619111124</c:v>
                </c:pt>
                <c:pt idx="85">
                  <c:v>20896672.012294095</c:v>
                </c:pt>
                <c:pt idx="86">
                  <c:v>21523843.03228819</c:v>
                </c:pt>
                <c:pt idx="87">
                  <c:v>18239856.091411591</c:v>
                </c:pt>
                <c:pt idx="88">
                  <c:v>18279372.977330346</c:v>
                </c:pt>
                <c:pt idx="89">
                  <c:v>20885857.327320665</c:v>
                </c:pt>
                <c:pt idx="90">
                  <c:v>30424271.553006984</c:v>
                </c:pt>
                <c:pt idx="91">
                  <c:v>26822416.124561727</c:v>
                </c:pt>
                <c:pt idx="92">
                  <c:v>20973855.245616559</c:v>
                </c:pt>
                <c:pt idx="93">
                  <c:v>18566129.260795806</c:v>
                </c:pt>
                <c:pt idx="94">
                  <c:v>21246755.95084209</c:v>
                </c:pt>
                <c:pt idx="95">
                  <c:v>22864721.545063082</c:v>
                </c:pt>
                <c:pt idx="96">
                  <c:v>22445943.509535883</c:v>
                </c:pt>
                <c:pt idx="97">
                  <c:v>21537891.345604073</c:v>
                </c:pt>
                <c:pt idx="98">
                  <c:v>21474078.826292131</c:v>
                </c:pt>
                <c:pt idx="99">
                  <c:v>19258829.418922246</c:v>
                </c:pt>
                <c:pt idx="100">
                  <c:v>21116666.620473079</c:v>
                </c:pt>
                <c:pt idx="101">
                  <c:v>25463506.15287742</c:v>
                </c:pt>
                <c:pt idx="102">
                  <c:v>35925237.136151627</c:v>
                </c:pt>
                <c:pt idx="103">
                  <c:v>29906761.121870611</c:v>
                </c:pt>
                <c:pt idx="104">
                  <c:v>19957667.089116797</c:v>
                </c:pt>
                <c:pt idx="105">
                  <c:v>18527781.995829023</c:v>
                </c:pt>
                <c:pt idx="106">
                  <c:v>20073837.682660766</c:v>
                </c:pt>
                <c:pt idx="107">
                  <c:v>24229738.71411337</c:v>
                </c:pt>
                <c:pt idx="108">
                  <c:v>24501144.27306585</c:v>
                </c:pt>
                <c:pt idx="109">
                  <c:v>23353148.961856466</c:v>
                </c:pt>
                <c:pt idx="110">
                  <c:v>20949560.58821936</c:v>
                </c:pt>
                <c:pt idx="111">
                  <c:v>18869298.689823255</c:v>
                </c:pt>
                <c:pt idx="112">
                  <c:v>21473290.926701244</c:v>
                </c:pt>
                <c:pt idx="113">
                  <c:v>30138219.990583349</c:v>
                </c:pt>
                <c:pt idx="114">
                  <c:v>30625071.508884903</c:v>
                </c:pt>
                <c:pt idx="115">
                  <c:v>34187002.150287062</c:v>
                </c:pt>
                <c:pt idx="116">
                  <c:v>22054990.869277533</c:v>
                </c:pt>
                <c:pt idx="117">
                  <c:v>21897770.668929953</c:v>
                </c:pt>
                <c:pt idx="118">
                  <c:v>21584843.93129424</c:v>
                </c:pt>
                <c:pt idx="119">
                  <c:v>24086699.322943509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2-4902-81F1-A62C5C717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GSlt50kWh_NoCDM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Monthly'!$A$2:$A$145</c:f>
              <c:numCache>
                <c:formatCode>mmm\-yyyy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</c:numCache>
            </c:numRef>
          </c:cat>
          <c:val>
            <c:numRef>
              <c:f>'GS&lt;50 Predicted Monthly'!$D$2:$D$145</c:f>
              <c:numCache>
                <c:formatCode>_(* #,##0_);_(* \(#,##0\);_(* "-"??_);_(@_)</c:formatCode>
                <c:ptCount val="144"/>
                <c:pt idx="0">
                  <c:v>9715146.4363389518</c:v>
                </c:pt>
                <c:pt idx="1">
                  <c:v>8758035.2273938507</c:v>
                </c:pt>
                <c:pt idx="2">
                  <c:v>8522126.5363044497</c:v>
                </c:pt>
                <c:pt idx="3">
                  <c:v>7739075.6310959514</c:v>
                </c:pt>
                <c:pt idx="4">
                  <c:v>7942686.7721972512</c:v>
                </c:pt>
                <c:pt idx="5">
                  <c:v>8944453.9506688509</c:v>
                </c:pt>
                <c:pt idx="6">
                  <c:v>10398756.83768275</c:v>
                </c:pt>
                <c:pt idx="7">
                  <c:v>9361959.3423689511</c:v>
                </c:pt>
                <c:pt idx="8">
                  <c:v>7892744.2531334516</c:v>
                </c:pt>
                <c:pt idx="9">
                  <c:v>7783049.2121892506</c:v>
                </c:pt>
                <c:pt idx="10">
                  <c:v>8189402.8398290509</c:v>
                </c:pt>
                <c:pt idx="11">
                  <c:v>9020722.2922806516</c:v>
                </c:pt>
                <c:pt idx="12">
                  <c:v>9534040.4083122835</c:v>
                </c:pt>
                <c:pt idx="13">
                  <c:v>9006643.9426317848</c:v>
                </c:pt>
                <c:pt idx="14">
                  <c:v>9257804.8367192838</c:v>
                </c:pt>
                <c:pt idx="15">
                  <c:v>8125918.1034470843</c:v>
                </c:pt>
                <c:pt idx="16">
                  <c:v>8062929.2464828845</c:v>
                </c:pt>
                <c:pt idx="17">
                  <c:v>8348247.6178910844</c:v>
                </c:pt>
                <c:pt idx="18">
                  <c:v>9941815.5495547839</c:v>
                </c:pt>
                <c:pt idx="19">
                  <c:v>9130044.4114049841</c:v>
                </c:pt>
                <c:pt idx="20">
                  <c:v>7742147.1490493836</c:v>
                </c:pt>
                <c:pt idx="21">
                  <c:v>7764874.1227563843</c:v>
                </c:pt>
                <c:pt idx="22">
                  <c:v>8442140.3708957825</c:v>
                </c:pt>
                <c:pt idx="23">
                  <c:v>9615887.6118512843</c:v>
                </c:pt>
                <c:pt idx="24">
                  <c:v>10330036.572259538</c:v>
                </c:pt>
                <c:pt idx="25">
                  <c:v>9342848.3845273387</c:v>
                </c:pt>
                <c:pt idx="26">
                  <c:v>9830145.6265787389</c:v>
                </c:pt>
                <c:pt idx="27">
                  <c:v>8001586.9321141401</c:v>
                </c:pt>
                <c:pt idx="28">
                  <c:v>7894834.0307170395</c:v>
                </c:pt>
                <c:pt idx="29">
                  <c:v>8660683.5504774395</c:v>
                </c:pt>
                <c:pt idx="30">
                  <c:v>8972779.9475971386</c:v>
                </c:pt>
                <c:pt idx="31">
                  <c:v>8995970.5378717389</c:v>
                </c:pt>
                <c:pt idx="32">
                  <c:v>8027835.84851244</c:v>
                </c:pt>
                <c:pt idx="33">
                  <c:v>7886120.3539005406</c:v>
                </c:pt>
                <c:pt idx="34">
                  <c:v>8807284.4124100395</c:v>
                </c:pt>
                <c:pt idx="35">
                  <c:v>9514629.8967646398</c:v>
                </c:pt>
                <c:pt idx="36">
                  <c:v>10320708.516808653</c:v>
                </c:pt>
                <c:pt idx="37">
                  <c:v>9866509.5237202533</c:v>
                </c:pt>
                <c:pt idx="38">
                  <c:v>9609841.243772652</c:v>
                </c:pt>
                <c:pt idx="39">
                  <c:v>8135771.8970295526</c:v>
                </c:pt>
                <c:pt idx="40">
                  <c:v>8279127.9417781532</c:v>
                </c:pt>
                <c:pt idx="41">
                  <c:v>8440161.6741833519</c:v>
                </c:pt>
                <c:pt idx="42">
                  <c:v>9819719.7518207524</c:v>
                </c:pt>
                <c:pt idx="43">
                  <c:v>9326215.976339452</c:v>
                </c:pt>
                <c:pt idx="44">
                  <c:v>9088680.2512800526</c:v>
                </c:pt>
                <c:pt idx="45">
                  <c:v>7998052.1049736533</c:v>
                </c:pt>
                <c:pt idx="46">
                  <c:v>8128766.3749836534</c:v>
                </c:pt>
                <c:pt idx="47">
                  <c:v>8942085.5352303516</c:v>
                </c:pt>
                <c:pt idx="48">
                  <c:v>9713760.0239987727</c:v>
                </c:pt>
                <c:pt idx="49">
                  <c:v>9070727.7860055715</c:v>
                </c:pt>
                <c:pt idx="50">
                  <c:v>8861048.2157562729</c:v>
                </c:pt>
                <c:pt idx="51">
                  <c:v>8183337.5863723708</c:v>
                </c:pt>
                <c:pt idx="52">
                  <c:v>8312264.3294410715</c:v>
                </c:pt>
                <c:pt idx="53">
                  <c:v>8595692.9989207722</c:v>
                </c:pt>
                <c:pt idx="54">
                  <c:v>10219490.189801874</c:v>
                </c:pt>
                <c:pt idx="55">
                  <c:v>10586850.475766674</c:v>
                </c:pt>
                <c:pt idx="56">
                  <c:v>8524200.2556404732</c:v>
                </c:pt>
                <c:pt idx="57">
                  <c:v>7901315.6122177718</c:v>
                </c:pt>
                <c:pt idx="58">
                  <c:v>7994603.2368015721</c:v>
                </c:pt>
                <c:pt idx="59">
                  <c:v>9430061.9246487729</c:v>
                </c:pt>
                <c:pt idx="60">
                  <c:v>9394536.1409439929</c:v>
                </c:pt>
                <c:pt idx="61">
                  <c:v>8205817.9846679755</c:v>
                </c:pt>
                <c:pt idx="62">
                  <c:v>8991014.4320844971</c:v>
                </c:pt>
                <c:pt idx="63">
                  <c:v>7628637.7486069882</c:v>
                </c:pt>
                <c:pt idx="64">
                  <c:v>7802364.6196940765</c:v>
                </c:pt>
                <c:pt idx="65">
                  <c:v>8568018.6844583936</c:v>
                </c:pt>
                <c:pt idx="66">
                  <c:v>9396094.8214159403</c:v>
                </c:pt>
                <c:pt idx="67">
                  <c:v>9013385.7733225636</c:v>
                </c:pt>
                <c:pt idx="68">
                  <c:v>8245914.4193014568</c:v>
                </c:pt>
                <c:pt idx="69">
                  <c:v>7746325.4601202719</c:v>
                </c:pt>
                <c:pt idx="70">
                  <c:v>8373365.6037009042</c:v>
                </c:pt>
                <c:pt idx="71">
                  <c:v>9299039.0866151359</c:v>
                </c:pt>
                <c:pt idx="72">
                  <c:v>9887375.4825748149</c:v>
                </c:pt>
                <c:pt idx="73">
                  <c:v>8512331.4271643814</c:v>
                </c:pt>
                <c:pt idx="74">
                  <c:v>8970271.9821998216</c:v>
                </c:pt>
                <c:pt idx="75">
                  <c:v>8297636.6351806959</c:v>
                </c:pt>
                <c:pt idx="76">
                  <c:v>8249231.8735396629</c:v>
                </c:pt>
                <c:pt idx="77">
                  <c:v>8373888.3241558662</c:v>
                </c:pt>
                <c:pt idx="78">
                  <c:v>9741782.1239099316</c:v>
                </c:pt>
                <c:pt idx="79">
                  <c:v>9820589.6786198616</c:v>
                </c:pt>
                <c:pt idx="80">
                  <c:v>8296767.5050907237</c:v>
                </c:pt>
                <c:pt idx="81">
                  <c:v>7823378.1220731037</c:v>
                </c:pt>
                <c:pt idx="82">
                  <c:v>8565433.8271822594</c:v>
                </c:pt>
                <c:pt idx="83">
                  <c:v>8828754.4656966105</c:v>
                </c:pt>
                <c:pt idx="84">
                  <c:v>9605510.1381623745</c:v>
                </c:pt>
                <c:pt idx="85">
                  <c:v>9040925.1381623745</c:v>
                </c:pt>
                <c:pt idx="86">
                  <c:v>9197067.1381623745</c:v>
                </c:pt>
                <c:pt idx="87">
                  <c:v>8127529.1381623745</c:v>
                </c:pt>
                <c:pt idx="88">
                  <c:v>7917097.1381623745</c:v>
                </c:pt>
                <c:pt idx="89">
                  <c:v>8152023.1381623745</c:v>
                </c:pt>
                <c:pt idx="90">
                  <c:v>10489533.138162374</c:v>
                </c:pt>
                <c:pt idx="91">
                  <c:v>9622269.1381623745</c:v>
                </c:pt>
                <c:pt idx="92">
                  <c:v>8273598.1381623745</c:v>
                </c:pt>
                <c:pt idx="93">
                  <c:v>7800425.1381623745</c:v>
                </c:pt>
                <c:pt idx="94">
                  <c:v>8616007.1381623745</c:v>
                </c:pt>
                <c:pt idx="95">
                  <c:v>9248236.1381623745</c:v>
                </c:pt>
                <c:pt idx="96">
                  <c:v>9374978.422756426</c:v>
                </c:pt>
                <c:pt idx="97">
                  <c:v>8821961.5697564259</c:v>
                </c:pt>
                <c:pt idx="98">
                  <c:v>8206844.4992564246</c:v>
                </c:pt>
                <c:pt idx="99">
                  <c:v>6776050.0758564249</c:v>
                </c:pt>
                <c:pt idx="100">
                  <c:v>6981050.1180564258</c:v>
                </c:pt>
                <c:pt idx="101">
                  <c:v>7938603.4933564244</c:v>
                </c:pt>
                <c:pt idx="102">
                  <c:v>9807070.2790564243</c:v>
                </c:pt>
                <c:pt idx="103">
                  <c:v>9120086.2182564251</c:v>
                </c:pt>
                <c:pt idx="104">
                  <c:v>7766243.024256425</c:v>
                </c:pt>
                <c:pt idx="105">
                  <c:v>7704166.380056425</c:v>
                </c:pt>
                <c:pt idx="106">
                  <c:v>8129284.6763564246</c:v>
                </c:pt>
                <c:pt idx="107">
                  <c:v>9024138.0849564262</c:v>
                </c:pt>
                <c:pt idx="108">
                  <c:v>8980228.7675743923</c:v>
                </c:pt>
                <c:pt idx="109">
                  <c:v>8656506.8509763945</c:v>
                </c:pt>
                <c:pt idx="110">
                  <c:v>8547610.3388163969</c:v>
                </c:pt>
                <c:pt idx="111">
                  <c:v>7437605.7805074044</c:v>
                </c:pt>
                <c:pt idx="112">
                  <c:v>7624172.4321373999</c:v>
                </c:pt>
                <c:pt idx="113">
                  <c:v>8939305.3996103965</c:v>
                </c:pt>
                <c:pt idx="114">
                  <c:v>9619348.627058398</c:v>
                </c:pt>
                <c:pt idx="115">
                  <c:v>10353279.138714399</c:v>
                </c:pt>
                <c:pt idx="116">
                  <c:v>8403763.8862593919</c:v>
                </c:pt>
                <c:pt idx="117">
                  <c:v>8109369.5811114041</c:v>
                </c:pt>
                <c:pt idx="118">
                  <c:v>8522239.7704183962</c:v>
                </c:pt>
                <c:pt idx="119">
                  <c:v>9116150.4407464005</c:v>
                </c:pt>
                <c:pt idx="120">
                  <c:v>10085148.487455031</c:v>
                </c:pt>
                <c:pt idx="121">
                  <c:v>9138293.4874550309</c:v>
                </c:pt>
                <c:pt idx="122">
                  <c:v>9332810.4874550309</c:v>
                </c:pt>
                <c:pt idx="123">
                  <c:v>8348962.48745503</c:v>
                </c:pt>
                <c:pt idx="124">
                  <c:v>8504691.4874550309</c:v>
                </c:pt>
                <c:pt idx="125">
                  <c:v>9198410.4874550309</c:v>
                </c:pt>
                <c:pt idx="126">
                  <c:v>10146642.487455031</c:v>
                </c:pt>
                <c:pt idx="127">
                  <c:v>10166797.487455031</c:v>
                </c:pt>
                <c:pt idx="128">
                  <c:v>8698705.4874550309</c:v>
                </c:pt>
                <c:pt idx="129">
                  <c:v>8039425.48745503</c:v>
                </c:pt>
                <c:pt idx="130">
                  <c:v>8511697.4874550309</c:v>
                </c:pt>
                <c:pt idx="131">
                  <c:v>9458894.4874550309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B-4D06-931F-F75B7FFF6FC5}"/>
            </c:ext>
          </c:extLst>
        </c:ser>
        <c:ser>
          <c:idx val="1"/>
          <c:order val="1"/>
          <c:tx>
            <c:strRef>
              <c:f>'GS&lt;50 Predicted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Monthly'!$A$2:$A$145</c:f>
              <c:numCache>
                <c:formatCode>mmm\-yyyy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</c:numCache>
            </c:numRef>
          </c:cat>
          <c:val>
            <c:numRef>
              <c:f>'GS&lt;50 Predicted Monthly'!$O$2:$O$145</c:f>
              <c:numCache>
                <c:formatCode>_(* #,##0_);_(* \(#,##0\);_(* "-"??_);_(@_)</c:formatCode>
                <c:ptCount val="144"/>
                <c:pt idx="0">
                  <c:v>9145966.0386622287</c:v>
                </c:pt>
                <c:pt idx="1">
                  <c:v>8768518.0412152112</c:v>
                </c:pt>
                <c:pt idx="2">
                  <c:v>8132803.6233831756</c:v>
                </c:pt>
                <c:pt idx="3">
                  <c:v>8046387.6046331283</c:v>
                </c:pt>
                <c:pt idx="4">
                  <c:v>7955501.7388841957</c:v>
                </c:pt>
                <c:pt idx="5">
                  <c:v>9248708.8651896492</c:v>
                </c:pt>
                <c:pt idx="6">
                  <c:v>10402524.769882277</c:v>
                </c:pt>
                <c:pt idx="7">
                  <c:v>9385375.5341801532</c:v>
                </c:pt>
                <c:pt idx="8">
                  <c:v>8063681.520538534</c:v>
                </c:pt>
                <c:pt idx="9">
                  <c:v>7776294.8401563941</c:v>
                </c:pt>
                <c:pt idx="10">
                  <c:v>8438756.2927062735</c:v>
                </c:pt>
                <c:pt idx="11">
                  <c:v>8781261.444711037</c:v>
                </c:pt>
                <c:pt idx="12">
                  <c:v>9344000.4696300067</c:v>
                </c:pt>
                <c:pt idx="13">
                  <c:v>9258856.324130306</c:v>
                </c:pt>
                <c:pt idx="14">
                  <c:v>8935304.0272377841</c:v>
                </c:pt>
                <c:pt idx="15">
                  <c:v>8108980.4435312012</c:v>
                </c:pt>
                <c:pt idx="16">
                  <c:v>8245107.5100490628</c:v>
                </c:pt>
                <c:pt idx="17">
                  <c:v>8474602.4332822226</c:v>
                </c:pt>
                <c:pt idx="18">
                  <c:v>9704389.6392589975</c:v>
                </c:pt>
                <c:pt idx="19">
                  <c:v>8982486.7358056027</c:v>
                </c:pt>
                <c:pt idx="20">
                  <c:v>8049265.1794566382</c:v>
                </c:pt>
                <c:pt idx="21">
                  <c:v>7754570.4174804706</c:v>
                </c:pt>
                <c:pt idx="22">
                  <c:v>8547181.2158474773</c:v>
                </c:pt>
                <c:pt idx="23">
                  <c:v>9426691.8345367387</c:v>
                </c:pt>
                <c:pt idx="24">
                  <c:v>10059939.877819672</c:v>
                </c:pt>
                <c:pt idx="25">
                  <c:v>9822317.9178642705</c:v>
                </c:pt>
                <c:pt idx="26">
                  <c:v>9419082.9341131151</c:v>
                </c:pt>
                <c:pt idx="27">
                  <c:v>7992133.7509840503</c:v>
                </c:pt>
                <c:pt idx="28">
                  <c:v>7783948.5368504655</c:v>
                </c:pt>
                <c:pt idx="29">
                  <c:v>8560328.2954072021</c:v>
                </c:pt>
                <c:pt idx="30">
                  <c:v>8788027.7485065591</c:v>
                </c:pt>
                <c:pt idx="31">
                  <c:v>8861195.7437317856</c:v>
                </c:pt>
                <c:pt idx="32">
                  <c:v>7929595.0491591385</c:v>
                </c:pt>
                <c:pt idx="33">
                  <c:v>7664417.648986727</c:v>
                </c:pt>
                <c:pt idx="34">
                  <c:v>8662500.0854011066</c:v>
                </c:pt>
                <c:pt idx="35">
                  <c:v>8923373.5914357584</c:v>
                </c:pt>
                <c:pt idx="36">
                  <c:v>9971234.9642186388</c:v>
                </c:pt>
                <c:pt idx="37">
                  <c:v>10277836.793180069</c:v>
                </c:pt>
                <c:pt idx="38">
                  <c:v>9156106.5719088428</c:v>
                </c:pt>
                <c:pt idx="39">
                  <c:v>7982667.5179806892</c:v>
                </c:pt>
                <c:pt idx="40">
                  <c:v>8150474.60470373</c:v>
                </c:pt>
                <c:pt idx="41">
                  <c:v>8201597.4500504704</c:v>
                </c:pt>
                <c:pt idx="42">
                  <c:v>9315655.6044897493</c:v>
                </c:pt>
                <c:pt idx="43">
                  <c:v>9280353.8074873537</c:v>
                </c:pt>
                <c:pt idx="44">
                  <c:v>8995102.9668725505</c:v>
                </c:pt>
                <c:pt idx="45">
                  <c:v>7682574.3026249632</c:v>
                </c:pt>
                <c:pt idx="46">
                  <c:v>8092546.8289613025</c:v>
                </c:pt>
                <c:pt idx="47">
                  <c:v>8525243.8791945558</c:v>
                </c:pt>
                <c:pt idx="48">
                  <c:v>9467675.0049296729</c:v>
                </c:pt>
                <c:pt idx="49">
                  <c:v>9182056.4221709482</c:v>
                </c:pt>
                <c:pt idx="50">
                  <c:v>8502746.7132415101</c:v>
                </c:pt>
                <c:pt idx="51">
                  <c:v>8278366.8187655006</c:v>
                </c:pt>
                <c:pt idx="52">
                  <c:v>8200773.7080321023</c:v>
                </c:pt>
                <c:pt idx="53">
                  <c:v>8470420.878812002</c:v>
                </c:pt>
                <c:pt idx="54">
                  <c:v>10132793.235709678</c:v>
                </c:pt>
                <c:pt idx="55">
                  <c:v>10534338.520197731</c:v>
                </c:pt>
                <c:pt idx="56">
                  <c:v>8495833.4265343118</c:v>
                </c:pt>
                <c:pt idx="57">
                  <c:v>7930616.3202558327</c:v>
                </c:pt>
                <c:pt idx="58">
                  <c:v>8028160.5118703414</c:v>
                </c:pt>
                <c:pt idx="59">
                  <c:v>9262998.5382902138</c:v>
                </c:pt>
                <c:pt idx="60">
                  <c:v>9123176.3082004953</c:v>
                </c:pt>
                <c:pt idx="61">
                  <c:v>8621963.5010180976</c:v>
                </c:pt>
                <c:pt idx="62">
                  <c:v>8900310.3334748261</c:v>
                </c:pt>
                <c:pt idx="63">
                  <c:v>7838199.2050832724</c:v>
                </c:pt>
                <c:pt idx="64">
                  <c:v>7943712.8160597943</c:v>
                </c:pt>
                <c:pt idx="65">
                  <c:v>9054707.2594139483</c:v>
                </c:pt>
                <c:pt idx="66">
                  <c:v>9790154.2877360452</c:v>
                </c:pt>
                <c:pt idx="67">
                  <c:v>8974990.3531045355</c:v>
                </c:pt>
                <c:pt idx="68">
                  <c:v>8555125.1946488805</c:v>
                </c:pt>
                <c:pt idx="69">
                  <c:v>7828365.4146160521</c:v>
                </c:pt>
                <c:pt idx="70">
                  <c:v>8492697.8065266404</c:v>
                </c:pt>
                <c:pt idx="71">
                  <c:v>9573703.155296538</c:v>
                </c:pt>
                <c:pt idx="72">
                  <c:v>9721789.424600549</c:v>
                </c:pt>
                <c:pt idx="73">
                  <c:v>9151184.5534623768</c:v>
                </c:pt>
                <c:pt idx="74">
                  <c:v>9144726.998507116</c:v>
                </c:pt>
                <c:pt idx="75">
                  <c:v>8567024.6632306054</c:v>
                </c:pt>
                <c:pt idx="76">
                  <c:v>8401363.492140498</c:v>
                </c:pt>
                <c:pt idx="77">
                  <c:v>8685545.3552452438</c:v>
                </c:pt>
                <c:pt idx="78">
                  <c:v>9958286.4791762251</c:v>
                </c:pt>
                <c:pt idx="79">
                  <c:v>10156086.233776601</c:v>
                </c:pt>
                <c:pt idx="80">
                  <c:v>8772815.8537498433</c:v>
                </c:pt>
                <c:pt idx="81">
                  <c:v>8361505.0447916258</c:v>
                </c:pt>
                <c:pt idx="82">
                  <c:v>8872057.9167190902</c:v>
                </c:pt>
                <c:pt idx="83">
                  <c:v>9062572.4940460231</c:v>
                </c:pt>
                <c:pt idx="84">
                  <c:v>9810951.1187642664</c:v>
                </c:pt>
                <c:pt idx="85">
                  <c:v>9364142.8686726876</c:v>
                </c:pt>
                <c:pt idx="86">
                  <c:v>9156212.2003952432</c:v>
                </c:pt>
                <c:pt idx="87">
                  <c:v>8091780.7433198038</c:v>
                </c:pt>
                <c:pt idx="88">
                  <c:v>7715825.1606468186</c:v>
                </c:pt>
                <c:pt idx="89">
                  <c:v>8168317.9014358837</c:v>
                </c:pt>
                <c:pt idx="90">
                  <c:v>10262502.434376804</c:v>
                </c:pt>
                <c:pt idx="91">
                  <c:v>9452827.6789041366</c:v>
                </c:pt>
                <c:pt idx="92">
                  <c:v>8395736.2122322433</c:v>
                </c:pt>
                <c:pt idx="93">
                  <c:v>7906723.7572409026</c:v>
                </c:pt>
                <c:pt idx="94">
                  <c:v>8995785.8800884243</c:v>
                </c:pt>
                <c:pt idx="95">
                  <c:v>9101966.6998604946</c:v>
                </c:pt>
                <c:pt idx="96">
                  <c:v>9239083.0109635629</c:v>
                </c:pt>
                <c:pt idx="97">
                  <c:v>9374311.4058286175</c:v>
                </c:pt>
                <c:pt idx="98">
                  <c:v>8260930.2484886441</c:v>
                </c:pt>
                <c:pt idx="99">
                  <c:v>7276065.4405687526</c:v>
                </c:pt>
                <c:pt idx="100">
                  <c:v>7224573.2140150955</c:v>
                </c:pt>
                <c:pt idx="101">
                  <c:v>8278945.8585979175</c:v>
                </c:pt>
                <c:pt idx="102">
                  <c:v>10031703.02053469</c:v>
                </c:pt>
                <c:pt idx="103">
                  <c:v>9039491.4849757142</c:v>
                </c:pt>
                <c:pt idx="104">
                  <c:v>7588351.0776326116</c:v>
                </c:pt>
                <c:pt idx="105">
                  <c:v>7432424.7589594657</c:v>
                </c:pt>
                <c:pt idx="106">
                  <c:v>7777954.2865276374</c:v>
                </c:pt>
                <c:pt idx="107">
                  <c:v>8650059.3507459033</c:v>
                </c:pt>
                <c:pt idx="108">
                  <c:v>8975624.22937233</c:v>
                </c:pt>
                <c:pt idx="109">
                  <c:v>9241180.6174144279</c:v>
                </c:pt>
                <c:pt idx="110">
                  <c:v>8239628.9149054214</c:v>
                </c:pt>
                <c:pt idx="111">
                  <c:v>7777499.497660039</c:v>
                </c:pt>
                <c:pt idx="112">
                  <c:v>7983311.4712453112</c:v>
                </c:pt>
                <c:pt idx="113">
                  <c:v>9300774.5590448491</c:v>
                </c:pt>
                <c:pt idx="114">
                  <c:v>9277364.3126170449</c:v>
                </c:pt>
                <c:pt idx="115">
                  <c:v>9897254.0087231211</c:v>
                </c:pt>
                <c:pt idx="116">
                  <c:v>8026591.5510914195</c:v>
                </c:pt>
                <c:pt idx="117">
                  <c:v>7996472.3151573986</c:v>
                </c:pt>
                <c:pt idx="118">
                  <c:v>8357237.7998055341</c:v>
                </c:pt>
                <c:pt idx="119">
                  <c:v>8708496.8105514236</c:v>
                </c:pt>
                <c:pt idx="120">
                  <c:v>10175279.829637971</c:v>
                </c:pt>
                <c:pt idx="121">
                  <c:v>9509048.0945770238</c:v>
                </c:pt>
                <c:pt idx="122">
                  <c:v>9039990.781871248</c:v>
                </c:pt>
                <c:pt idx="123">
                  <c:v>8516687.6124232076</c:v>
                </c:pt>
                <c:pt idx="124">
                  <c:v>8543571.1992568728</c:v>
                </c:pt>
                <c:pt idx="125">
                  <c:v>8880552.0389927719</c:v>
                </c:pt>
                <c:pt idx="126">
                  <c:v>10182532.932330374</c:v>
                </c:pt>
                <c:pt idx="127">
                  <c:v>9910543.5633187443</c:v>
                </c:pt>
                <c:pt idx="128">
                  <c:v>8659389.5209775511</c:v>
                </c:pt>
                <c:pt idx="129">
                  <c:v>8017727.2488994356</c:v>
                </c:pt>
                <c:pt idx="130">
                  <c:v>8518410.1836657692</c:v>
                </c:pt>
                <c:pt idx="131">
                  <c:v>9285044.7763376497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B-4D06-931F-F75B7FFF6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Monthly'!$A$2:$A$134</c:f>
              <c:numCache>
                <c:formatCode>mmm\-yyyy</c:formatCode>
                <c:ptCount val="133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</c:numCache>
            </c:numRef>
          </c:cat>
          <c:val>
            <c:numRef>
              <c:f>'GS&gt;50 Predicted Monthly'!$D$2:$D$134</c:f>
              <c:numCache>
                <c:formatCode>_(* #,##0_);_(* \(#,##0\);_(* "-"??_);_(@_)</c:formatCode>
                <c:ptCount val="133"/>
                <c:pt idx="0">
                  <c:v>21656892.322908267</c:v>
                </c:pt>
                <c:pt idx="1">
                  <c:v>19270892.776922364</c:v>
                </c:pt>
                <c:pt idx="2">
                  <c:v>20056817.881679062</c:v>
                </c:pt>
                <c:pt idx="3">
                  <c:v>18860084.058233365</c:v>
                </c:pt>
                <c:pt idx="4">
                  <c:v>18641210.416657664</c:v>
                </c:pt>
                <c:pt idx="5">
                  <c:v>19373443.969514765</c:v>
                </c:pt>
                <c:pt idx="6">
                  <c:v>23546466.734313264</c:v>
                </c:pt>
                <c:pt idx="7">
                  <c:v>21799469.352462463</c:v>
                </c:pt>
                <c:pt idx="8">
                  <c:v>18204589.530658066</c:v>
                </c:pt>
                <c:pt idx="9">
                  <c:v>18651082.538031064</c:v>
                </c:pt>
                <c:pt idx="10">
                  <c:v>18582249.065724567</c:v>
                </c:pt>
                <c:pt idx="11">
                  <c:v>20507929.249744967</c:v>
                </c:pt>
                <c:pt idx="12">
                  <c:v>22574878.338350814</c:v>
                </c:pt>
                <c:pt idx="13">
                  <c:v>18431782.240890011</c:v>
                </c:pt>
                <c:pt idx="14">
                  <c:v>20313644.663039513</c:v>
                </c:pt>
                <c:pt idx="15">
                  <c:v>19283907.481619515</c:v>
                </c:pt>
                <c:pt idx="16">
                  <c:v>19146377.191588316</c:v>
                </c:pt>
                <c:pt idx="17">
                  <c:v>18624260.841029517</c:v>
                </c:pt>
                <c:pt idx="18">
                  <c:v>22473285.336796511</c:v>
                </c:pt>
                <c:pt idx="19">
                  <c:v>20760425.70034701</c:v>
                </c:pt>
                <c:pt idx="20">
                  <c:v>18500510.052468214</c:v>
                </c:pt>
                <c:pt idx="21">
                  <c:v>20153921.133393314</c:v>
                </c:pt>
                <c:pt idx="22">
                  <c:v>18711865.730132714</c:v>
                </c:pt>
                <c:pt idx="23">
                  <c:v>21202370.883770712</c:v>
                </c:pt>
                <c:pt idx="24">
                  <c:v>21407032.927619025</c:v>
                </c:pt>
                <c:pt idx="25">
                  <c:v>19902756.066625524</c:v>
                </c:pt>
                <c:pt idx="26">
                  <c:v>21814873.450316727</c:v>
                </c:pt>
                <c:pt idx="27">
                  <c:v>18254278.850208424</c:v>
                </c:pt>
                <c:pt idx="28">
                  <c:v>17259918.534105126</c:v>
                </c:pt>
                <c:pt idx="29">
                  <c:v>18660682.797031526</c:v>
                </c:pt>
                <c:pt idx="30">
                  <c:v>20445599.577143326</c:v>
                </c:pt>
                <c:pt idx="31">
                  <c:v>19474507.788008928</c:v>
                </c:pt>
                <c:pt idx="32">
                  <c:v>18323247.756729726</c:v>
                </c:pt>
                <c:pt idx="33">
                  <c:v>18647344.273645423</c:v>
                </c:pt>
                <c:pt idx="34">
                  <c:v>18747695.454941425</c:v>
                </c:pt>
                <c:pt idx="35">
                  <c:v>19946857.429488424</c:v>
                </c:pt>
                <c:pt idx="36">
                  <c:v>22107985.779086575</c:v>
                </c:pt>
                <c:pt idx="37">
                  <c:v>20769956.780525178</c:v>
                </c:pt>
                <c:pt idx="38">
                  <c:v>20069088.302363276</c:v>
                </c:pt>
                <c:pt idx="39">
                  <c:v>17741254.020058475</c:v>
                </c:pt>
                <c:pt idx="40">
                  <c:v>17706825.768221878</c:v>
                </c:pt>
                <c:pt idx="41">
                  <c:v>17937111.298871078</c:v>
                </c:pt>
                <c:pt idx="42">
                  <c:v>20524868.937950078</c:v>
                </c:pt>
                <c:pt idx="43">
                  <c:v>19671171.254714578</c:v>
                </c:pt>
                <c:pt idx="44">
                  <c:v>19122866.463099476</c:v>
                </c:pt>
                <c:pt idx="45">
                  <c:v>18089215.969800577</c:v>
                </c:pt>
                <c:pt idx="46">
                  <c:v>17026534.805204477</c:v>
                </c:pt>
                <c:pt idx="47">
                  <c:v>19197412.819288578</c:v>
                </c:pt>
                <c:pt idx="48">
                  <c:v>20964753.748990208</c:v>
                </c:pt>
                <c:pt idx="49">
                  <c:v>19381333.29994791</c:v>
                </c:pt>
                <c:pt idx="50">
                  <c:v>19024870.469088204</c:v>
                </c:pt>
                <c:pt idx="51">
                  <c:v>17881855.054593407</c:v>
                </c:pt>
                <c:pt idx="52">
                  <c:v>18761773.513984606</c:v>
                </c:pt>
                <c:pt idx="53">
                  <c:v>19128253.869357608</c:v>
                </c:pt>
                <c:pt idx="54">
                  <c:v>20805794.785203606</c:v>
                </c:pt>
                <c:pt idx="55">
                  <c:v>22155803.565557607</c:v>
                </c:pt>
                <c:pt idx="56">
                  <c:v>19008676.995803408</c:v>
                </c:pt>
                <c:pt idx="57">
                  <c:v>18392236.257128105</c:v>
                </c:pt>
                <c:pt idx="58">
                  <c:v>17676235.196301106</c:v>
                </c:pt>
                <c:pt idx="59">
                  <c:v>19445977.594531007</c:v>
                </c:pt>
                <c:pt idx="60">
                  <c:v>20405050.233825203</c:v>
                </c:pt>
                <c:pt idx="61">
                  <c:v>18530113.296418317</c:v>
                </c:pt>
                <c:pt idx="62">
                  <c:v>19458491.460847396</c:v>
                </c:pt>
                <c:pt idx="63">
                  <c:v>17068111.602635372</c:v>
                </c:pt>
                <c:pt idx="64">
                  <c:v>17303329.619864244</c:v>
                </c:pt>
                <c:pt idx="65">
                  <c:v>18723157.860614162</c:v>
                </c:pt>
                <c:pt idx="66">
                  <c:v>20650265.274632793</c:v>
                </c:pt>
                <c:pt idx="67">
                  <c:v>19470906.219232164</c:v>
                </c:pt>
                <c:pt idx="68">
                  <c:v>18299077.909161326</c:v>
                </c:pt>
                <c:pt idx="69">
                  <c:v>17819323.199973162</c:v>
                </c:pt>
                <c:pt idx="70">
                  <c:v>18191086.641311783</c:v>
                </c:pt>
                <c:pt idx="71">
                  <c:v>19035131.862352476</c:v>
                </c:pt>
                <c:pt idx="72">
                  <c:v>21215419.540043287</c:v>
                </c:pt>
                <c:pt idx="73">
                  <c:v>18866164.313090462</c:v>
                </c:pt>
                <c:pt idx="74">
                  <c:v>19590305.779881623</c:v>
                </c:pt>
                <c:pt idx="75">
                  <c:v>18011213.958728224</c:v>
                </c:pt>
                <c:pt idx="76">
                  <c:v>18513560.80069286</c:v>
                </c:pt>
                <c:pt idx="77">
                  <c:v>17879570.687290974</c:v>
                </c:pt>
                <c:pt idx="78">
                  <c:v>20694832.372938544</c:v>
                </c:pt>
                <c:pt idx="79">
                  <c:v>21436002.837038804</c:v>
                </c:pt>
                <c:pt idx="80">
                  <c:v>19085586.756315149</c:v>
                </c:pt>
                <c:pt idx="81">
                  <c:v>18365728.767554242</c:v>
                </c:pt>
                <c:pt idx="82">
                  <c:v>18960748.554049645</c:v>
                </c:pt>
                <c:pt idx="83">
                  <c:v>18373721.475781631</c:v>
                </c:pt>
                <c:pt idx="84">
                  <c:v>21388509.732646711</c:v>
                </c:pt>
                <c:pt idx="85">
                  <c:v>19689054.252646711</c:v>
                </c:pt>
                <c:pt idx="86">
                  <c:v>19694014.909946714</c:v>
                </c:pt>
                <c:pt idx="87">
                  <c:v>17847961.116946712</c:v>
                </c:pt>
                <c:pt idx="88">
                  <c:v>17888743.361746714</c:v>
                </c:pt>
                <c:pt idx="89">
                  <c:v>17985271.596546713</c:v>
                </c:pt>
                <c:pt idx="90">
                  <c:v>21371687.413446713</c:v>
                </c:pt>
                <c:pt idx="91">
                  <c:v>20692910.106446713</c:v>
                </c:pt>
                <c:pt idx="92">
                  <c:v>18943818.919546712</c:v>
                </c:pt>
                <c:pt idx="93">
                  <c:v>18584373.277746715</c:v>
                </c:pt>
                <c:pt idx="94">
                  <c:v>19294942.186846711</c:v>
                </c:pt>
                <c:pt idx="95">
                  <c:v>19752493.354446713</c:v>
                </c:pt>
                <c:pt idx="96">
                  <c:v>21003002.009531625</c:v>
                </c:pt>
                <c:pt idx="97">
                  <c:v>20078372.746231623</c:v>
                </c:pt>
                <c:pt idx="98">
                  <c:v>19033212.631531626</c:v>
                </c:pt>
                <c:pt idx="99">
                  <c:v>16146825.079031626</c:v>
                </c:pt>
                <c:pt idx="100">
                  <c:v>16737509.729731625</c:v>
                </c:pt>
                <c:pt idx="101">
                  <c:v>18080324.839931626</c:v>
                </c:pt>
                <c:pt idx="102">
                  <c:v>20778017.208231624</c:v>
                </c:pt>
                <c:pt idx="103">
                  <c:v>19812423.801231623</c:v>
                </c:pt>
                <c:pt idx="104">
                  <c:v>17720405.453531627</c:v>
                </c:pt>
                <c:pt idx="105">
                  <c:v>17763399.932731625</c:v>
                </c:pt>
                <c:pt idx="106">
                  <c:v>18001281.908531625</c:v>
                </c:pt>
                <c:pt idx="107">
                  <c:v>19211884.231731623</c:v>
                </c:pt>
                <c:pt idx="108">
                  <c:v>19429062.246832542</c:v>
                </c:pt>
                <c:pt idx="109">
                  <c:v>18800724.077532545</c:v>
                </c:pt>
                <c:pt idx="110">
                  <c:v>18732854.230432551</c:v>
                </c:pt>
                <c:pt idx="111">
                  <c:v>16690634.706432544</c:v>
                </c:pt>
                <c:pt idx="112">
                  <c:v>17249466.064732548</c:v>
                </c:pt>
                <c:pt idx="113">
                  <c:v>18880616.946932543</c:v>
                </c:pt>
                <c:pt idx="114">
                  <c:v>19932935.032132547</c:v>
                </c:pt>
                <c:pt idx="115">
                  <c:v>20931136.735932548</c:v>
                </c:pt>
                <c:pt idx="116">
                  <c:v>18386871.497632541</c:v>
                </c:pt>
                <c:pt idx="117">
                  <c:v>18326695.988232542</c:v>
                </c:pt>
                <c:pt idx="118">
                  <c:v>18313854.593332544</c:v>
                </c:pt>
                <c:pt idx="119">
                  <c:v>18843469.397732548</c:v>
                </c:pt>
                <c:pt idx="120">
                  <c:v>20731555.061192818</c:v>
                </c:pt>
                <c:pt idx="121">
                  <c:v>19281807.061192818</c:v>
                </c:pt>
                <c:pt idx="122">
                  <c:v>20150700.061192818</c:v>
                </c:pt>
                <c:pt idx="123">
                  <c:v>17637132.061192818</c:v>
                </c:pt>
                <c:pt idx="124">
                  <c:v>18019048.061192818</c:v>
                </c:pt>
                <c:pt idx="125">
                  <c:v>18637054.061192818</c:v>
                </c:pt>
                <c:pt idx="126">
                  <c:v>20163206.061192818</c:v>
                </c:pt>
                <c:pt idx="127">
                  <c:v>20183068.061192818</c:v>
                </c:pt>
                <c:pt idx="128">
                  <c:v>18679517.061192818</c:v>
                </c:pt>
                <c:pt idx="129">
                  <c:v>17943435.061192818</c:v>
                </c:pt>
                <c:pt idx="130">
                  <c:v>18272593.061192818</c:v>
                </c:pt>
                <c:pt idx="131">
                  <c:v>19354282.061192818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688-8DB7-003E89390B98}"/>
            </c:ext>
          </c:extLst>
        </c:ser>
        <c:ser>
          <c:idx val="1"/>
          <c:order val="1"/>
          <c:tx>
            <c:strRef>
              <c:f>'GS&gt;50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Monthly'!$A$2:$A$134</c:f>
              <c:numCache>
                <c:formatCode>mmm\-yyyy</c:formatCode>
                <c:ptCount val="133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</c:numCache>
            </c:numRef>
          </c:cat>
          <c:val>
            <c:numRef>
              <c:f>'GS&gt;50 Predicted Monthly'!$S$2:$S$134</c:f>
              <c:numCache>
                <c:formatCode>_(* #,##0_);_(* \(#,##0\);_(* "-"??_);_(@_)</c:formatCode>
                <c:ptCount val="133"/>
                <c:pt idx="0">
                  <c:v>21026843.415940396</c:v>
                </c:pt>
                <c:pt idx="1">
                  <c:v>19485730.460670777</c:v>
                </c:pt>
                <c:pt idx="2">
                  <c:v>19413713.059153266</c:v>
                </c:pt>
                <c:pt idx="3">
                  <c:v>18712793.789791673</c:v>
                </c:pt>
                <c:pt idx="4">
                  <c:v>18784965.474939331</c:v>
                </c:pt>
                <c:pt idx="5">
                  <c:v>20263047.019401763</c:v>
                </c:pt>
                <c:pt idx="6">
                  <c:v>22548940.683569722</c:v>
                </c:pt>
                <c:pt idx="7">
                  <c:v>20907276.470456749</c:v>
                </c:pt>
                <c:pt idx="8">
                  <c:v>18764228.428530172</c:v>
                </c:pt>
                <c:pt idx="9">
                  <c:v>18995754.706301536</c:v>
                </c:pt>
                <c:pt idx="10">
                  <c:v>19193653.13095367</c:v>
                </c:pt>
                <c:pt idx="11">
                  <c:v>20258184.441569645</c:v>
                </c:pt>
                <c:pt idx="12">
                  <c:v>21221508.966340363</c:v>
                </c:pt>
                <c:pt idx="13">
                  <c:v>19802904.695869997</c:v>
                </c:pt>
                <c:pt idx="14">
                  <c:v>20739696.657212913</c:v>
                </c:pt>
                <c:pt idx="15">
                  <c:v>18889950.116369542</c:v>
                </c:pt>
                <c:pt idx="16">
                  <c:v>19475210.797546797</c:v>
                </c:pt>
                <c:pt idx="17">
                  <c:v>19279954.784014013</c:v>
                </c:pt>
                <c:pt idx="18">
                  <c:v>21535106.612183906</c:v>
                </c:pt>
                <c:pt idx="19">
                  <c:v>20403588.415902164</c:v>
                </c:pt>
                <c:pt idx="20">
                  <c:v>19133350.452976182</c:v>
                </c:pt>
                <c:pt idx="21">
                  <c:v>19099693.71928861</c:v>
                </c:pt>
                <c:pt idx="22">
                  <c:v>19049841.059476592</c:v>
                </c:pt>
                <c:pt idx="23">
                  <c:v>20909745.758966357</c:v>
                </c:pt>
                <c:pt idx="24">
                  <c:v>22102535.873364102</c:v>
                </c:pt>
                <c:pt idx="25">
                  <c:v>20270103.015427824</c:v>
                </c:pt>
                <c:pt idx="26">
                  <c:v>21104950.094963849</c:v>
                </c:pt>
                <c:pt idx="27">
                  <c:v>18147611.548895109</c:v>
                </c:pt>
                <c:pt idx="28">
                  <c:v>18044045.32205075</c:v>
                </c:pt>
                <c:pt idx="29">
                  <c:v>18669621.438231178</c:v>
                </c:pt>
                <c:pt idx="30">
                  <c:v>19475559.266622964</c:v>
                </c:pt>
                <c:pt idx="31">
                  <c:v>19580871.893812187</c:v>
                </c:pt>
                <c:pt idx="32">
                  <c:v>18099618.381615471</c:v>
                </c:pt>
                <c:pt idx="33">
                  <c:v>18156206.083265755</c:v>
                </c:pt>
                <c:pt idx="34">
                  <c:v>18845892.198948655</c:v>
                </c:pt>
                <c:pt idx="35">
                  <c:v>19745227.318950057</c:v>
                </c:pt>
                <c:pt idx="36">
                  <c:v>21553280.164477091</c:v>
                </c:pt>
                <c:pt idx="37">
                  <c:v>20620082.027498249</c:v>
                </c:pt>
                <c:pt idx="38">
                  <c:v>20196791.254276793</c:v>
                </c:pt>
                <c:pt idx="39">
                  <c:v>17730309.251274027</c:v>
                </c:pt>
                <c:pt idx="40">
                  <c:v>18221330.386808176</c:v>
                </c:pt>
                <c:pt idx="41">
                  <c:v>17660802.972593021</c:v>
                </c:pt>
                <c:pt idx="42">
                  <c:v>19813032.240895212</c:v>
                </c:pt>
                <c:pt idx="43">
                  <c:v>19699452.395778</c:v>
                </c:pt>
                <c:pt idx="44">
                  <c:v>19334002.162793234</c:v>
                </c:pt>
                <c:pt idx="45">
                  <c:v>17835853.721322179</c:v>
                </c:pt>
                <c:pt idx="46">
                  <c:v>17646983.083443914</c:v>
                </c:pt>
                <c:pt idx="47">
                  <c:v>18731649.502224825</c:v>
                </c:pt>
                <c:pt idx="48">
                  <c:v>20417572.184439771</c:v>
                </c:pt>
                <c:pt idx="49">
                  <c:v>19093765.681025721</c:v>
                </c:pt>
                <c:pt idx="50">
                  <c:v>18967344.1313655</c:v>
                </c:pt>
                <c:pt idx="51">
                  <c:v>18159352.015277945</c:v>
                </c:pt>
                <c:pt idx="52">
                  <c:v>18248113.95087089</c:v>
                </c:pt>
                <c:pt idx="53">
                  <c:v>18081668.443630539</c:v>
                </c:pt>
                <c:pt idx="54">
                  <c:v>21147025.790368512</c:v>
                </c:pt>
                <c:pt idx="55">
                  <c:v>21801893.951636456</c:v>
                </c:pt>
                <c:pt idx="56">
                  <c:v>18637904.30704774</c:v>
                </c:pt>
                <c:pt idx="57">
                  <c:v>18231498.506267704</c:v>
                </c:pt>
                <c:pt idx="58">
                  <c:v>17558524.830747455</c:v>
                </c:pt>
                <c:pt idx="59">
                  <c:v>20112396.822901644</c:v>
                </c:pt>
                <c:pt idx="60">
                  <c:v>20130425.425712284</c:v>
                </c:pt>
                <c:pt idx="61">
                  <c:v>17802104.670600332</c:v>
                </c:pt>
                <c:pt idx="62">
                  <c:v>19687007.364252076</c:v>
                </c:pt>
                <c:pt idx="63">
                  <c:v>17387254.171117116</c:v>
                </c:pt>
                <c:pt idx="64">
                  <c:v>17962915.061520044</c:v>
                </c:pt>
                <c:pt idx="65">
                  <c:v>19095352.43353916</c:v>
                </c:pt>
                <c:pt idx="66">
                  <c:v>20686734.216099035</c:v>
                </c:pt>
                <c:pt idx="67">
                  <c:v>19461508.388670109</c:v>
                </c:pt>
                <c:pt idx="68">
                  <c:v>18911856.890895147</c:v>
                </c:pt>
                <c:pt idx="69">
                  <c:v>18327299.339109577</c:v>
                </c:pt>
                <c:pt idx="70">
                  <c:v>18504598.61449451</c:v>
                </c:pt>
                <c:pt idx="71">
                  <c:v>20833736.661723301</c:v>
                </c:pt>
                <c:pt idx="72">
                  <c:v>21098301.999985456</c:v>
                </c:pt>
                <c:pt idx="73">
                  <c:v>18644137.527064562</c:v>
                </c:pt>
                <c:pt idx="74">
                  <c:v>20059626.893701993</c:v>
                </c:pt>
                <c:pt idx="75">
                  <c:v>18585399.605581701</c:v>
                </c:pt>
                <c:pt idx="76">
                  <c:v>18677848.910587829</c:v>
                </c:pt>
                <c:pt idx="77">
                  <c:v>18555750.368736181</c:v>
                </c:pt>
                <c:pt idx="78">
                  <c:v>20974913.676167686</c:v>
                </c:pt>
                <c:pt idx="79">
                  <c:v>21264416.623411674</c:v>
                </c:pt>
                <c:pt idx="80">
                  <c:v>19096577.872436542</c:v>
                </c:pt>
                <c:pt idx="81">
                  <c:v>19053589.207893271</c:v>
                </c:pt>
                <c:pt idx="82">
                  <c:v>19059185.386899296</c:v>
                </c:pt>
                <c:pt idx="83">
                  <c:v>19884427.859934404</c:v>
                </c:pt>
                <c:pt idx="84">
                  <c:v>21139391.32786867</c:v>
                </c:pt>
                <c:pt idx="85">
                  <c:v>18855993.56934569</c:v>
                </c:pt>
                <c:pt idx="86">
                  <c:v>19753733.151367165</c:v>
                </c:pt>
                <c:pt idx="87">
                  <c:v>17524683.016658779</c:v>
                </c:pt>
                <c:pt idx="88">
                  <c:v>17384639.283873137</c:v>
                </c:pt>
                <c:pt idx="89">
                  <c:v>17583876.108668998</c:v>
                </c:pt>
                <c:pt idx="90">
                  <c:v>21348839.399972394</c:v>
                </c:pt>
                <c:pt idx="91">
                  <c:v>20024863.665707886</c:v>
                </c:pt>
                <c:pt idx="92">
                  <c:v>18324748.855168868</c:v>
                </c:pt>
                <c:pt idx="93">
                  <c:v>18062395.331126977</c:v>
                </c:pt>
                <c:pt idx="94">
                  <c:v>18810014.204450432</c:v>
                </c:pt>
                <c:pt idx="95">
                  <c:v>19455445.729149114</c:v>
                </c:pt>
                <c:pt idx="96">
                  <c:v>19682695.159091305</c:v>
                </c:pt>
                <c:pt idx="97">
                  <c:v>18997750.89747664</c:v>
                </c:pt>
                <c:pt idx="98">
                  <c:v>18297298.093524024</c:v>
                </c:pt>
                <c:pt idx="99">
                  <c:v>16383988.136077411</c:v>
                </c:pt>
                <c:pt idx="100">
                  <c:v>16897799.777841326</c:v>
                </c:pt>
                <c:pt idx="101">
                  <c:v>17958057.778861914</c:v>
                </c:pt>
                <c:pt idx="102">
                  <c:v>21734843.329631049</c:v>
                </c:pt>
                <c:pt idx="103">
                  <c:v>20006092.864095092</c:v>
                </c:pt>
                <c:pt idx="104">
                  <c:v>17683878.985121839</c:v>
                </c:pt>
                <c:pt idx="105">
                  <c:v>17965516.135781098</c:v>
                </c:pt>
                <c:pt idx="106">
                  <c:v>17609679.710631322</c:v>
                </c:pt>
                <c:pt idx="107">
                  <c:v>19527981.116236996</c:v>
                </c:pt>
                <c:pt idx="108">
                  <c:v>20028181.602649555</c:v>
                </c:pt>
                <c:pt idx="109">
                  <c:v>18936076.563712299</c:v>
                </c:pt>
                <c:pt idx="110">
                  <c:v>18722640.469570793</c:v>
                </c:pt>
                <c:pt idx="111">
                  <c:v>17409293.985360395</c:v>
                </c:pt>
                <c:pt idx="112">
                  <c:v>18151902.962981444</c:v>
                </c:pt>
                <c:pt idx="113">
                  <c:v>19688273.750641897</c:v>
                </c:pt>
                <c:pt idx="114">
                  <c:v>20120761.562905431</c:v>
                </c:pt>
                <c:pt idx="115">
                  <c:v>21043405.102089539</c:v>
                </c:pt>
                <c:pt idx="116">
                  <c:v>18134849.258665107</c:v>
                </c:pt>
                <c:pt idx="117">
                  <c:v>18588686.357855074</c:v>
                </c:pt>
                <c:pt idx="118">
                  <c:v>18315084.53241314</c:v>
                </c:pt>
                <c:pt idx="119">
                  <c:v>19309955.515432492</c:v>
                </c:pt>
                <c:pt idx="120">
                  <c:v>21328367.008428629</c:v>
                </c:pt>
                <c:pt idx="121">
                  <c:v>18728233.401259985</c:v>
                </c:pt>
                <c:pt idx="122">
                  <c:v>19405670.973649617</c:v>
                </c:pt>
                <c:pt idx="123">
                  <c:v>17836936.011675123</c:v>
                </c:pt>
                <c:pt idx="124">
                  <c:v>18258120.890814446</c:v>
                </c:pt>
                <c:pt idx="125">
                  <c:v>18238183.687495485</c:v>
                </c:pt>
                <c:pt idx="126">
                  <c:v>20779909.979063757</c:v>
                </c:pt>
                <c:pt idx="127">
                  <c:v>20405674.461894695</c:v>
                </c:pt>
                <c:pt idx="128">
                  <c:v>18442777.582483485</c:v>
                </c:pt>
                <c:pt idx="129">
                  <c:v>18016243.498326663</c:v>
                </c:pt>
                <c:pt idx="130">
                  <c:v>17908417.723197632</c:v>
                </c:pt>
                <c:pt idx="131">
                  <c:v>19663767.81213256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688-8DB7-003E8939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'Int Predicted Monthly'!$D$1</c:f>
              <c:strCache>
                <c:ptCount val="1"/>
                <c:pt idx="0">
                  <c:v>ReskWh_NoCDM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'Int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'Int Predicted Monthly'!$D$2:$D$121</c:f>
              <c:numCache>
                <c:formatCode>_(* #,##0_);_(* \(#,##0\);_(* "-"??_);_(@_)</c:formatCode>
                <c:ptCount val="120"/>
                <c:pt idx="0">
                  <c:v>10184292.424999999</c:v>
                </c:pt>
                <c:pt idx="1">
                  <c:v>9898478.9196000006</c:v>
                </c:pt>
                <c:pt idx="2">
                  <c:v>10528549.533600001</c:v>
                </c:pt>
                <c:pt idx="3">
                  <c:v>9746760.0995999984</c:v>
                </c:pt>
                <c:pt idx="4">
                  <c:v>10887684.005600002</c:v>
                </c:pt>
                <c:pt idx="5">
                  <c:v>10627934.568399996</c:v>
                </c:pt>
                <c:pt idx="6">
                  <c:v>11037123.910399999</c:v>
                </c:pt>
                <c:pt idx="7">
                  <c:v>11333527.0392</c:v>
                </c:pt>
                <c:pt idx="8">
                  <c:v>10531471.440000001</c:v>
                </c:pt>
                <c:pt idx="9">
                  <c:v>11053422.9202</c:v>
                </c:pt>
                <c:pt idx="10">
                  <c:v>11096947.746599998</c:v>
                </c:pt>
                <c:pt idx="11">
                  <c:v>9973850.2603999972</c:v>
                </c:pt>
                <c:pt idx="12">
                  <c:v>11037149.306422526</c:v>
                </c:pt>
                <c:pt idx="13">
                  <c:v>9768545.5642225295</c:v>
                </c:pt>
                <c:pt idx="14">
                  <c:v>10703276.161222531</c:v>
                </c:pt>
                <c:pt idx="15">
                  <c:v>10644184.794222532</c:v>
                </c:pt>
                <c:pt idx="16">
                  <c:v>11574069.827622529</c:v>
                </c:pt>
                <c:pt idx="17">
                  <c:v>11274619.735822527</c:v>
                </c:pt>
                <c:pt idx="18">
                  <c:v>11333724.078622531</c:v>
                </c:pt>
                <c:pt idx="19">
                  <c:v>11733541.47082253</c:v>
                </c:pt>
                <c:pt idx="20">
                  <c:v>11218735.507822527</c:v>
                </c:pt>
                <c:pt idx="21">
                  <c:v>11555512.27422253</c:v>
                </c:pt>
                <c:pt idx="22">
                  <c:v>10890286.446022533</c:v>
                </c:pt>
                <c:pt idx="23">
                  <c:v>10629100.71942253</c:v>
                </c:pt>
                <c:pt idx="24">
                  <c:v>11182793.537966551</c:v>
                </c:pt>
                <c:pt idx="25">
                  <c:v>9859698.2725665476</c:v>
                </c:pt>
                <c:pt idx="26">
                  <c:v>11209646.791566549</c:v>
                </c:pt>
                <c:pt idx="27">
                  <c:v>11172479.579766547</c:v>
                </c:pt>
                <c:pt idx="28">
                  <c:v>11807657.007166548</c:v>
                </c:pt>
                <c:pt idx="29">
                  <c:v>11080846.702366551</c:v>
                </c:pt>
                <c:pt idx="30">
                  <c:v>11728475.210166547</c:v>
                </c:pt>
                <c:pt idx="31">
                  <c:v>12014326.82156655</c:v>
                </c:pt>
                <c:pt idx="32">
                  <c:v>10309914.79776655</c:v>
                </c:pt>
                <c:pt idx="33">
                  <c:v>10615057.772566551</c:v>
                </c:pt>
                <c:pt idx="34">
                  <c:v>9875569.5067665484</c:v>
                </c:pt>
                <c:pt idx="35">
                  <c:v>10271841.185166551</c:v>
                </c:pt>
                <c:pt idx="36">
                  <c:v>10704976.653154369</c:v>
                </c:pt>
                <c:pt idx="37">
                  <c:v>9935858.6243543699</c:v>
                </c:pt>
                <c:pt idx="38">
                  <c:v>10565709.311554372</c:v>
                </c:pt>
                <c:pt idx="39">
                  <c:v>10251328.65735437</c:v>
                </c:pt>
                <c:pt idx="40">
                  <c:v>11333772.902954372</c:v>
                </c:pt>
                <c:pt idx="41">
                  <c:v>10406855.666754371</c:v>
                </c:pt>
                <c:pt idx="42">
                  <c:v>10671441.982354369</c:v>
                </c:pt>
                <c:pt idx="43">
                  <c:v>11178723.87235437</c:v>
                </c:pt>
                <c:pt idx="44">
                  <c:v>11305837.396154372</c:v>
                </c:pt>
                <c:pt idx="45">
                  <c:v>10944896.528354369</c:v>
                </c:pt>
                <c:pt idx="46">
                  <c:v>11057189.553554371</c:v>
                </c:pt>
                <c:pt idx="47">
                  <c:v>10387837.229354372</c:v>
                </c:pt>
                <c:pt idx="48">
                  <c:v>10925604.933639886</c:v>
                </c:pt>
                <c:pt idx="49">
                  <c:v>10206009.291839886</c:v>
                </c:pt>
                <c:pt idx="50">
                  <c:v>11010117.628039887</c:v>
                </c:pt>
                <c:pt idx="51">
                  <c:v>10380854.450439885</c:v>
                </c:pt>
                <c:pt idx="52">
                  <c:v>11120378.436439889</c:v>
                </c:pt>
                <c:pt idx="53">
                  <c:v>9789072.623239886</c:v>
                </c:pt>
                <c:pt idx="54">
                  <c:v>10794223.516439887</c:v>
                </c:pt>
                <c:pt idx="55">
                  <c:v>10971135.573839888</c:v>
                </c:pt>
                <c:pt idx="56">
                  <c:v>10283260.785639888</c:v>
                </c:pt>
                <c:pt idx="57">
                  <c:v>10351077.086439889</c:v>
                </c:pt>
                <c:pt idx="58">
                  <c:v>10006864.287439888</c:v>
                </c:pt>
                <c:pt idx="59">
                  <c:v>9624158.1334398892</c:v>
                </c:pt>
                <c:pt idx="60">
                  <c:v>9576889.2679497357</c:v>
                </c:pt>
                <c:pt idx="61">
                  <c:v>9093285.1491497345</c:v>
                </c:pt>
                <c:pt idx="62">
                  <c:v>10651381.564949734</c:v>
                </c:pt>
                <c:pt idx="63">
                  <c:v>9863123.3871497326</c:v>
                </c:pt>
                <c:pt idx="64">
                  <c:v>10223320.956949735</c:v>
                </c:pt>
                <c:pt idx="65">
                  <c:v>10517029.102949735</c:v>
                </c:pt>
                <c:pt idx="66">
                  <c:v>10946123.069549736</c:v>
                </c:pt>
                <c:pt idx="67">
                  <c:v>11541945.420549735</c:v>
                </c:pt>
                <c:pt idx="68">
                  <c:v>10187425.175149735</c:v>
                </c:pt>
                <c:pt idx="69">
                  <c:v>10920544.377549736</c:v>
                </c:pt>
                <c:pt idx="70">
                  <c:v>10829391.102149736</c:v>
                </c:pt>
                <c:pt idx="71">
                  <c:v>10229831.752549736</c:v>
                </c:pt>
                <c:pt idx="72">
                  <c:v>10196132.151791954</c:v>
                </c:pt>
                <c:pt idx="73">
                  <c:v>9525677.4685919546</c:v>
                </c:pt>
                <c:pt idx="74">
                  <c:v>10470855.557591954</c:v>
                </c:pt>
                <c:pt idx="75">
                  <c:v>9223511.9941919558</c:v>
                </c:pt>
                <c:pt idx="76">
                  <c:v>9874337.8499919511</c:v>
                </c:pt>
                <c:pt idx="77">
                  <c:v>10242337.206391955</c:v>
                </c:pt>
                <c:pt idx="78">
                  <c:v>10872784.068591954</c:v>
                </c:pt>
                <c:pt idx="79">
                  <c:v>11376630.025791956</c:v>
                </c:pt>
                <c:pt idx="80">
                  <c:v>10796708.154391956</c:v>
                </c:pt>
                <c:pt idx="81">
                  <c:v>10440599.379991954</c:v>
                </c:pt>
                <c:pt idx="82">
                  <c:v>10444306.885991955</c:v>
                </c:pt>
                <c:pt idx="83">
                  <c:v>9893684.0954919551</c:v>
                </c:pt>
                <c:pt idx="84">
                  <c:v>10553825.483902493</c:v>
                </c:pt>
                <c:pt idx="85">
                  <c:v>9061173.1926024947</c:v>
                </c:pt>
                <c:pt idx="86">
                  <c:v>10416169.372302495</c:v>
                </c:pt>
                <c:pt idx="87">
                  <c:v>9685226.1653024945</c:v>
                </c:pt>
                <c:pt idx="88">
                  <c:v>10537614.920502495</c:v>
                </c:pt>
                <c:pt idx="89">
                  <c:v>10117168.685702495</c:v>
                </c:pt>
                <c:pt idx="90">
                  <c:v>11000645.868802493</c:v>
                </c:pt>
                <c:pt idx="91">
                  <c:v>11068083.175802493</c:v>
                </c:pt>
                <c:pt idx="92">
                  <c:v>10411250.362702494</c:v>
                </c:pt>
                <c:pt idx="93">
                  <c:v>9466818.0045024939</c:v>
                </c:pt>
                <c:pt idx="94">
                  <c:v>10102238.095402494</c:v>
                </c:pt>
                <c:pt idx="95">
                  <c:v>9521253.9278024938</c:v>
                </c:pt>
                <c:pt idx="96">
                  <c:v>9892800.4957397729</c:v>
                </c:pt>
                <c:pt idx="97">
                  <c:v>9248287.730939772</c:v>
                </c:pt>
                <c:pt idx="98">
                  <c:v>9040651.230939772</c:v>
                </c:pt>
                <c:pt idx="99">
                  <c:v>6964214.9185397718</c:v>
                </c:pt>
                <c:pt idx="100">
                  <c:v>7859482.2731397711</c:v>
                </c:pt>
                <c:pt idx="101">
                  <c:v>9837261.6407397725</c:v>
                </c:pt>
                <c:pt idx="102">
                  <c:v>10891421.682539772</c:v>
                </c:pt>
                <c:pt idx="103">
                  <c:v>11061617.863339772</c:v>
                </c:pt>
                <c:pt idx="104">
                  <c:v>10891850.550339771</c:v>
                </c:pt>
                <c:pt idx="105">
                  <c:v>9746265.9039397743</c:v>
                </c:pt>
                <c:pt idx="106">
                  <c:v>10239737.399539772</c:v>
                </c:pt>
                <c:pt idx="107">
                  <c:v>9934456.7935397737</c:v>
                </c:pt>
                <c:pt idx="108">
                  <c:v>10225533.054578267</c:v>
                </c:pt>
                <c:pt idx="109">
                  <c:v>9585516.4505782686</c:v>
                </c:pt>
                <c:pt idx="110">
                  <c:v>10826960.10337827</c:v>
                </c:pt>
                <c:pt idx="111">
                  <c:v>10716607.466178268</c:v>
                </c:pt>
                <c:pt idx="112">
                  <c:v>11173486.788578268</c:v>
                </c:pt>
                <c:pt idx="113">
                  <c:v>11300948.314578269</c:v>
                </c:pt>
                <c:pt idx="114">
                  <c:v>11077347.219178267</c:v>
                </c:pt>
                <c:pt idx="115">
                  <c:v>10701359.111378267</c:v>
                </c:pt>
                <c:pt idx="116">
                  <c:v>9370755.6913782656</c:v>
                </c:pt>
                <c:pt idx="117">
                  <c:v>10234296.665178269</c:v>
                </c:pt>
                <c:pt idx="118">
                  <c:v>10729553.920578271</c:v>
                </c:pt>
                <c:pt idx="119">
                  <c:v>9539547.4231782705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4-48BA-B73D-E246B26459D4}"/>
            </c:ext>
          </c:extLst>
        </c:ser>
        <c:ser>
          <c:idx val="1"/>
          <c:order val="1"/>
          <c:tx>
            <c:strRef>
              <c:f>'Int Predicted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'Int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'Int Predicted Monthly'!$Q$2:$Q$121</c:f>
              <c:numCache>
                <c:formatCode>_(* #,##0_);_(* \(#,##0\);_(* "-"??_);_(@_)</c:formatCode>
                <c:ptCount val="120"/>
                <c:pt idx="0">
                  <c:v>10916551.409338064</c:v>
                </c:pt>
                <c:pt idx="1">
                  <c:v>10237672.696303856</c:v>
                </c:pt>
                <c:pt idx="2">
                  <c:v>10952134.59443211</c:v>
                </c:pt>
                <c:pt idx="3">
                  <c:v>10571533.415504152</c:v>
                </c:pt>
                <c:pt idx="4">
                  <c:v>11057884.014263213</c:v>
                </c:pt>
                <c:pt idx="5">
                  <c:v>11031879.026494237</c:v>
                </c:pt>
                <c:pt idx="6">
                  <c:v>11625703.760411521</c:v>
                </c:pt>
                <c:pt idx="7">
                  <c:v>11386618.478957757</c:v>
                </c:pt>
                <c:pt idx="8">
                  <c:v>10718506.874765759</c:v>
                </c:pt>
                <c:pt idx="9">
                  <c:v>10905367.447208116</c:v>
                </c:pt>
                <c:pt idx="10">
                  <c:v>10529900.383017015</c:v>
                </c:pt>
                <c:pt idx="11">
                  <c:v>10227673.41082136</c:v>
                </c:pt>
                <c:pt idx="12">
                  <c:v>10856915.615901504</c:v>
                </c:pt>
                <c:pt idx="13">
                  <c:v>9841082.3710767124</c:v>
                </c:pt>
                <c:pt idx="14">
                  <c:v>10846976.31699541</c:v>
                </c:pt>
                <c:pt idx="15">
                  <c:v>10505736.684383363</c:v>
                </c:pt>
                <c:pt idx="16">
                  <c:v>11038636.590089934</c:v>
                </c:pt>
                <c:pt idx="17">
                  <c:v>10800763.800846623</c:v>
                </c:pt>
                <c:pt idx="18">
                  <c:v>11420943.657079779</c:v>
                </c:pt>
                <c:pt idx="19">
                  <c:v>11253735.981942024</c:v>
                </c:pt>
                <c:pt idx="20">
                  <c:v>10680434.363224002</c:v>
                </c:pt>
                <c:pt idx="21">
                  <c:v>10861133.997982126</c:v>
                </c:pt>
                <c:pt idx="22">
                  <c:v>10470264.589580454</c:v>
                </c:pt>
                <c:pt idx="23">
                  <c:v>10168037.617384797</c:v>
                </c:pt>
                <c:pt idx="24">
                  <c:v>10797279.822464943</c:v>
                </c:pt>
                <c:pt idx="25">
                  <c:v>9781446.5776401497</c:v>
                </c:pt>
                <c:pt idx="26">
                  <c:v>10787340.523558849</c:v>
                </c:pt>
                <c:pt idx="27">
                  <c:v>10445416.342315219</c:v>
                </c:pt>
                <c:pt idx="28">
                  <c:v>10871526.661495149</c:v>
                </c:pt>
                <c:pt idx="29">
                  <c:v>10765771.758146979</c:v>
                </c:pt>
                <c:pt idx="30">
                  <c:v>11142594.575853074</c:v>
                </c:pt>
                <c:pt idx="31">
                  <c:v>11150631.350400066</c:v>
                </c:pt>
                <c:pt idx="32">
                  <c:v>10583148.395050485</c:v>
                </c:pt>
                <c:pt idx="33">
                  <c:v>10766928.498650722</c:v>
                </c:pt>
                <c:pt idx="34">
                  <c:v>10410628.796143893</c:v>
                </c:pt>
                <c:pt idx="35">
                  <c:v>10108401.823948236</c:v>
                </c:pt>
                <c:pt idx="36">
                  <c:v>10737644.029028382</c:v>
                </c:pt>
                <c:pt idx="37">
                  <c:v>9721810.784203589</c:v>
                </c:pt>
                <c:pt idx="38">
                  <c:v>10727704.730122287</c:v>
                </c:pt>
                <c:pt idx="39">
                  <c:v>10385780.548878659</c:v>
                </c:pt>
                <c:pt idx="40">
                  <c:v>10900882.190164123</c:v>
                </c:pt>
                <c:pt idx="41">
                  <c:v>10596608.183657451</c:v>
                </c:pt>
                <c:pt idx="42">
                  <c:v>11180506.962416809</c:v>
                </c:pt>
                <c:pt idx="43">
                  <c:v>11156712.225595286</c:v>
                </c:pt>
                <c:pt idx="44">
                  <c:v>10763789.171298867</c:v>
                </c:pt>
                <c:pt idx="45">
                  <c:v>10698735.847319398</c:v>
                </c:pt>
                <c:pt idx="46">
                  <c:v>10355442.568812607</c:v>
                </c:pt>
                <c:pt idx="47">
                  <c:v>10048766.030511675</c:v>
                </c:pt>
                <c:pt idx="48">
                  <c:v>10678008.23559182</c:v>
                </c:pt>
                <c:pt idx="49">
                  <c:v>9999129.5225576106</c:v>
                </c:pt>
                <c:pt idx="50">
                  <c:v>10668068.936685726</c:v>
                </c:pt>
                <c:pt idx="51">
                  <c:v>10326144.755442098</c:v>
                </c:pt>
                <c:pt idx="52">
                  <c:v>10821736.760727501</c:v>
                </c:pt>
                <c:pt idx="53">
                  <c:v>10613984.111273758</c:v>
                </c:pt>
                <c:pt idx="54">
                  <c:v>11321786.192349285</c:v>
                </c:pt>
                <c:pt idx="55">
                  <c:v>11405123.316370195</c:v>
                </c:pt>
                <c:pt idx="56">
                  <c:v>10603867.003335685</c:v>
                </c:pt>
                <c:pt idx="57">
                  <c:v>10713715.854725171</c:v>
                </c:pt>
                <c:pt idx="58">
                  <c:v>10291357.20927077</c:v>
                </c:pt>
                <c:pt idx="59">
                  <c:v>9989130.2370751128</c:v>
                </c:pt>
                <c:pt idx="60">
                  <c:v>10618372.442155259</c:v>
                </c:pt>
                <c:pt idx="61">
                  <c:v>9602539.1973304655</c:v>
                </c:pt>
                <c:pt idx="62">
                  <c:v>10608433.143249165</c:v>
                </c:pt>
                <c:pt idx="63">
                  <c:v>10282253.580531899</c:v>
                </c:pt>
                <c:pt idx="64">
                  <c:v>10685089.246238073</c:v>
                </c:pt>
                <c:pt idx="65">
                  <c:v>10676882.522890203</c:v>
                </c:pt>
                <c:pt idx="66">
                  <c:v>11172132.253859818</c:v>
                </c:pt>
                <c:pt idx="67">
                  <c:v>10988153.137248326</c:v>
                </c:pt>
                <c:pt idx="68">
                  <c:v>10549707.598951772</c:v>
                </c:pt>
                <c:pt idx="69">
                  <c:v>10659214.176025467</c:v>
                </c:pt>
                <c:pt idx="70">
                  <c:v>10231721.415834209</c:v>
                </c:pt>
                <c:pt idx="71">
                  <c:v>9929494.443638552</c:v>
                </c:pt>
                <c:pt idx="72">
                  <c:v>10558736.648718698</c:v>
                </c:pt>
                <c:pt idx="73">
                  <c:v>9542903.4038939048</c:v>
                </c:pt>
                <c:pt idx="74">
                  <c:v>10548797.349812604</c:v>
                </c:pt>
                <c:pt idx="75">
                  <c:v>10206873.168568974</c:v>
                </c:pt>
                <c:pt idx="76">
                  <c:v>10757571.338696651</c:v>
                </c:pt>
                <c:pt idx="77">
                  <c:v>10513195.337453322</c:v>
                </c:pt>
                <c:pt idx="78">
                  <c:v>11131321.547791734</c:v>
                </c:pt>
                <c:pt idx="79">
                  <c:v>11168451.639180921</c:v>
                </c:pt>
                <c:pt idx="80">
                  <c:v>10499313.212041553</c:v>
                </c:pt>
                <c:pt idx="81">
                  <c:v>10596840.188062582</c:v>
                </c:pt>
                <c:pt idx="82">
                  <c:v>10172085.622397646</c:v>
                </c:pt>
                <c:pt idx="83">
                  <c:v>9869858.6502019912</c:v>
                </c:pt>
                <c:pt idx="84">
                  <c:v>10499100.855282135</c:v>
                </c:pt>
                <c:pt idx="85">
                  <c:v>9483267.610457344</c:v>
                </c:pt>
                <c:pt idx="86">
                  <c:v>10489161.556376042</c:v>
                </c:pt>
                <c:pt idx="87">
                  <c:v>10147237.375132414</c:v>
                </c:pt>
                <c:pt idx="88">
                  <c:v>10513107.414733209</c:v>
                </c:pt>
                <c:pt idx="89">
                  <c:v>10351904.072226977</c:v>
                </c:pt>
                <c:pt idx="90">
                  <c:v>11169918.482987052</c:v>
                </c:pt>
                <c:pt idx="91">
                  <c:v>10967798.827638667</c:v>
                </c:pt>
                <c:pt idx="92">
                  <c:v>10381833.059236394</c:v>
                </c:pt>
                <c:pt idx="93">
                  <c:v>10476621.840731099</c:v>
                </c:pt>
                <c:pt idx="94">
                  <c:v>10112449.828961086</c:v>
                </c:pt>
                <c:pt idx="95">
                  <c:v>9810222.8567654304</c:v>
                </c:pt>
                <c:pt idx="96">
                  <c:v>10439465.061845575</c:v>
                </c:pt>
                <c:pt idx="97">
                  <c:v>9760586.3488113638</c:v>
                </c:pt>
                <c:pt idx="98">
                  <c:v>9107949.5681532603</c:v>
                </c:pt>
                <c:pt idx="99">
                  <c:v>7444449.1921234112</c:v>
                </c:pt>
                <c:pt idx="100">
                  <c:v>7921900.6586719193</c:v>
                </c:pt>
                <c:pt idx="101">
                  <c:v>9136010.5785310157</c:v>
                </c:pt>
                <c:pt idx="102">
                  <c:v>11166415.677340137</c:v>
                </c:pt>
                <c:pt idx="103">
                  <c:v>10914666.246202124</c:v>
                </c:pt>
                <c:pt idx="104">
                  <c:v>10218488.148115305</c:v>
                </c:pt>
                <c:pt idx="105">
                  <c:v>10396791.862662895</c:v>
                </c:pt>
                <c:pt idx="106">
                  <c:v>10064451.362261401</c:v>
                </c:pt>
                <c:pt idx="107">
                  <c:v>9750587.0633288678</c:v>
                </c:pt>
                <c:pt idx="108">
                  <c:v>10379829.268409014</c:v>
                </c:pt>
                <c:pt idx="109">
                  <c:v>9363996.0235842206</c:v>
                </c:pt>
                <c:pt idx="110">
                  <c:v>10370574.518134501</c:v>
                </c:pt>
                <c:pt idx="111">
                  <c:v>10047133.149943558</c:v>
                </c:pt>
                <c:pt idx="112">
                  <c:v>10498914.042807778</c:v>
                </c:pt>
                <c:pt idx="113">
                  <c:v>10543759.838407438</c:v>
                </c:pt>
                <c:pt idx="114">
                  <c:v>10865134.216955468</c:v>
                </c:pt>
                <c:pt idx="115">
                  <c:v>10994336.099292306</c:v>
                </c:pt>
                <c:pt idx="116">
                  <c:v>10227307.217836849</c:v>
                </c:pt>
                <c:pt idx="117">
                  <c:v>10493575.431542603</c:v>
                </c:pt>
                <c:pt idx="118">
                  <c:v>9993178.2420879621</c:v>
                </c:pt>
                <c:pt idx="119">
                  <c:v>9690951.269892307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4-48BA-B73D-E246B264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'LU Predicted Monthly'!$D$1</c:f>
              <c:strCache>
                <c:ptCount val="1"/>
                <c:pt idx="0">
                  <c:v>LUkWh_NoCDM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'LU Predicted Monthly'!$A$2:$A$133</c:f>
              <c:numCache>
                <c:formatCode>mmm\-yyyy</c:formatCode>
                <c:ptCount val="132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</c:numCache>
            </c:numRef>
          </c:cat>
          <c:val>
            <c:numRef>
              <c:f>'LU Predicted Monthly'!$D$2:$D$133</c:f>
              <c:numCache>
                <c:formatCode>_(* #,##0_);_(* \(#,##0\);_(* "-"??_);_(@_)</c:formatCode>
                <c:ptCount val="132"/>
                <c:pt idx="0">
                  <c:v>23834836.064902499</c:v>
                </c:pt>
                <c:pt idx="1">
                  <c:v>20937848.494860001</c:v>
                </c:pt>
                <c:pt idx="2">
                  <c:v>23746994.903362501</c:v>
                </c:pt>
                <c:pt idx="3">
                  <c:v>23562709.501567502</c:v>
                </c:pt>
                <c:pt idx="4">
                  <c:v>21444338.7360675</c:v>
                </c:pt>
                <c:pt idx="5">
                  <c:v>21848126.405985001</c:v>
                </c:pt>
                <c:pt idx="6">
                  <c:v>23009052.228524998</c:v>
                </c:pt>
                <c:pt idx="7">
                  <c:v>24714359.7245325</c:v>
                </c:pt>
                <c:pt idx="8">
                  <c:v>23088125.301615</c:v>
                </c:pt>
                <c:pt idx="9">
                  <c:v>21735263.339707501</c:v>
                </c:pt>
                <c:pt idx="10">
                  <c:v>21728354.336369999</c:v>
                </c:pt>
                <c:pt idx="11">
                  <c:v>22981434.2358975</c:v>
                </c:pt>
                <c:pt idx="12">
                  <c:v>22069510.318620093</c:v>
                </c:pt>
                <c:pt idx="13">
                  <c:v>21742487.556097593</c:v>
                </c:pt>
                <c:pt idx="14">
                  <c:v>24101529.983955089</c:v>
                </c:pt>
                <c:pt idx="15">
                  <c:v>20152496.527537592</c:v>
                </c:pt>
                <c:pt idx="16">
                  <c:v>22491181.333935093</c:v>
                </c:pt>
                <c:pt idx="17">
                  <c:v>22143985.650787588</c:v>
                </c:pt>
                <c:pt idx="18">
                  <c:v>23094301.455000091</c:v>
                </c:pt>
                <c:pt idx="19">
                  <c:v>23514731.551350094</c:v>
                </c:pt>
                <c:pt idx="20">
                  <c:v>20804412.328200094</c:v>
                </c:pt>
                <c:pt idx="21">
                  <c:v>20100765.611542594</c:v>
                </c:pt>
                <c:pt idx="22">
                  <c:v>21017409.413107593</c:v>
                </c:pt>
                <c:pt idx="23">
                  <c:v>22772224.28054259</c:v>
                </c:pt>
                <c:pt idx="24">
                  <c:v>21429609.761027589</c:v>
                </c:pt>
                <c:pt idx="25">
                  <c:v>20763744.016885087</c:v>
                </c:pt>
                <c:pt idx="26">
                  <c:v>21695153.92474759</c:v>
                </c:pt>
                <c:pt idx="27">
                  <c:v>22089244.537487585</c:v>
                </c:pt>
                <c:pt idx="28">
                  <c:v>22968411.83548009</c:v>
                </c:pt>
                <c:pt idx="29">
                  <c:v>21083000.127437588</c:v>
                </c:pt>
                <c:pt idx="30">
                  <c:v>23324347.113887586</c:v>
                </c:pt>
                <c:pt idx="31">
                  <c:v>24335568.124990087</c:v>
                </c:pt>
                <c:pt idx="32">
                  <c:v>22547091.796945088</c:v>
                </c:pt>
                <c:pt idx="33">
                  <c:v>22510500.824725088</c:v>
                </c:pt>
                <c:pt idx="34">
                  <c:v>23546544.680522591</c:v>
                </c:pt>
                <c:pt idx="35">
                  <c:v>23381166.230665091</c:v>
                </c:pt>
                <c:pt idx="36">
                  <c:v>24101442.985187206</c:v>
                </c:pt>
                <c:pt idx="37">
                  <c:v>21537743.442662206</c:v>
                </c:pt>
                <c:pt idx="38">
                  <c:v>23141654.484279703</c:v>
                </c:pt>
                <c:pt idx="39">
                  <c:v>23821654.250027206</c:v>
                </c:pt>
                <c:pt idx="40">
                  <c:v>22532577.248837203</c:v>
                </c:pt>
                <c:pt idx="41">
                  <c:v>20526687.962282207</c:v>
                </c:pt>
                <c:pt idx="42">
                  <c:v>23356967.646107208</c:v>
                </c:pt>
                <c:pt idx="43">
                  <c:v>23423593.048247207</c:v>
                </c:pt>
                <c:pt idx="44">
                  <c:v>21449776.945389707</c:v>
                </c:pt>
                <c:pt idx="45">
                  <c:v>22317634.444772206</c:v>
                </c:pt>
                <c:pt idx="46">
                  <c:v>21405027.540084705</c:v>
                </c:pt>
                <c:pt idx="47">
                  <c:v>25406403.942624707</c:v>
                </c:pt>
                <c:pt idx="48">
                  <c:v>26243438.885900892</c:v>
                </c:pt>
                <c:pt idx="49">
                  <c:v>24084687.124993395</c:v>
                </c:pt>
                <c:pt idx="50">
                  <c:v>26064691.123108394</c:v>
                </c:pt>
                <c:pt idx="51">
                  <c:v>25462710.509863392</c:v>
                </c:pt>
                <c:pt idx="52">
                  <c:v>25848064.981205899</c:v>
                </c:pt>
                <c:pt idx="53">
                  <c:v>24327711.705748394</c:v>
                </c:pt>
                <c:pt idx="54">
                  <c:v>25937487.989495896</c:v>
                </c:pt>
                <c:pt idx="55">
                  <c:v>24632874.331730895</c:v>
                </c:pt>
                <c:pt idx="56">
                  <c:v>23516097.173833396</c:v>
                </c:pt>
                <c:pt idx="57">
                  <c:v>24813560.732818399</c:v>
                </c:pt>
                <c:pt idx="58">
                  <c:v>24612736.306625899</c:v>
                </c:pt>
                <c:pt idx="59">
                  <c:v>24795089.503640894</c:v>
                </c:pt>
                <c:pt idx="60">
                  <c:v>24783942.119185667</c:v>
                </c:pt>
                <c:pt idx="61">
                  <c:v>22975573.184313171</c:v>
                </c:pt>
                <c:pt idx="62">
                  <c:v>26063951.234680675</c:v>
                </c:pt>
                <c:pt idx="63">
                  <c:v>24853813.932790671</c:v>
                </c:pt>
                <c:pt idx="64">
                  <c:v>26071938.363363173</c:v>
                </c:pt>
                <c:pt idx="65">
                  <c:v>22020823.529965673</c:v>
                </c:pt>
                <c:pt idx="66">
                  <c:v>25196550.486648172</c:v>
                </c:pt>
                <c:pt idx="67">
                  <c:v>25935068.388610668</c:v>
                </c:pt>
                <c:pt idx="68">
                  <c:v>23196321.158298172</c:v>
                </c:pt>
                <c:pt idx="69">
                  <c:v>21727825.500520673</c:v>
                </c:pt>
                <c:pt idx="70">
                  <c:v>22779673.47253067</c:v>
                </c:pt>
                <c:pt idx="71">
                  <c:v>24346987.087623172</c:v>
                </c:pt>
                <c:pt idx="72">
                  <c:v>24030797.076124121</c:v>
                </c:pt>
                <c:pt idx="73">
                  <c:v>23607900.000506617</c:v>
                </c:pt>
                <c:pt idx="74">
                  <c:v>24184575.780379117</c:v>
                </c:pt>
                <c:pt idx="75">
                  <c:v>20447079.493624117</c:v>
                </c:pt>
                <c:pt idx="76">
                  <c:v>20467367.670296621</c:v>
                </c:pt>
                <c:pt idx="77">
                  <c:v>23114127.887111623</c:v>
                </c:pt>
                <c:pt idx="78">
                  <c:v>24129130.22400412</c:v>
                </c:pt>
                <c:pt idx="79">
                  <c:v>23113894.718846615</c:v>
                </c:pt>
                <c:pt idx="80">
                  <c:v>25785716.361446619</c:v>
                </c:pt>
                <c:pt idx="81">
                  <c:v>26978514.377389114</c:v>
                </c:pt>
                <c:pt idx="82">
                  <c:v>25502858.161976617</c:v>
                </c:pt>
                <c:pt idx="83">
                  <c:v>26590020.965354118</c:v>
                </c:pt>
                <c:pt idx="84">
                  <c:v>27118039.413846616</c:v>
                </c:pt>
                <c:pt idx="85">
                  <c:v>23388651.413846616</c:v>
                </c:pt>
                <c:pt idx="86">
                  <c:v>26455697.413846616</c:v>
                </c:pt>
                <c:pt idx="87">
                  <c:v>24975526.413846616</c:v>
                </c:pt>
                <c:pt idx="88">
                  <c:v>24814589.413846616</c:v>
                </c:pt>
                <c:pt idx="89">
                  <c:v>24769202.413846616</c:v>
                </c:pt>
                <c:pt idx="90">
                  <c:v>25659112.413846616</c:v>
                </c:pt>
                <c:pt idx="91">
                  <c:v>25800358.413846616</c:v>
                </c:pt>
                <c:pt idx="92">
                  <c:v>20481893.413846616</c:v>
                </c:pt>
                <c:pt idx="93">
                  <c:v>21270461.413846616</c:v>
                </c:pt>
                <c:pt idx="94">
                  <c:v>22400751.413846616</c:v>
                </c:pt>
                <c:pt idx="95">
                  <c:v>24791802.413846616</c:v>
                </c:pt>
                <c:pt idx="96">
                  <c:v>25135181.158154547</c:v>
                </c:pt>
                <c:pt idx="97">
                  <c:v>23552584.265354544</c:v>
                </c:pt>
                <c:pt idx="98">
                  <c:v>24259809.83423955</c:v>
                </c:pt>
                <c:pt idx="99">
                  <c:v>22330141.532002047</c:v>
                </c:pt>
                <c:pt idx="100">
                  <c:v>24861819.821774546</c:v>
                </c:pt>
                <c:pt idx="101">
                  <c:v>21367813.809547048</c:v>
                </c:pt>
                <c:pt idx="102">
                  <c:v>24684480.062722046</c:v>
                </c:pt>
                <c:pt idx="103">
                  <c:v>23738014.514782045</c:v>
                </c:pt>
                <c:pt idx="104">
                  <c:v>23865840.855869547</c:v>
                </c:pt>
                <c:pt idx="105">
                  <c:v>22132964.788529545</c:v>
                </c:pt>
                <c:pt idx="106">
                  <c:v>23376192.536737047</c:v>
                </c:pt>
                <c:pt idx="107">
                  <c:v>23288263.563187048</c:v>
                </c:pt>
                <c:pt idx="108">
                  <c:v>25406993.664126188</c:v>
                </c:pt>
                <c:pt idx="109">
                  <c:v>21350590.100496188</c:v>
                </c:pt>
                <c:pt idx="110">
                  <c:v>23427258.600996185</c:v>
                </c:pt>
                <c:pt idx="111">
                  <c:v>21701795.657121189</c:v>
                </c:pt>
                <c:pt idx="112">
                  <c:v>22631028.191158686</c:v>
                </c:pt>
                <c:pt idx="113">
                  <c:v>21965382.119848687</c:v>
                </c:pt>
                <c:pt idx="114">
                  <c:v>22130628.408666186</c:v>
                </c:pt>
                <c:pt idx="115">
                  <c:v>18777590.640283685</c:v>
                </c:pt>
                <c:pt idx="116">
                  <c:v>21741887.325028688</c:v>
                </c:pt>
                <c:pt idx="117">
                  <c:v>22983543.448978685</c:v>
                </c:pt>
                <c:pt idx="118">
                  <c:v>23676449.115096185</c:v>
                </c:pt>
                <c:pt idx="119">
                  <c:v>22944041.230536185</c:v>
                </c:pt>
                <c:pt idx="120">
                  <c:v>22653738.07476015</c:v>
                </c:pt>
                <c:pt idx="121">
                  <c:v>20311859.07476015</c:v>
                </c:pt>
                <c:pt idx="122">
                  <c:v>22553351.07476015</c:v>
                </c:pt>
                <c:pt idx="123">
                  <c:v>17022579.07476015</c:v>
                </c:pt>
                <c:pt idx="124">
                  <c:v>18687813.07476015</c:v>
                </c:pt>
                <c:pt idx="125">
                  <c:v>21452022.07476015</c:v>
                </c:pt>
                <c:pt idx="126">
                  <c:v>23905745.07476015</c:v>
                </c:pt>
                <c:pt idx="127">
                  <c:v>25461774.07476015</c:v>
                </c:pt>
                <c:pt idx="128">
                  <c:v>25562066.07476015</c:v>
                </c:pt>
                <c:pt idx="129">
                  <c:v>25496596.07476015</c:v>
                </c:pt>
                <c:pt idx="130">
                  <c:v>23740830.07476015</c:v>
                </c:pt>
                <c:pt idx="131">
                  <c:v>26320404.07476015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3-4563-B1BA-223181270BA2}"/>
            </c:ext>
          </c:extLst>
        </c:ser>
        <c:ser>
          <c:idx val="1"/>
          <c:order val="1"/>
          <c:tx>
            <c:strRef>
              <c:f>'LU Predicted Monthly'!$M$1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'LU Predicted Monthly'!$A$2:$A$133</c:f>
              <c:numCache>
                <c:formatCode>mmm\-yyyy</c:formatCode>
                <c:ptCount val="132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</c:numCache>
            </c:numRef>
          </c:cat>
          <c:val>
            <c:numRef>
              <c:f>'LU Predicted Monthly'!$M$2:$M$133</c:f>
              <c:numCache>
                <c:formatCode>_(* #,##0_);_(* \(#,##0\);_(* "-"??_);_(@_)</c:formatCode>
                <c:ptCount val="132"/>
                <c:pt idx="0">
                  <c:v>23046840.78211556</c:v>
                </c:pt>
                <c:pt idx="1">
                  <c:v>21513615.005584531</c:v>
                </c:pt>
                <c:pt idx="2">
                  <c:v>23046840.78211556</c:v>
                </c:pt>
                <c:pt idx="3">
                  <c:v>22280227.893850043</c:v>
                </c:pt>
                <c:pt idx="4">
                  <c:v>23046840.78211556</c:v>
                </c:pt>
                <c:pt idx="5">
                  <c:v>22280227.893850043</c:v>
                </c:pt>
                <c:pt idx="6">
                  <c:v>23046840.78211556</c:v>
                </c:pt>
                <c:pt idx="7">
                  <c:v>23046840.78211556</c:v>
                </c:pt>
                <c:pt idx="8">
                  <c:v>21699745.357847594</c:v>
                </c:pt>
                <c:pt idx="9">
                  <c:v>22466358.24611311</c:v>
                </c:pt>
                <c:pt idx="10">
                  <c:v>22280227.893850043</c:v>
                </c:pt>
                <c:pt idx="11">
                  <c:v>23046840.78211556</c:v>
                </c:pt>
                <c:pt idx="12">
                  <c:v>22993005.100140683</c:v>
                </c:pt>
                <c:pt idx="13">
                  <c:v>20693166.435344141</c:v>
                </c:pt>
                <c:pt idx="14">
                  <c:v>22993005.100140683</c:v>
                </c:pt>
                <c:pt idx="15">
                  <c:v>22226392.211875167</c:v>
                </c:pt>
                <c:pt idx="16">
                  <c:v>22993005.100140683</c:v>
                </c:pt>
                <c:pt idx="17">
                  <c:v>22226392.211875167</c:v>
                </c:pt>
                <c:pt idx="18">
                  <c:v>22993005.100140683</c:v>
                </c:pt>
                <c:pt idx="19">
                  <c:v>22993005.100140683</c:v>
                </c:pt>
                <c:pt idx="20">
                  <c:v>21645909.675872717</c:v>
                </c:pt>
                <c:pt idx="21">
                  <c:v>22412522.564138234</c:v>
                </c:pt>
                <c:pt idx="22">
                  <c:v>22226392.211875167</c:v>
                </c:pt>
                <c:pt idx="23">
                  <c:v>22993005.100140683</c:v>
                </c:pt>
                <c:pt idx="24">
                  <c:v>22978784.353958644</c:v>
                </c:pt>
                <c:pt idx="25">
                  <c:v>20678945.689162102</c:v>
                </c:pt>
                <c:pt idx="26">
                  <c:v>22978784.353958644</c:v>
                </c:pt>
                <c:pt idx="27">
                  <c:v>22212171.465693127</c:v>
                </c:pt>
                <c:pt idx="28">
                  <c:v>22978784.353958644</c:v>
                </c:pt>
                <c:pt idx="29">
                  <c:v>22212171.465693127</c:v>
                </c:pt>
                <c:pt idx="30">
                  <c:v>22978784.353958644</c:v>
                </c:pt>
                <c:pt idx="31">
                  <c:v>22978784.353958644</c:v>
                </c:pt>
                <c:pt idx="32">
                  <c:v>21631688.929690678</c:v>
                </c:pt>
                <c:pt idx="33">
                  <c:v>22398301.817956194</c:v>
                </c:pt>
                <c:pt idx="34">
                  <c:v>22212171.465693127</c:v>
                </c:pt>
                <c:pt idx="35">
                  <c:v>22978784.353958644</c:v>
                </c:pt>
                <c:pt idx="36">
                  <c:v>22971166.097075406</c:v>
                </c:pt>
                <c:pt idx="37">
                  <c:v>20671327.432278864</c:v>
                </c:pt>
                <c:pt idx="38">
                  <c:v>22971166.097075406</c:v>
                </c:pt>
                <c:pt idx="39">
                  <c:v>22204553.20880989</c:v>
                </c:pt>
                <c:pt idx="40">
                  <c:v>22971166.097075406</c:v>
                </c:pt>
                <c:pt idx="41">
                  <c:v>22204553.20880989</c:v>
                </c:pt>
                <c:pt idx="42">
                  <c:v>22971166.097075406</c:v>
                </c:pt>
                <c:pt idx="43">
                  <c:v>22971166.097075406</c:v>
                </c:pt>
                <c:pt idx="44">
                  <c:v>21624070.67280744</c:v>
                </c:pt>
                <c:pt idx="45">
                  <c:v>22390683.561072957</c:v>
                </c:pt>
                <c:pt idx="46">
                  <c:v>22204553.20880989</c:v>
                </c:pt>
                <c:pt idx="47">
                  <c:v>22971166.097075406</c:v>
                </c:pt>
                <c:pt idx="48">
                  <c:v>24768058.953934941</c:v>
                </c:pt>
                <c:pt idx="49">
                  <c:v>23234833.177403912</c:v>
                </c:pt>
                <c:pt idx="50">
                  <c:v>24768058.953934941</c:v>
                </c:pt>
                <c:pt idx="51">
                  <c:v>24001446.065669425</c:v>
                </c:pt>
                <c:pt idx="52">
                  <c:v>24768058.953934941</c:v>
                </c:pt>
                <c:pt idx="53">
                  <c:v>24001446.065669425</c:v>
                </c:pt>
                <c:pt idx="54">
                  <c:v>24768058.953934941</c:v>
                </c:pt>
                <c:pt idx="55">
                  <c:v>24768058.953934941</c:v>
                </c:pt>
                <c:pt idx="56">
                  <c:v>23420963.529666975</c:v>
                </c:pt>
                <c:pt idx="57">
                  <c:v>24187576.417932492</c:v>
                </c:pt>
                <c:pt idx="58">
                  <c:v>24001446.065669425</c:v>
                </c:pt>
                <c:pt idx="59">
                  <c:v>24768058.953934941</c:v>
                </c:pt>
                <c:pt idx="60">
                  <c:v>24312487.192317359</c:v>
                </c:pt>
                <c:pt idx="61">
                  <c:v>22012648.527520817</c:v>
                </c:pt>
                <c:pt idx="62">
                  <c:v>24312487.192317359</c:v>
                </c:pt>
                <c:pt idx="63">
                  <c:v>23545874.304051843</c:v>
                </c:pt>
                <c:pt idx="64">
                  <c:v>24312487.192317359</c:v>
                </c:pt>
                <c:pt idx="65">
                  <c:v>23545874.304051843</c:v>
                </c:pt>
                <c:pt idx="66">
                  <c:v>24312487.192317359</c:v>
                </c:pt>
                <c:pt idx="67">
                  <c:v>24312487.192317359</c:v>
                </c:pt>
                <c:pt idx="68">
                  <c:v>22965391.768049393</c:v>
                </c:pt>
                <c:pt idx="69">
                  <c:v>23732004.656314909</c:v>
                </c:pt>
                <c:pt idx="70">
                  <c:v>23545874.304051843</c:v>
                </c:pt>
                <c:pt idx="71">
                  <c:v>24312487.192317359</c:v>
                </c:pt>
                <c:pt idx="72">
                  <c:v>24259159.3941347</c:v>
                </c:pt>
                <c:pt idx="73">
                  <c:v>21959320.729338158</c:v>
                </c:pt>
                <c:pt idx="74">
                  <c:v>24259159.3941347</c:v>
                </c:pt>
                <c:pt idx="75">
                  <c:v>23492546.505869184</c:v>
                </c:pt>
                <c:pt idx="76">
                  <c:v>24259159.3941347</c:v>
                </c:pt>
                <c:pt idx="77">
                  <c:v>23492546.505869184</c:v>
                </c:pt>
                <c:pt idx="78">
                  <c:v>24259159.3941347</c:v>
                </c:pt>
                <c:pt idx="79">
                  <c:v>24259159.3941347</c:v>
                </c:pt>
                <c:pt idx="80">
                  <c:v>22912063.969866734</c:v>
                </c:pt>
                <c:pt idx="81">
                  <c:v>23678676.858132251</c:v>
                </c:pt>
                <c:pt idx="82">
                  <c:v>23492546.505869184</c:v>
                </c:pt>
                <c:pt idx="83">
                  <c:v>24259159.3941347</c:v>
                </c:pt>
                <c:pt idx="84">
                  <c:v>24247985.950705953</c:v>
                </c:pt>
                <c:pt idx="85">
                  <c:v>21948147.285909411</c:v>
                </c:pt>
                <c:pt idx="86">
                  <c:v>24247985.950705953</c:v>
                </c:pt>
                <c:pt idx="87">
                  <c:v>23481373.062440436</c:v>
                </c:pt>
                <c:pt idx="88">
                  <c:v>24247985.950705953</c:v>
                </c:pt>
                <c:pt idx="89">
                  <c:v>23481373.062440436</c:v>
                </c:pt>
                <c:pt idx="90">
                  <c:v>24247985.950705953</c:v>
                </c:pt>
                <c:pt idx="91">
                  <c:v>24247985.950705953</c:v>
                </c:pt>
                <c:pt idx="92">
                  <c:v>22900890.526437987</c:v>
                </c:pt>
                <c:pt idx="93">
                  <c:v>23667503.414703503</c:v>
                </c:pt>
                <c:pt idx="94">
                  <c:v>23481373.062440436</c:v>
                </c:pt>
                <c:pt idx="95">
                  <c:v>24247985.950705953</c:v>
                </c:pt>
                <c:pt idx="96">
                  <c:v>24180945.290133465</c:v>
                </c:pt>
                <c:pt idx="97">
                  <c:v>22647719.513602436</c:v>
                </c:pt>
                <c:pt idx="98">
                  <c:v>24180945.290133465</c:v>
                </c:pt>
                <c:pt idx="99">
                  <c:v>23414332.401867948</c:v>
                </c:pt>
                <c:pt idx="100">
                  <c:v>24180945.290133465</c:v>
                </c:pt>
                <c:pt idx="101">
                  <c:v>23414332.401867948</c:v>
                </c:pt>
                <c:pt idx="102">
                  <c:v>24180945.290133465</c:v>
                </c:pt>
                <c:pt idx="103">
                  <c:v>24180945.290133465</c:v>
                </c:pt>
                <c:pt idx="104">
                  <c:v>22833849.865865499</c:v>
                </c:pt>
                <c:pt idx="105">
                  <c:v>23600462.754131015</c:v>
                </c:pt>
                <c:pt idx="106">
                  <c:v>23414332.401867948</c:v>
                </c:pt>
                <c:pt idx="107">
                  <c:v>24180945.290133465</c:v>
                </c:pt>
                <c:pt idx="108">
                  <c:v>24160122.054652616</c:v>
                </c:pt>
                <c:pt idx="109">
                  <c:v>21860283.389856074</c:v>
                </c:pt>
                <c:pt idx="110">
                  <c:v>24160122.054652616</c:v>
                </c:pt>
                <c:pt idx="111">
                  <c:v>23393509.1663871</c:v>
                </c:pt>
                <c:pt idx="112">
                  <c:v>24160122.054652616</c:v>
                </c:pt>
                <c:pt idx="113">
                  <c:v>23393509.1663871</c:v>
                </c:pt>
                <c:pt idx="114">
                  <c:v>24160122.054652616</c:v>
                </c:pt>
                <c:pt idx="115">
                  <c:v>24160122.054652616</c:v>
                </c:pt>
                <c:pt idx="116">
                  <c:v>22813026.63038465</c:v>
                </c:pt>
                <c:pt idx="117">
                  <c:v>23579639.518650167</c:v>
                </c:pt>
                <c:pt idx="118">
                  <c:v>23393509.1663871</c:v>
                </c:pt>
                <c:pt idx="119">
                  <c:v>24160122.054652616</c:v>
                </c:pt>
                <c:pt idx="120">
                  <c:v>24207856.782573499</c:v>
                </c:pt>
                <c:pt idx="121">
                  <c:v>21908018.117776956</c:v>
                </c:pt>
                <c:pt idx="122">
                  <c:v>24207856.782573499</c:v>
                </c:pt>
                <c:pt idx="123">
                  <c:v>23441243.894307982</c:v>
                </c:pt>
                <c:pt idx="124">
                  <c:v>24207856.782573499</c:v>
                </c:pt>
                <c:pt idx="125">
                  <c:v>23441243.894307982</c:v>
                </c:pt>
                <c:pt idx="126">
                  <c:v>24207856.782573499</c:v>
                </c:pt>
                <c:pt idx="127">
                  <c:v>24207856.782573499</c:v>
                </c:pt>
                <c:pt idx="128">
                  <c:v>22860761.358305532</c:v>
                </c:pt>
                <c:pt idx="129">
                  <c:v>23627374.246571049</c:v>
                </c:pt>
                <c:pt idx="130">
                  <c:v>23441243.894307982</c:v>
                </c:pt>
                <c:pt idx="131">
                  <c:v>24207856.782573499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03-4563-B1BA-223181270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Summary'!$R$3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Summary'!$Q$4:$Q$14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Summary'!$R$4:$R$14</c:f>
              <c:numCache>
                <c:formatCode>#,##0</c:formatCode>
                <c:ptCount val="11"/>
                <c:pt idx="0">
                  <c:v>126900042.8686</c:v>
                </c:pt>
                <c:pt idx="1">
                  <c:v>132362745.88647036</c:v>
                </c:pt>
                <c:pt idx="2">
                  <c:v>131128307.18539861</c:v>
                </c:pt>
                <c:pt idx="3">
                  <c:v>128744428.37825245</c:v>
                </c:pt>
                <c:pt idx="4">
                  <c:v>125462756.74687864</c:v>
                </c:pt>
                <c:pt idx="5">
                  <c:v>124580290.32659683</c:v>
                </c:pt>
                <c:pt idx="6">
                  <c:v>123357564.83880347</c:v>
                </c:pt>
                <c:pt idx="7">
                  <c:v>121941467.25532992</c:v>
                </c:pt>
                <c:pt idx="8">
                  <c:v>115608048.48327726</c:v>
                </c:pt>
                <c:pt idx="9">
                  <c:v>125481912.20873922</c:v>
                </c:pt>
                <c:pt idx="10">
                  <c:v>123025138.38347955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6-4A29-9CC5-43C2161E55DD}"/>
            </c:ext>
          </c:extLst>
        </c:ser>
        <c:ser>
          <c:idx val="2"/>
          <c:order val="1"/>
          <c:tx>
            <c:strRef>
              <c:f>'Model Summary'!$S$3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Summary'!$Q$4:$Q$14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Summary'!$S$4:$S$14</c:f>
              <c:numCache>
                <c:formatCode>#,##0</c:formatCode>
                <c:ptCount val="11"/>
                <c:pt idx="0">
                  <c:v>130161425.51151717</c:v>
                </c:pt>
                <c:pt idx="1">
                  <c:v>128744661.58648673</c:v>
                </c:pt>
                <c:pt idx="2">
                  <c:v>127611115.12566775</c:v>
                </c:pt>
                <c:pt idx="3">
                  <c:v>127274383.27200912</c:v>
                </c:pt>
                <c:pt idx="4">
                  <c:v>127432052.13540474</c:v>
                </c:pt>
                <c:pt idx="5">
                  <c:v>126003993.15795319</c:v>
                </c:pt>
                <c:pt idx="6">
                  <c:v>125565948.10682058</c:v>
                </c:pt>
                <c:pt idx="7">
                  <c:v>124402623.78052786</c:v>
                </c:pt>
                <c:pt idx="8">
                  <c:v>116321761.76804727</c:v>
                </c:pt>
                <c:pt idx="9">
                  <c:v>123468689.318894</c:v>
                </c:pt>
                <c:pt idx="10">
                  <c:v>122569600.76439153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6-4A29-9CC5-43C2161E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User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Summary'!$W$3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Summary'!$V$4:$V$14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Summary'!$W$4:$W$14</c:f>
              <c:numCache>
                <c:formatCode>#,##0</c:formatCode>
                <c:ptCount val="11"/>
                <c:pt idx="0">
                  <c:v>272631443.27339244</c:v>
                </c:pt>
                <c:pt idx="1">
                  <c:v>264005036.01067609</c:v>
                </c:pt>
                <c:pt idx="2">
                  <c:v>269674382.97480106</c:v>
                </c:pt>
                <c:pt idx="3">
                  <c:v>273021163.94050145</c:v>
                </c:pt>
                <c:pt idx="4">
                  <c:v>300339150.36896574</c:v>
                </c:pt>
                <c:pt idx="5">
                  <c:v>289952468.45853055</c:v>
                </c:pt>
                <c:pt idx="6">
                  <c:v>287951982.71705943</c:v>
                </c:pt>
                <c:pt idx="7">
                  <c:v>291926085.9661594</c:v>
                </c:pt>
                <c:pt idx="8">
                  <c:v>282593106.7428996</c:v>
                </c:pt>
                <c:pt idx="9">
                  <c:v>268737188.50233674</c:v>
                </c:pt>
                <c:pt idx="10">
                  <c:v>273168777.89712179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4-43B8-99E7-9B977733E81C}"/>
            </c:ext>
          </c:extLst>
        </c:ser>
        <c:ser>
          <c:idx val="2"/>
          <c:order val="1"/>
          <c:tx>
            <c:strRef>
              <c:f>'Model Summary'!$X$3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Summary'!$V$4:$V$14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Summary'!$X$4:$X$14</c:f>
              <c:numCache>
                <c:formatCode>#,##0</c:formatCode>
                <c:ptCount val="11"/>
                <c:pt idx="0">
                  <c:v>270801446.98378873</c:v>
                </c:pt>
                <c:pt idx="1">
                  <c:v>269388805.9118247</c:v>
                </c:pt>
                <c:pt idx="2">
                  <c:v>269218156.95764023</c:v>
                </c:pt>
                <c:pt idx="3">
                  <c:v>269126737.87504137</c:v>
                </c:pt>
                <c:pt idx="4">
                  <c:v>291456065.04562128</c:v>
                </c:pt>
                <c:pt idx="5">
                  <c:v>285222591.01794481</c:v>
                </c:pt>
                <c:pt idx="6">
                  <c:v>284582657.43975288</c:v>
                </c:pt>
                <c:pt idx="7">
                  <c:v>284448576.11860794</c:v>
                </c:pt>
                <c:pt idx="8">
                  <c:v>284410701.08000362</c:v>
                </c:pt>
                <c:pt idx="9">
                  <c:v>283394209.36596793</c:v>
                </c:pt>
                <c:pt idx="10">
                  <c:v>283967026.10101849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4-43B8-99E7-9B977733E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Summary'!$C$4:$C$14</c:f>
              <c:numCache>
                <c:formatCode>#,##0</c:formatCode>
                <c:ptCount val="11"/>
                <c:pt idx="0">
                  <c:v>257869306.08309445</c:v>
                </c:pt>
                <c:pt idx="1">
                  <c:v>257847061.41083631</c:v>
                </c:pt>
                <c:pt idx="2">
                  <c:v>252161003.50009099</c:v>
                </c:pt>
                <c:pt idx="3">
                  <c:v>252472940.02763164</c:v>
                </c:pt>
                <c:pt idx="4">
                  <c:v>261879307.49471176</c:v>
                </c:pt>
                <c:pt idx="5">
                  <c:v>255917676.66989917</c:v>
                </c:pt>
                <c:pt idx="6">
                  <c:v>274156480.89960718</c:v>
                </c:pt>
                <c:pt idx="7">
                  <c:v>267147932.46974608</c:v>
                </c:pt>
                <c:pt idx="8">
                  <c:v>286141751.98416203</c:v>
                </c:pt>
                <c:pt idx="9">
                  <c:v>290863007.77535892</c:v>
                </c:pt>
                <c:pt idx="10">
                  <c:v>289765135.91839689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4-4DA6-A709-05BA7389D420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Summary'!$D$4:$D$14</c:f>
              <c:numCache>
                <c:formatCode>#,##0</c:formatCode>
                <c:ptCount val="11"/>
                <c:pt idx="0">
                  <c:v>254972817.26997802</c:v>
                </c:pt>
                <c:pt idx="1">
                  <c:v>256075793.87443274</c:v>
                </c:pt>
                <c:pt idx="2">
                  <c:v>252834205.60069475</c:v>
                </c:pt>
                <c:pt idx="3">
                  <c:v>256122410.32818589</c:v>
                </c:pt>
                <c:pt idx="4">
                  <c:v>264659317.2354221</c:v>
                </c:pt>
                <c:pt idx="5">
                  <c:v>258663986.20463538</c:v>
                </c:pt>
                <c:pt idx="6">
                  <c:v>270476113.74868184</c:v>
                </c:pt>
                <c:pt idx="7">
                  <c:v>264653713.73964223</c:v>
                </c:pt>
                <c:pt idx="8">
                  <c:v>279917939.61344701</c:v>
                </c:pt>
                <c:pt idx="9">
                  <c:v>293721041.88186675</c:v>
                </c:pt>
                <c:pt idx="10">
                  <c:v>287884545.02965862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4-4DA6-A709-05BA7389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62542744237218384"/>
          <c:h val="8.3031637174385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Summary'!$C$74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Summary'!$B$75:$B$84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Summary'!$C$75:$C$84</c:f>
              <c:numCache>
                <c:formatCode>#,##0</c:formatCode>
                <c:ptCount val="10"/>
                <c:pt idx="0">
                  <c:v>264765478.77365178</c:v>
                </c:pt>
                <c:pt idx="1">
                  <c:v>258092089.49168485</c:v>
                </c:pt>
                <c:pt idx="2">
                  <c:v>257869306.08309445</c:v>
                </c:pt>
                <c:pt idx="3">
                  <c:v>257847061.41083631</c:v>
                </c:pt>
                <c:pt idx="4">
                  <c:v>252161003.50009099</c:v>
                </c:pt>
                <c:pt idx="5">
                  <c:v>252472940.02763164</c:v>
                </c:pt>
                <c:pt idx="6">
                  <c:v>261879307.49471176</c:v>
                </c:pt>
                <c:pt idx="7">
                  <c:v>255917676.66989917</c:v>
                </c:pt>
                <c:pt idx="8">
                  <c:v>274156480.89960718</c:v>
                </c:pt>
                <c:pt idx="9">
                  <c:v>267147932.46974608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17-46EE-849C-F2D086DBBEEF}"/>
            </c:ext>
          </c:extLst>
        </c:ser>
        <c:ser>
          <c:idx val="0"/>
          <c:order val="1"/>
          <c:tx>
            <c:strRef>
              <c:f>'Model Summary'!$D$74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Summary'!$B$75:$B$84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Summary'!$D$75:$D$84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266255858.68528369</c:v>
                </c:pt>
                <c:pt idx="3">
                  <c:v>271229325.57173938</c:v>
                </c:pt>
                <c:pt idx="4">
                  <c:v>265448697.58820805</c:v>
                </c:pt>
                <c:pt idx="5">
                  <c:v>264977411.57197857</c:v>
                </c:pt>
                <c:pt idx="6">
                  <c:v>272389111.82843953</c:v>
                </c:pt>
                <c:pt idx="7">
                  <c:v>267399286.97272119</c:v>
                </c:pt>
                <c:pt idx="8">
                  <c:v>281098917.56655431</c:v>
                </c:pt>
                <c:pt idx="9">
                  <c:v>279026505.95455617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7-46EE-849C-F2D086DBB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9587659872237226"/>
          <c:h val="0.111453303058763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Data'!$CZ$1</c:f>
              <c:strCache>
                <c:ptCount val="1"/>
                <c:pt idx="0">
                  <c:v>Avg. GSlt50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'Monthly Data'!$AW$2:$AW$133</c:f>
              <c:numCache>
                <c:formatCode>0.00</c:formatCode>
                <c:ptCount val="132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>
                  <c:v>-7.4193548387096714E-2</c:v>
                </c:pt>
                <c:pt idx="97">
                  <c:v>-2.1517241379310343</c:v>
                </c:pt>
                <c:pt idx="98">
                  <c:v>3.3000000000000003</c:v>
                </c:pt>
                <c:pt idx="99">
                  <c:v>5.4466666666666672</c:v>
                </c:pt>
                <c:pt idx="100">
                  <c:v>12.067741935483872</c:v>
                </c:pt>
                <c:pt idx="101">
                  <c:v>19.163333333333334</c:v>
                </c:pt>
                <c:pt idx="102">
                  <c:v>23.132258064516133</c:v>
                </c:pt>
                <c:pt idx="103">
                  <c:v>20.806451612903221</c:v>
                </c:pt>
                <c:pt idx="104">
                  <c:v>15.929999999999998</c:v>
                </c:pt>
                <c:pt idx="105">
                  <c:v>9.6838709677419335</c:v>
                </c:pt>
                <c:pt idx="106">
                  <c:v>7.126666666666666</c:v>
                </c:pt>
                <c:pt idx="107">
                  <c:v>0.40645161290322557</c:v>
                </c:pt>
                <c:pt idx="108">
                  <c:v>-1.9096774193548387</c:v>
                </c:pt>
                <c:pt idx="109">
                  <c:v>-5.4857142857142867</c:v>
                </c:pt>
                <c:pt idx="110">
                  <c:v>4.112903225806452</c:v>
                </c:pt>
                <c:pt idx="111">
                  <c:v>8.73</c:v>
                </c:pt>
                <c:pt idx="112">
                  <c:v>12.941935483870967</c:v>
                </c:pt>
                <c:pt idx="113">
                  <c:v>20.99</c:v>
                </c:pt>
                <c:pt idx="114">
                  <c:v>20.816129032258065</c:v>
                </c:pt>
                <c:pt idx="115">
                  <c:v>22.119354838709679</c:v>
                </c:pt>
                <c:pt idx="116">
                  <c:v>17.493333333333329</c:v>
                </c:pt>
                <c:pt idx="117">
                  <c:v>14.39032258064516</c:v>
                </c:pt>
                <c:pt idx="118">
                  <c:v>3.8966666666666674</c:v>
                </c:pt>
                <c:pt idx="119">
                  <c:v>1.9548387096774196</c:v>
                </c:pt>
                <c:pt idx="120">
                  <c:v>-6.9612903225806457</c:v>
                </c:pt>
                <c:pt idx="121">
                  <c:v>-3.6642857142857137</c:v>
                </c:pt>
                <c:pt idx="122">
                  <c:v>1.667741935483871</c:v>
                </c:pt>
                <c:pt idx="123">
                  <c:v>6.0733333333333341</c:v>
                </c:pt>
                <c:pt idx="124">
                  <c:v>14.835483870967742</c:v>
                </c:pt>
                <c:pt idx="125">
                  <c:v>18.759999999999998</c:v>
                </c:pt>
                <c:pt idx="126">
                  <c:v>21.93225806451613</c:v>
                </c:pt>
                <c:pt idx="127">
                  <c:v>21.41935483870968</c:v>
                </c:pt>
                <c:pt idx="128">
                  <c:v>17.456666666666667</c:v>
                </c:pt>
                <c:pt idx="129">
                  <c:v>10.606451612903225</c:v>
                </c:pt>
                <c:pt idx="130">
                  <c:v>5.69</c:v>
                </c:pt>
                <c:pt idx="131">
                  <c:v>-0.2741935483870967</c:v>
                </c:pt>
              </c:numCache>
            </c:numRef>
          </c:xVal>
          <c:yVal>
            <c:numRef>
              <c:f>'Monthly Data'!$CZ$2:$CZ$133</c:f>
              <c:numCache>
                <c:formatCode>_(* #,##0.0_);_(* \(#,##0.0\);_(* "-"??_);_(@_)</c:formatCode>
                <c:ptCount val="132"/>
                <c:pt idx="0">
                  <c:v>89.54052015058943</c:v>
                </c:pt>
                <c:pt idx="1">
                  <c:v>86.286061353633997</c:v>
                </c:pt>
                <c:pt idx="2">
                  <c:v>78.477678453532448</c:v>
                </c:pt>
                <c:pt idx="3">
                  <c:v>73.832051431940002</c:v>
                </c:pt>
                <c:pt idx="4">
                  <c:v>73.540672310259353</c:v>
                </c:pt>
                <c:pt idx="5">
                  <c:v>85.674846270774424</c:v>
                </c:pt>
                <c:pt idx="6">
                  <c:v>96.558367575563636</c:v>
                </c:pt>
                <c:pt idx="7">
                  <c:v>86.881095645429966</c:v>
                </c:pt>
                <c:pt idx="8">
                  <c:v>75.818868906181095</c:v>
                </c:pt>
                <c:pt idx="9">
                  <c:v>72.249238451513122</c:v>
                </c:pt>
                <c:pt idx="10">
                  <c:v>78.668615176071569</c:v>
                </c:pt>
                <c:pt idx="11">
                  <c:v>84.837038392557631</c:v>
                </c:pt>
                <c:pt idx="12">
                  <c:v>88.810190756777018</c:v>
                </c:pt>
                <c:pt idx="13">
                  <c:v>92.993886988722849</c:v>
                </c:pt>
                <c:pt idx="14">
                  <c:v>86.087882877089086</c:v>
                </c:pt>
                <c:pt idx="15">
                  <c:v>78.081273214635203</c:v>
                </c:pt>
                <c:pt idx="16">
                  <c:v>74.782775106966227</c:v>
                </c:pt>
                <c:pt idx="17">
                  <c:v>80.033051652680328</c:v>
                </c:pt>
                <c:pt idx="18">
                  <c:v>92.448465668778624</c:v>
                </c:pt>
                <c:pt idx="19">
                  <c:v>85.096088315002973</c:v>
                </c:pt>
                <c:pt idx="20">
                  <c:v>74.565608678121777</c:v>
                </c:pt>
                <c:pt idx="21">
                  <c:v>72.288545573303395</c:v>
                </c:pt>
                <c:pt idx="22">
                  <c:v>80.631713189071476</c:v>
                </c:pt>
                <c:pt idx="23">
                  <c:v>88.676364483403276</c:v>
                </c:pt>
                <c:pt idx="24">
                  <c:v>95.343915937602461</c:v>
                </c:pt>
                <c:pt idx="25">
                  <c:v>95.444266759228285</c:v>
                </c:pt>
                <c:pt idx="26">
                  <c:v>90.756002239588042</c:v>
                </c:pt>
                <c:pt idx="27">
                  <c:v>76.205589829658479</c:v>
                </c:pt>
                <c:pt idx="28">
                  <c:v>72.867543778827255</c:v>
                </c:pt>
                <c:pt idx="29">
                  <c:v>82.671664284817112</c:v>
                </c:pt>
                <c:pt idx="30">
                  <c:v>83.125937518270362</c:v>
                </c:pt>
                <c:pt idx="31">
                  <c:v>83.245151461807964</c:v>
                </c:pt>
                <c:pt idx="32">
                  <c:v>76.652686417573193</c:v>
                </c:pt>
                <c:pt idx="33">
                  <c:v>72.766298386179045</c:v>
                </c:pt>
                <c:pt idx="34">
                  <c:v>83.854940611349519</c:v>
                </c:pt>
                <c:pt idx="35">
                  <c:v>87.542368812585252</c:v>
                </c:pt>
                <c:pt idx="36">
                  <c:v>95.476363976878673</c:v>
                </c:pt>
                <c:pt idx="37">
                  <c:v>101.08300061183769</c:v>
                </c:pt>
                <c:pt idx="38">
                  <c:v>88.925668052603513</c:v>
                </c:pt>
                <c:pt idx="39">
                  <c:v>77.505686358288585</c:v>
                </c:pt>
                <c:pt idx="40">
                  <c:v>76.153020611110989</c:v>
                </c:pt>
                <c:pt idx="41">
                  <c:v>80.42845125007959</c:v>
                </c:pt>
                <c:pt idx="42">
                  <c:v>90.452642285705423</c:v>
                </c:pt>
                <c:pt idx="43">
                  <c:v>85.906818005742821</c:v>
                </c:pt>
                <c:pt idx="44">
                  <c:v>86.583597706773858</c:v>
                </c:pt>
                <c:pt idx="45">
                  <c:v>73.65163597076841</c:v>
                </c:pt>
                <c:pt idx="46">
                  <c:v>77.416822618891928</c:v>
                </c:pt>
                <c:pt idx="47">
                  <c:v>82.509831837587214</c:v>
                </c:pt>
                <c:pt idx="48">
                  <c:v>90.223753973034121</c:v>
                </c:pt>
                <c:pt idx="49">
                  <c:v>89.983808043386887</c:v>
                </c:pt>
                <c:pt idx="50">
                  <c:v>82.208876912394558</c:v>
                </c:pt>
                <c:pt idx="51">
                  <c:v>78.29446600050106</c:v>
                </c:pt>
                <c:pt idx="52">
                  <c:v>77.006765943201643</c:v>
                </c:pt>
                <c:pt idx="53">
                  <c:v>82.547709583412768</c:v>
                </c:pt>
                <c:pt idx="54">
                  <c:v>94.948437172977123</c:v>
                </c:pt>
                <c:pt idx="55">
                  <c:v>98.50340515428114</c:v>
                </c:pt>
                <c:pt idx="56">
                  <c:v>81.743385650560739</c:v>
                </c:pt>
                <c:pt idx="57">
                  <c:v>73.431618778801052</c:v>
                </c:pt>
                <c:pt idx="58">
                  <c:v>76.731003328549491</c:v>
                </c:pt>
                <c:pt idx="59">
                  <c:v>87.538286606161734</c:v>
                </c:pt>
                <c:pt idx="60">
                  <c:v>87.460188436847687</c:v>
                </c:pt>
                <c:pt idx="61">
                  <c:v>84.57862280630772</c:v>
                </c:pt>
                <c:pt idx="62">
                  <c:v>83.607011708166311</c:v>
                </c:pt>
                <c:pt idx="63">
                  <c:v>73.092246321806925</c:v>
                </c:pt>
                <c:pt idx="64">
                  <c:v>72.303700454023001</c:v>
                </c:pt>
                <c:pt idx="65">
                  <c:v>82.022005403584089</c:v>
                </c:pt>
                <c:pt idx="66">
                  <c:v>86.922808416662249</c:v>
                </c:pt>
                <c:pt idx="67">
                  <c:v>83.670325117870163</c:v>
                </c:pt>
                <c:pt idx="68">
                  <c:v>79.097500424954021</c:v>
                </c:pt>
                <c:pt idx="69">
                  <c:v>71.701998982924721</c:v>
                </c:pt>
                <c:pt idx="70">
                  <c:v>80.066605504885302</c:v>
                </c:pt>
                <c:pt idx="71">
                  <c:v>86.09902491218044</c:v>
                </c:pt>
                <c:pt idx="72">
                  <c:v>91.942230098613663</c:v>
                </c:pt>
                <c:pt idx="73">
                  <c:v>87.788575421438694</c:v>
                </c:pt>
                <c:pt idx="74">
                  <c:v>83.606937974292549</c:v>
                </c:pt>
                <c:pt idx="75">
                  <c:v>79.84638794438699</c:v>
                </c:pt>
                <c:pt idx="76">
                  <c:v>76.620862074618614</c:v>
                </c:pt>
                <c:pt idx="77">
                  <c:v>80.394473158178428</c:v>
                </c:pt>
                <c:pt idx="78">
                  <c:v>90.614485656043556</c:v>
                </c:pt>
                <c:pt idx="79">
                  <c:v>91.294874766383401</c:v>
                </c:pt>
                <c:pt idx="80">
                  <c:v>79.699976033532408</c:v>
                </c:pt>
                <c:pt idx="81">
                  <c:v>72.74921769844525</c:v>
                </c:pt>
                <c:pt idx="82">
                  <c:v>82.280824468609595</c:v>
                </c:pt>
                <c:pt idx="83">
                  <c:v>82.121837125577727</c:v>
                </c:pt>
                <c:pt idx="84">
                  <c:v>89.631231052118409</c:v>
                </c:pt>
                <c:pt idx="85">
                  <c:v>93.186200145973771</c:v>
                </c:pt>
                <c:pt idx="86">
                  <c:v>85.277259299227396</c:v>
                </c:pt>
                <c:pt idx="87">
                  <c:v>77.582370543741646</c:v>
                </c:pt>
                <c:pt idx="88">
                  <c:v>73.177716407823041</c:v>
                </c:pt>
                <c:pt idx="89">
                  <c:v>77.771638410249707</c:v>
                </c:pt>
                <c:pt idx="90">
                  <c:v>96.899208681247217</c:v>
                </c:pt>
                <c:pt idx="91">
                  <c:v>88.862232651130597</c:v>
                </c:pt>
                <c:pt idx="92">
                  <c:v>78.908899744037896</c:v>
                </c:pt>
                <c:pt idx="93">
                  <c:v>72.037394033803778</c:v>
                </c:pt>
                <c:pt idx="94">
                  <c:v>82.386757871126164</c:v>
                </c:pt>
                <c:pt idx="95">
                  <c:v>85.604074033066837</c:v>
                </c:pt>
                <c:pt idx="96">
                  <c:v>86.976893528499971</c:v>
                </c:pt>
                <c:pt idx="97">
                  <c:v>87.415394072100938</c:v>
                </c:pt>
                <c:pt idx="98">
                  <c:v>76.315053136596248</c:v>
                </c:pt>
                <c:pt idx="99">
                  <c:v>64.681654026884544</c:v>
                </c:pt>
                <c:pt idx="100">
                  <c:v>64.488878894213741</c:v>
                </c:pt>
                <c:pt idx="101">
                  <c:v>75.844114773635468</c:v>
                </c:pt>
                <c:pt idx="102">
                  <c:v>90.568882271976435</c:v>
                </c:pt>
                <c:pt idx="103">
                  <c:v>84.27279565201232</c:v>
                </c:pt>
                <c:pt idx="104">
                  <c:v>73.985357952333288</c:v>
                </c:pt>
                <c:pt idx="105">
                  <c:v>71.046739888751404</c:v>
                </c:pt>
                <c:pt idx="106">
                  <c:v>77.355454147458602</c:v>
                </c:pt>
                <c:pt idx="107">
                  <c:v>83.124279996282539</c:v>
                </c:pt>
                <c:pt idx="108">
                  <c:v>82.909215499145006</c:v>
                </c:pt>
                <c:pt idx="109">
                  <c:v>88.432768582220433</c:v>
                </c:pt>
                <c:pt idx="110">
                  <c:v>78.892522394355041</c:v>
                </c:pt>
                <c:pt idx="111">
                  <c:v>70.67280293146527</c:v>
                </c:pt>
                <c:pt idx="112">
                  <c:v>71.45294776234185</c:v>
                </c:pt>
                <c:pt idx="113">
                  <c:v>86.74726249015427</c:v>
                </c:pt>
                <c:pt idx="114">
                  <c:v>90.335245593824453</c:v>
                </c:pt>
                <c:pt idx="115">
                  <c:v>97.17100564740818</c:v>
                </c:pt>
                <c:pt idx="116">
                  <c:v>81.431820603288685</c:v>
                </c:pt>
                <c:pt idx="117">
                  <c:v>76.132877512405685</c:v>
                </c:pt>
                <c:pt idx="118">
                  <c:v>82.459988102742102</c:v>
                </c:pt>
                <c:pt idx="119">
                  <c:v>85.311682348806343</c:v>
                </c:pt>
                <c:pt idx="120">
                  <c:v>94.792357390170608</c:v>
                </c:pt>
                <c:pt idx="121">
                  <c:v>94.901897223601452</c:v>
                </c:pt>
                <c:pt idx="122">
                  <c:v>87.491543975916883</c:v>
                </c:pt>
                <c:pt idx="123">
                  <c:v>80.363485296515847</c:v>
                </c:pt>
                <c:pt idx="124">
                  <c:v>79.221740309586423</c:v>
                </c:pt>
                <c:pt idx="125">
                  <c:v>88.53990266103601</c:v>
                </c:pt>
                <c:pt idx="126">
                  <c:v>94.489332558435436</c:v>
                </c:pt>
                <c:pt idx="127">
                  <c:v>94.704363058834218</c:v>
                </c:pt>
                <c:pt idx="128">
                  <c:v>83.65748689608607</c:v>
                </c:pt>
                <c:pt idx="129">
                  <c:v>75.061159492601007</c:v>
                </c:pt>
                <c:pt idx="130">
                  <c:v>82.072099965818438</c:v>
                </c:pt>
                <c:pt idx="131">
                  <c:v>88.288665690851175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14-455F-B489-40DD2FA0C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marker>
            <c:symbol val="none"/>
          </c:marker>
          <c:cat>
            <c:numRef>
              <c:f>'Model Summary'!$G$4:$G$14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Summary'!$H$4:$H$14</c:f>
              <c:numCache>
                <c:formatCode>#,##0</c:formatCode>
                <c:ptCount val="11"/>
                <c:pt idx="0">
                  <c:v>104268159.33148342</c:v>
                </c:pt>
                <c:pt idx="1">
                  <c:v>104972493.37099701</c:v>
                </c:pt>
                <c:pt idx="2">
                  <c:v>106264756.09373076</c:v>
                </c:pt>
                <c:pt idx="3">
                  <c:v>107955640.79192054</c:v>
                </c:pt>
                <c:pt idx="4">
                  <c:v>107393352.63537197</c:v>
                </c:pt>
                <c:pt idx="5">
                  <c:v>102664514.77493219</c:v>
                </c:pt>
                <c:pt idx="6">
                  <c:v>105367441.44738773</c:v>
                </c:pt>
                <c:pt idx="7">
                  <c:v>106090220.65794849</c:v>
                </c:pt>
                <c:pt idx="8">
                  <c:v>99650476.84197709</c:v>
                </c:pt>
                <c:pt idx="9">
                  <c:v>104309581.01393077</c:v>
                </c:pt>
                <c:pt idx="10">
                  <c:v>109630479.84946035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2-4E13-A5AE-4B50D8E2FADE}"/>
            </c:ext>
          </c:extLst>
        </c:ser>
        <c:ser>
          <c:idx val="2"/>
          <c:order val="1"/>
          <c:tx>
            <c:strRef>
              <c:f>'Model Summary'!$I$3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Summary'!$G$4:$G$14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Summary'!$I$4:$I$14</c:f>
              <c:numCache>
                <c:formatCode>#,##0</c:formatCode>
                <c:ptCount val="11"/>
                <c:pt idx="0">
                  <c:v>104145780.31414226</c:v>
                </c:pt>
                <c:pt idx="1">
                  <c:v>104831436.23024651</c:v>
                </c:pt>
                <c:pt idx="2">
                  <c:v>104466861.18025985</c:v>
                </c:pt>
                <c:pt idx="3">
                  <c:v>105631395.29167293</c:v>
                </c:pt>
                <c:pt idx="4">
                  <c:v>106486780.09880984</c:v>
                </c:pt>
                <c:pt idx="5">
                  <c:v>104697105.63517912</c:v>
                </c:pt>
                <c:pt idx="6">
                  <c:v>108854958.5094458</c:v>
                </c:pt>
                <c:pt idx="7">
                  <c:v>106422772.65593772</c:v>
                </c:pt>
                <c:pt idx="8">
                  <c:v>100173893.15783861</c:v>
                </c:pt>
                <c:pt idx="9">
                  <c:v>103781436.08758833</c:v>
                </c:pt>
                <c:pt idx="10">
                  <c:v>109238777.78228863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2-4E13-A5AE-4B50D8E2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Summary'!$H$39</c:f>
              <c:strCache>
                <c:ptCount val="1"/>
              </c:strCache>
            </c:strRef>
          </c:tx>
          <c:marker>
            <c:symbol val="none"/>
          </c:marker>
          <c:val>
            <c:numRef>
              <c:f>'Model Summary'!$H$4:$H$11</c:f>
              <c:numCache>
                <c:formatCode>#,##0</c:formatCode>
                <c:ptCount val="8"/>
                <c:pt idx="0">
                  <c:v>104268159.33148342</c:v>
                </c:pt>
                <c:pt idx="1">
                  <c:v>104972493.37099701</c:v>
                </c:pt>
                <c:pt idx="2">
                  <c:v>106264756.09373076</c:v>
                </c:pt>
                <c:pt idx="3">
                  <c:v>107955640.79192054</c:v>
                </c:pt>
                <c:pt idx="4">
                  <c:v>107393352.63537197</c:v>
                </c:pt>
                <c:pt idx="5">
                  <c:v>102664514.77493219</c:v>
                </c:pt>
                <c:pt idx="6">
                  <c:v>105367441.44738773</c:v>
                </c:pt>
                <c:pt idx="7">
                  <c:v>106090220.65794849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'Model Summary'!#REF!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A36-49B3-923A-0B163C3EEE2D}"/>
            </c:ext>
          </c:extLst>
        </c:ser>
        <c:ser>
          <c:idx val="2"/>
          <c:order val="1"/>
          <c:tx>
            <c:strRef>
              <c:f>'Model Summary'!$I$39</c:f>
              <c:strCache>
                <c:ptCount val="1"/>
              </c:strCache>
            </c:strRef>
          </c:tx>
          <c:marker>
            <c:symbol val="none"/>
          </c:marker>
          <c:val>
            <c:numRef>
              <c:f>'Model Summary'!$I$4:$I$11</c:f>
              <c:numCache>
                <c:formatCode>#,##0</c:formatCode>
                <c:ptCount val="8"/>
                <c:pt idx="0">
                  <c:v>104145780.31414226</c:v>
                </c:pt>
                <c:pt idx="1">
                  <c:v>104831436.23024651</c:v>
                </c:pt>
                <c:pt idx="2">
                  <c:v>104466861.18025985</c:v>
                </c:pt>
                <c:pt idx="3">
                  <c:v>105631395.29167293</c:v>
                </c:pt>
                <c:pt idx="4">
                  <c:v>106486780.09880984</c:v>
                </c:pt>
                <c:pt idx="5">
                  <c:v>104697105.63517912</c:v>
                </c:pt>
                <c:pt idx="6">
                  <c:v>108854958.5094458</c:v>
                </c:pt>
                <c:pt idx="7">
                  <c:v>106422772.65593772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'Model Summary'!#REF!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A36-49B3-923A-0B163C3EE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Summary'!$L$4:$L$14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Summary'!$M$4:$M$14</c:f>
              <c:numCache>
                <c:formatCode>#,##0</c:formatCode>
                <c:ptCount val="11"/>
                <c:pt idx="0">
                  <c:v>239151127.89684987</c:v>
                </c:pt>
                <c:pt idx="1">
                  <c:v>240177229.59342617</c:v>
                </c:pt>
                <c:pt idx="2">
                  <c:v>232884794.90586358</c:v>
                </c:pt>
                <c:pt idx="3">
                  <c:v>229964292.19918424</c:v>
                </c:pt>
                <c:pt idx="4">
                  <c:v>232627564.35048676</c:v>
                </c:pt>
                <c:pt idx="5">
                  <c:v>224954045.18086839</c:v>
                </c:pt>
                <c:pt idx="6">
                  <c:v>230992855.84340546</c:v>
                </c:pt>
                <c:pt idx="7">
                  <c:v>233133780.22896054</c:v>
                </c:pt>
                <c:pt idx="8">
                  <c:v>224366659.57197952</c:v>
                </c:pt>
                <c:pt idx="9">
                  <c:v>224518321.51789057</c:v>
                </c:pt>
                <c:pt idx="10">
                  <c:v>229053397.73431376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3-4EC2-97EA-EAAF08EF3126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Summary'!$L$4:$L$14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'Model Summary'!$N$4:$N$14</c:f>
              <c:numCache>
                <c:formatCode>#,##0</c:formatCode>
                <c:ptCount val="11"/>
                <c:pt idx="0">
                  <c:v>238355131.08127868</c:v>
                </c:pt>
                <c:pt idx="1">
                  <c:v>239540552.03614745</c:v>
                </c:pt>
                <c:pt idx="2">
                  <c:v>232242242.43614787</c:v>
                </c:pt>
                <c:pt idx="3">
                  <c:v>229043569.16338474</c:v>
                </c:pt>
                <c:pt idx="4">
                  <c:v>230457060.61557987</c:v>
                </c:pt>
                <c:pt idx="5">
                  <c:v>228790793.23773265</c:v>
                </c:pt>
                <c:pt idx="6">
                  <c:v>234954175.93240064</c:v>
                </c:pt>
                <c:pt idx="7">
                  <c:v>228268623.64335811</c:v>
                </c:pt>
                <c:pt idx="8">
                  <c:v>222745581.98436999</c:v>
                </c:pt>
                <c:pt idx="9">
                  <c:v>228449111.6642772</c:v>
                </c:pt>
                <c:pt idx="10">
                  <c:v>229012303.03042206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3-4EC2-97EA-EAAF08EF3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'Res Normalized Monthly'!$D$1</c:f>
              <c:strCache>
                <c:ptCount val="1"/>
                <c:pt idx="0">
                  <c:v>ReskWh_NoCDM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'Res Normalized Monthly'!$D$2:$D$145</c:f>
              <c:numCache>
                <c:formatCode>_(* #,##0_);_(* \(#,##0\);_(* "-"??_);_(@_)</c:formatCode>
                <c:ptCount val="144"/>
                <c:pt idx="0">
                  <c:v>22940442.075525835</c:v>
                </c:pt>
                <c:pt idx="1">
                  <c:v>19750182.603521436</c:v>
                </c:pt>
                <c:pt idx="2">
                  <c:v>18667532.484367538</c:v>
                </c:pt>
                <c:pt idx="3">
                  <c:v>17185932.248962335</c:v>
                </c:pt>
                <c:pt idx="4">
                  <c:v>18842238.561853837</c:v>
                </c:pt>
                <c:pt idx="5">
                  <c:v>24330964.085286837</c:v>
                </c:pt>
                <c:pt idx="6">
                  <c:v>30485698.764678538</c:v>
                </c:pt>
                <c:pt idx="7">
                  <c:v>25829575.968242534</c:v>
                </c:pt>
                <c:pt idx="8">
                  <c:v>19738217.869771238</c:v>
                </c:pt>
                <c:pt idx="9">
                  <c:v>18150877.194894433</c:v>
                </c:pt>
                <c:pt idx="10">
                  <c:v>19648132.137011733</c:v>
                </c:pt>
                <c:pt idx="11">
                  <c:v>22299512.088978134</c:v>
                </c:pt>
                <c:pt idx="12">
                  <c:v>23220643.847864494</c:v>
                </c:pt>
                <c:pt idx="13">
                  <c:v>21070740.115142494</c:v>
                </c:pt>
                <c:pt idx="14">
                  <c:v>21090139.995281495</c:v>
                </c:pt>
                <c:pt idx="15">
                  <c:v>18442014.413735695</c:v>
                </c:pt>
                <c:pt idx="16">
                  <c:v>18758766.803188898</c:v>
                </c:pt>
                <c:pt idx="17">
                  <c:v>21531298.069024794</c:v>
                </c:pt>
                <c:pt idx="18">
                  <c:v>27101461.942128897</c:v>
                </c:pt>
                <c:pt idx="19">
                  <c:v>24091301.034046695</c:v>
                </c:pt>
                <c:pt idx="20">
                  <c:v>19743349.217510894</c:v>
                </c:pt>
                <c:pt idx="21">
                  <c:v>18636040.720456898</c:v>
                </c:pt>
                <c:pt idx="22">
                  <c:v>20299657.892608896</c:v>
                </c:pt>
                <c:pt idx="23">
                  <c:v>23861647.359846197</c:v>
                </c:pt>
                <c:pt idx="24">
                  <c:v>25393202.293457907</c:v>
                </c:pt>
                <c:pt idx="25">
                  <c:v>21886278.818173807</c:v>
                </c:pt>
                <c:pt idx="26">
                  <c:v>22125882.52608351</c:v>
                </c:pt>
                <c:pt idx="27">
                  <c:v>17847693.948654607</c:v>
                </c:pt>
                <c:pt idx="28">
                  <c:v>17821762.58503991</c:v>
                </c:pt>
                <c:pt idx="29">
                  <c:v>20998414.369688809</c:v>
                </c:pt>
                <c:pt idx="30">
                  <c:v>23086879.999604907</c:v>
                </c:pt>
                <c:pt idx="31">
                  <c:v>22898517.649519607</c:v>
                </c:pt>
                <c:pt idx="32">
                  <c:v>19497729.920137007</c:v>
                </c:pt>
                <c:pt idx="33">
                  <c:v>18038933.076452006</c:v>
                </c:pt>
                <c:pt idx="34">
                  <c:v>20219734.067318108</c:v>
                </c:pt>
                <c:pt idx="35">
                  <c:v>22345974.245960809</c:v>
                </c:pt>
                <c:pt idx="36">
                  <c:v>24367178.229805239</c:v>
                </c:pt>
                <c:pt idx="37">
                  <c:v>22466482.311995439</c:v>
                </c:pt>
                <c:pt idx="38">
                  <c:v>21013033.88442684</c:v>
                </c:pt>
                <c:pt idx="39">
                  <c:v>17556188.672437936</c:v>
                </c:pt>
                <c:pt idx="40">
                  <c:v>18207057.629658837</c:v>
                </c:pt>
                <c:pt idx="41">
                  <c:v>19833723.178718138</c:v>
                </c:pt>
                <c:pt idx="42">
                  <c:v>25552478.788773138</c:v>
                </c:pt>
                <c:pt idx="43">
                  <c:v>24748450.928526238</c:v>
                </c:pt>
                <c:pt idx="44">
                  <c:v>22156204.349748038</c:v>
                </c:pt>
                <c:pt idx="45">
                  <c:v>17701333.681162238</c:v>
                </c:pt>
                <c:pt idx="46">
                  <c:v>18075477.924958337</c:v>
                </c:pt>
                <c:pt idx="47">
                  <c:v>20795330.447421238</c:v>
                </c:pt>
                <c:pt idx="48">
                  <c:v>22568585.525682587</c:v>
                </c:pt>
                <c:pt idx="49">
                  <c:v>20241380.399246987</c:v>
                </c:pt>
                <c:pt idx="50">
                  <c:v>19359371.986764789</c:v>
                </c:pt>
                <c:pt idx="51">
                  <c:v>17973519.346077684</c:v>
                </c:pt>
                <c:pt idx="52">
                  <c:v>19047091.269166984</c:v>
                </c:pt>
                <c:pt idx="53">
                  <c:v>22125504.150112487</c:v>
                </c:pt>
                <c:pt idx="54">
                  <c:v>29450116.707977187</c:v>
                </c:pt>
                <c:pt idx="55">
                  <c:v>30777988.889747586</c:v>
                </c:pt>
                <c:pt idx="56">
                  <c:v>21927063.701074887</c:v>
                </c:pt>
                <c:pt idx="57">
                  <c:v>17955354.765489686</c:v>
                </c:pt>
                <c:pt idx="58">
                  <c:v>18188501.195161484</c:v>
                </c:pt>
                <c:pt idx="59">
                  <c:v>22264829.558209386</c:v>
                </c:pt>
                <c:pt idx="60">
                  <c:v>22162065.014167484</c:v>
                </c:pt>
                <c:pt idx="61">
                  <c:v>18637570.22163086</c:v>
                </c:pt>
                <c:pt idx="62">
                  <c:v>20024303.984491248</c:v>
                </c:pt>
                <c:pt idx="63">
                  <c:v>17052034.049426168</c:v>
                </c:pt>
                <c:pt idx="64">
                  <c:v>19096905.725095563</c:v>
                </c:pt>
                <c:pt idx="65">
                  <c:v>23026861.29899263</c:v>
                </c:pt>
                <c:pt idx="66">
                  <c:v>27674827.997007251</c:v>
                </c:pt>
                <c:pt idx="67">
                  <c:v>25730368.855385121</c:v>
                </c:pt>
                <c:pt idx="68">
                  <c:v>21065018.835421018</c:v>
                </c:pt>
                <c:pt idx="69">
                  <c:v>18231593.113756634</c:v>
                </c:pt>
                <c:pt idx="70">
                  <c:v>19491896.410775527</c:v>
                </c:pt>
                <c:pt idx="71">
                  <c:v>23724231.163749639</c:v>
                </c:pt>
                <c:pt idx="72">
                  <c:v>24073659.566567264</c:v>
                </c:pt>
                <c:pt idx="73">
                  <c:v>20162044.327167265</c:v>
                </c:pt>
                <c:pt idx="74">
                  <c:v>20947649.553467266</c:v>
                </c:pt>
                <c:pt idx="75">
                  <c:v>19139295.462167267</c:v>
                </c:pt>
                <c:pt idx="76">
                  <c:v>20041747.692667268</c:v>
                </c:pt>
                <c:pt idx="77">
                  <c:v>22588013.119067267</c:v>
                </c:pt>
                <c:pt idx="78">
                  <c:v>30017017.307167266</c:v>
                </c:pt>
                <c:pt idx="79">
                  <c:v>30650726.001667269</c:v>
                </c:pt>
                <c:pt idx="80">
                  <c:v>23280752.545567263</c:v>
                </c:pt>
                <c:pt idx="81">
                  <c:v>19430725.728867266</c:v>
                </c:pt>
                <c:pt idx="82">
                  <c:v>20674343.852967266</c:v>
                </c:pt>
                <c:pt idx="83">
                  <c:v>23150505.742267266</c:v>
                </c:pt>
                <c:pt idx="84">
                  <c:v>24270749.622478835</c:v>
                </c:pt>
                <c:pt idx="85">
                  <c:v>21700393.622478835</c:v>
                </c:pt>
                <c:pt idx="86">
                  <c:v>20849772.622478835</c:v>
                </c:pt>
                <c:pt idx="87">
                  <c:v>18417882.622478835</c:v>
                </c:pt>
                <c:pt idx="88">
                  <c:v>18171409.622478835</c:v>
                </c:pt>
                <c:pt idx="89">
                  <c:v>20767283.622478835</c:v>
                </c:pt>
                <c:pt idx="90">
                  <c:v>31342776.622478835</c:v>
                </c:pt>
                <c:pt idx="91">
                  <c:v>27700006.622478835</c:v>
                </c:pt>
                <c:pt idx="92">
                  <c:v>21219806.622478835</c:v>
                </c:pt>
                <c:pt idx="93">
                  <c:v>18904138.622478835</c:v>
                </c:pt>
                <c:pt idx="94">
                  <c:v>20808997.622478835</c:v>
                </c:pt>
                <c:pt idx="95">
                  <c:v>22994714.622478835</c:v>
                </c:pt>
                <c:pt idx="96">
                  <c:v>22586037.165346839</c:v>
                </c:pt>
                <c:pt idx="97">
                  <c:v>21191611.165346839</c:v>
                </c:pt>
                <c:pt idx="98">
                  <c:v>21271519.165346839</c:v>
                </c:pt>
                <c:pt idx="99">
                  <c:v>20194288.165346839</c:v>
                </c:pt>
                <c:pt idx="100">
                  <c:v>22093692.165346839</c:v>
                </c:pt>
                <c:pt idx="101">
                  <c:v>26755921.165346839</c:v>
                </c:pt>
                <c:pt idx="102">
                  <c:v>35902228.165346839</c:v>
                </c:pt>
                <c:pt idx="103">
                  <c:v>30894493.165346839</c:v>
                </c:pt>
                <c:pt idx="104">
                  <c:v>21056188.165346839</c:v>
                </c:pt>
                <c:pt idx="105">
                  <c:v>19613548.165346839</c:v>
                </c:pt>
                <c:pt idx="106">
                  <c:v>20096630.165346839</c:v>
                </c:pt>
                <c:pt idx="107">
                  <c:v>24485595.165346839</c:v>
                </c:pt>
                <c:pt idx="108">
                  <c:v>24559547.349920601</c:v>
                </c:pt>
                <c:pt idx="109">
                  <c:v>22858652.194690637</c:v>
                </c:pt>
                <c:pt idx="110">
                  <c:v>21250098.411898531</c:v>
                </c:pt>
                <c:pt idx="111">
                  <c:v>19327418.476259552</c:v>
                </c:pt>
                <c:pt idx="112">
                  <c:v>21731149.293650523</c:v>
                </c:pt>
                <c:pt idx="113">
                  <c:v>28777429.346252467</c:v>
                </c:pt>
                <c:pt idx="114">
                  <c:v>30327543.112256587</c:v>
                </c:pt>
                <c:pt idx="115">
                  <c:v>34134162.325425573</c:v>
                </c:pt>
                <c:pt idx="116">
                  <c:v>22407620.701135617</c:v>
                </c:pt>
                <c:pt idx="117">
                  <c:v>20802749.496813588</c:v>
                </c:pt>
                <c:pt idx="118">
                  <c:v>20937511.631318592</c:v>
                </c:pt>
                <c:pt idx="119">
                  <c:v>23749125.435736641</c:v>
                </c:pt>
                <c:pt idx="120">
                  <c:v>26295238.993199747</c:v>
                </c:pt>
                <c:pt idx="121">
                  <c:v>22694348.993199747</c:v>
                </c:pt>
                <c:pt idx="122">
                  <c:v>22354128.993199747</c:v>
                </c:pt>
                <c:pt idx="123">
                  <c:v>19843561.993199747</c:v>
                </c:pt>
                <c:pt idx="124">
                  <c:v>21521944.993199747</c:v>
                </c:pt>
                <c:pt idx="125">
                  <c:v>25550582.993199747</c:v>
                </c:pt>
                <c:pt idx="126">
                  <c:v>31912101.993199747</c:v>
                </c:pt>
                <c:pt idx="127">
                  <c:v>31833424.993199747</c:v>
                </c:pt>
                <c:pt idx="128">
                  <c:v>23843776.993199747</c:v>
                </c:pt>
                <c:pt idx="129">
                  <c:v>19191633.993199747</c:v>
                </c:pt>
                <c:pt idx="130">
                  <c:v>20227937.993199747</c:v>
                </c:pt>
                <c:pt idx="131">
                  <c:v>24496452.993199747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9-47E6-98FA-C13A10EB461C}"/>
            </c:ext>
          </c:extLst>
        </c:ser>
        <c:ser>
          <c:idx val="2"/>
          <c:order val="1"/>
          <c:tx>
            <c:strRef>
              <c:f>'Res Normalized Monthly'!$W$1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'Res Normalized Monthly'!$W$2:$W$145</c:f>
              <c:numCache>
                <c:formatCode>_(* #,##0_);_(* \(#,##0\);_(* "-"??_);_(@_)</c:formatCode>
                <c:ptCount val="144"/>
                <c:pt idx="0">
                  <c:v>22744820.128294628</c:v>
                </c:pt>
                <c:pt idx="1">
                  <c:v>20899941.490761112</c:v>
                </c:pt>
                <c:pt idx="2">
                  <c:v>20225047.74674486</c:v>
                </c:pt>
                <c:pt idx="3">
                  <c:v>17635746.603383165</c:v>
                </c:pt>
                <c:pt idx="4">
                  <c:v>19820852.481082078</c:v>
                </c:pt>
                <c:pt idx="5">
                  <c:v>22624303.718548056</c:v>
                </c:pt>
                <c:pt idx="6">
                  <c:v>28486233.510642834</c:v>
                </c:pt>
                <c:pt idx="7">
                  <c:v>27211133.251625247</c:v>
                </c:pt>
                <c:pt idx="8">
                  <c:v>20156811.394489788</c:v>
                </c:pt>
                <c:pt idx="9">
                  <c:v>18061388.220720593</c:v>
                </c:pt>
                <c:pt idx="10">
                  <c:v>19277645.529624183</c:v>
                </c:pt>
                <c:pt idx="11">
                  <c:v>22154071.044912342</c:v>
                </c:pt>
                <c:pt idx="12">
                  <c:v>22842613.919662014</c:v>
                </c:pt>
                <c:pt idx="13">
                  <c:v>20405314.790850356</c:v>
                </c:pt>
                <c:pt idx="14">
                  <c:v>20355766.381910726</c:v>
                </c:pt>
                <c:pt idx="15">
                  <c:v>17758899.529761296</c:v>
                </c:pt>
                <c:pt idx="16">
                  <c:v>19961658.727964919</c:v>
                </c:pt>
                <c:pt idx="17">
                  <c:v>22779400.748696625</c:v>
                </c:pt>
                <c:pt idx="18">
                  <c:v>28657582.804113202</c:v>
                </c:pt>
                <c:pt idx="19">
                  <c:v>27375897.576335922</c:v>
                </c:pt>
                <c:pt idx="20">
                  <c:v>20323397.093538247</c:v>
                </c:pt>
                <c:pt idx="21">
                  <c:v>18232877.619909253</c:v>
                </c:pt>
                <c:pt idx="22">
                  <c:v>19430640.973998379</c:v>
                </c:pt>
                <c:pt idx="23">
                  <c:v>22269798.36822103</c:v>
                </c:pt>
                <c:pt idx="24">
                  <c:v>22927658.09066489</c:v>
                </c:pt>
                <c:pt idx="25">
                  <c:v>20471164.478447311</c:v>
                </c:pt>
                <c:pt idx="26">
                  <c:v>20428060.932549085</c:v>
                </c:pt>
                <c:pt idx="27">
                  <c:v>17834136.300483774</c:v>
                </c:pt>
                <c:pt idx="28">
                  <c:v>20022604.715421677</c:v>
                </c:pt>
                <c:pt idx="29">
                  <c:v>22814146.966832887</c:v>
                </c:pt>
                <c:pt idx="30">
                  <c:v>28686444.582081228</c:v>
                </c:pt>
                <c:pt idx="31">
                  <c:v>27404899.460022241</c:v>
                </c:pt>
                <c:pt idx="32">
                  <c:v>20370612.720602445</c:v>
                </c:pt>
                <c:pt idx="33">
                  <c:v>18299427.836097661</c:v>
                </c:pt>
                <c:pt idx="34">
                  <c:v>19507979.330495223</c:v>
                </c:pt>
                <c:pt idx="35">
                  <c:v>22345735.667534962</c:v>
                </c:pt>
                <c:pt idx="36">
                  <c:v>22977675.832094915</c:v>
                </c:pt>
                <c:pt idx="37">
                  <c:v>20516418.625455428</c:v>
                </c:pt>
                <c:pt idx="38">
                  <c:v>20464348.313586552</c:v>
                </c:pt>
                <c:pt idx="39">
                  <c:v>17858374.589748185</c:v>
                </c:pt>
                <c:pt idx="40">
                  <c:v>20054969.136346985</c:v>
                </c:pt>
                <c:pt idx="41">
                  <c:v>22881117.500176169</c:v>
                </c:pt>
                <c:pt idx="42">
                  <c:v>28780875.836209625</c:v>
                </c:pt>
                <c:pt idx="43">
                  <c:v>27505775.577192042</c:v>
                </c:pt>
                <c:pt idx="44">
                  <c:v>20429176.910848245</c:v>
                </c:pt>
                <c:pt idx="45">
                  <c:v>18325767.711136442</c:v>
                </c:pt>
                <c:pt idx="46">
                  <c:v>19513443.453508589</c:v>
                </c:pt>
                <c:pt idx="47">
                  <c:v>22386786.642994341</c:v>
                </c:pt>
                <c:pt idx="48">
                  <c:v>23061879.368788037</c:v>
                </c:pt>
                <c:pt idx="49">
                  <c:v>21242219.760546975</c:v>
                </c:pt>
                <c:pt idx="50">
                  <c:v>20578114.156839158</c:v>
                </c:pt>
                <c:pt idx="51">
                  <c:v>17972140.433000792</c:v>
                </c:pt>
                <c:pt idx="52">
                  <c:v>20182605.445710439</c:v>
                </c:pt>
                <c:pt idx="53">
                  <c:v>22994883.343428779</c:v>
                </c:pt>
                <c:pt idx="54">
                  <c:v>28865359.584339332</c:v>
                </c:pt>
                <c:pt idx="55">
                  <c:v>27561817.864508599</c:v>
                </c:pt>
                <c:pt idx="56">
                  <c:v>20494045.858417161</c:v>
                </c:pt>
                <c:pt idx="57">
                  <c:v>18421459.916729461</c:v>
                </c:pt>
                <c:pt idx="58">
                  <c:v>19642761.03149154</c:v>
                </c:pt>
                <c:pt idx="59">
                  <c:v>22520447.498244327</c:v>
                </c:pt>
                <c:pt idx="60">
                  <c:v>23208570.055839125</c:v>
                </c:pt>
                <c:pt idx="61">
                  <c:v>20769729.76412626</c:v>
                </c:pt>
                <c:pt idx="62">
                  <c:v>20722843.363834165</c:v>
                </c:pt>
                <c:pt idx="63">
                  <c:v>18099356.42520937</c:v>
                </c:pt>
                <c:pt idx="64">
                  <c:v>20302395.834849577</c:v>
                </c:pt>
                <c:pt idx="65">
                  <c:v>23114113.309694752</c:v>
                </c:pt>
                <c:pt idx="66">
                  <c:v>29014992.491474535</c:v>
                </c:pt>
                <c:pt idx="67">
                  <c:v>27743815.192569111</c:v>
                </c:pt>
                <c:pt idx="68">
                  <c:v>20715412.893317554</c:v>
                </c:pt>
                <c:pt idx="69">
                  <c:v>18648010.86320664</c:v>
                </c:pt>
                <c:pt idx="70">
                  <c:v>19883182.444079563</c:v>
                </c:pt>
                <c:pt idx="71">
                  <c:v>22770115.888239581</c:v>
                </c:pt>
                <c:pt idx="72">
                  <c:v>23430217.302176103</c:v>
                </c:pt>
                <c:pt idx="73">
                  <c:v>20955790.158017222</c:v>
                </c:pt>
                <c:pt idx="74">
                  <c:v>20886066.525643636</c:v>
                </c:pt>
                <c:pt idx="75">
                  <c:v>18293122.633606363</c:v>
                </c:pt>
                <c:pt idx="76">
                  <c:v>20500225.109077018</c:v>
                </c:pt>
                <c:pt idx="77">
                  <c:v>23327214.107215956</c:v>
                </c:pt>
                <c:pt idx="78">
                  <c:v>29248548.72386628</c:v>
                </c:pt>
                <c:pt idx="79">
                  <c:v>27956355.567217149</c:v>
                </c:pt>
                <c:pt idx="80">
                  <c:v>20894187.789857365</c:v>
                </c:pt>
                <c:pt idx="81">
                  <c:v>18772144.529612809</c:v>
                </c:pt>
                <c:pt idx="82">
                  <c:v>20008717.167668648</c:v>
                </c:pt>
                <c:pt idx="83">
                  <c:v>22892007.863153089</c:v>
                </c:pt>
                <c:pt idx="84">
                  <c:v>23590778.455338031</c:v>
                </c:pt>
                <c:pt idx="85">
                  <c:v>21167770.109792095</c:v>
                </c:pt>
                <c:pt idx="86">
                  <c:v>21126628.04394995</c:v>
                </c:pt>
                <c:pt idx="87">
                  <c:v>18544332.186502822</c:v>
                </c:pt>
                <c:pt idx="88">
                  <c:v>20761802.485127043</c:v>
                </c:pt>
                <c:pt idx="89">
                  <c:v>23600700.469320744</c:v>
                </c:pt>
                <c:pt idx="90">
                  <c:v>29482805.484849483</c:v>
                </c:pt>
                <c:pt idx="91">
                  <c:v>28210927.6573526</c:v>
                </c:pt>
                <c:pt idx="92">
                  <c:v>21195695.295620434</c:v>
                </c:pt>
                <c:pt idx="93">
                  <c:v>19136979.820043586</c:v>
                </c:pt>
                <c:pt idx="94">
                  <c:v>20355618.92615813</c:v>
                </c:pt>
                <c:pt idx="95">
                  <c:v>23217613.552462276</c:v>
                </c:pt>
                <c:pt idx="96">
                  <c:v>23902373.572818082</c:v>
                </c:pt>
                <c:pt idx="97">
                  <c:v>22082013.435985561</c:v>
                </c:pt>
                <c:pt idx="98">
                  <c:v>22732503.398095466</c:v>
                </c:pt>
                <c:pt idx="99">
                  <c:v>18974075.356511217</c:v>
                </c:pt>
                <c:pt idx="100">
                  <c:v>21334367.876979113</c:v>
                </c:pt>
                <c:pt idx="101">
                  <c:v>25046002.094060831</c:v>
                </c:pt>
                <c:pt idx="102">
                  <c:v>33173887.400034264</c:v>
                </c:pt>
                <c:pt idx="103">
                  <c:v>31674238.67935564</c:v>
                </c:pt>
                <c:pt idx="104">
                  <c:v>22601363.635650311</c:v>
                </c:pt>
                <c:pt idx="105">
                  <c:v>19527799.939166252</c:v>
                </c:pt>
                <c:pt idx="106">
                  <c:v>21138731.798851606</c:v>
                </c:pt>
                <c:pt idx="107">
                  <c:v>24512101.503329821</c:v>
                </c:pt>
                <c:pt idx="108">
                  <c:v>25574572.255837776</c:v>
                </c:pt>
                <c:pt idx="109">
                  <c:v>22916198.162840884</c:v>
                </c:pt>
                <c:pt idx="110">
                  <c:v>22534954.335304607</c:v>
                </c:pt>
                <c:pt idx="111">
                  <c:v>19334707.475393251</c:v>
                </c:pt>
                <c:pt idx="112">
                  <c:v>22221797.496636771</c:v>
                </c:pt>
                <c:pt idx="113">
                  <c:v>26082644.303698819</c:v>
                </c:pt>
                <c:pt idx="114">
                  <c:v>34071824.948563777</c:v>
                </c:pt>
                <c:pt idx="115">
                  <c:v>32381352.239572279</c:v>
                </c:pt>
                <c:pt idx="116">
                  <c:v>23182522.155122992</c:v>
                </c:pt>
                <c:pt idx="117">
                  <c:v>20027136.719156761</c:v>
                </c:pt>
                <c:pt idx="118">
                  <c:v>21609066.695155796</c:v>
                </c:pt>
                <c:pt idx="119">
                  <c:v>25023907.692248262</c:v>
                </c:pt>
                <c:pt idx="120">
                  <c:v>25189403.168648761</c:v>
                </c:pt>
                <c:pt idx="121">
                  <c:v>22732495.1689156</c:v>
                </c:pt>
                <c:pt idx="122">
                  <c:v>22565925.893502194</c:v>
                </c:pt>
                <c:pt idx="123">
                  <c:v>19721029.527577408</c:v>
                </c:pt>
                <c:pt idx="124">
                  <c:v>22207039.682759445</c:v>
                </c:pt>
                <c:pt idx="125">
                  <c:v>25437051.636389039</c:v>
                </c:pt>
                <c:pt idx="126">
                  <c:v>32259208.834769864</c:v>
                </c:pt>
                <c:pt idx="127">
                  <c:v>30689907.069720387</c:v>
                </c:pt>
                <c:pt idx="128">
                  <c:v>22559057.874520123</c:v>
                </c:pt>
                <c:pt idx="129">
                  <c:v>19919642.997823272</c:v>
                </c:pt>
                <c:pt idx="130">
                  <c:v>21308929.239994191</c:v>
                </c:pt>
                <c:pt idx="131">
                  <c:v>24443354.038721193</c:v>
                </c:pt>
                <c:pt idx="132">
                  <c:v>24745938.320595786</c:v>
                </c:pt>
                <c:pt idx="133">
                  <c:v>22333504.967107464</c:v>
                </c:pt>
                <c:pt idx="134">
                  <c:v>22258569.568585102</c:v>
                </c:pt>
                <c:pt idx="135">
                  <c:v>19575859.377205756</c:v>
                </c:pt>
                <c:pt idx="136">
                  <c:v>21885212.755652033</c:v>
                </c:pt>
                <c:pt idx="137">
                  <c:v>24846005.286771212</c:v>
                </c:pt>
                <c:pt idx="138">
                  <c:v>31157321.181164067</c:v>
                </c:pt>
                <c:pt idx="139">
                  <c:v>29715691.954360083</c:v>
                </c:pt>
                <c:pt idx="140">
                  <c:v>22142787.568810623</c:v>
                </c:pt>
                <c:pt idx="141">
                  <c:v>19786789.121098407</c:v>
                </c:pt>
                <c:pt idx="142">
                  <c:v>21102922.008407656</c:v>
                </c:pt>
                <c:pt idx="143">
                  <c:v>24114948.946861129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9-47E6-98FA-C13A10EB4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'GS&lt;50 Normalized Monthly'!$D$1</c:f>
              <c:strCache>
                <c:ptCount val="1"/>
                <c:pt idx="0">
                  <c:v>GSlt50kWh_NoCDM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'GS&lt;50 Normalized Monthly'!$D$2:$D$145</c:f>
              <c:numCache>
                <c:formatCode>_(* #,##0_);_(* \(#,##0\);_(* "-"??_);_(@_)</c:formatCode>
                <c:ptCount val="144"/>
                <c:pt idx="0">
                  <c:v>9715146.4363389518</c:v>
                </c:pt>
                <c:pt idx="1">
                  <c:v>8758035.2273938507</c:v>
                </c:pt>
                <c:pt idx="2">
                  <c:v>8522126.5363044497</c:v>
                </c:pt>
                <c:pt idx="3">
                  <c:v>7739075.6310959514</c:v>
                </c:pt>
                <c:pt idx="4">
                  <c:v>7942686.7721972512</c:v>
                </c:pt>
                <c:pt idx="5">
                  <c:v>8944453.9506688509</c:v>
                </c:pt>
                <c:pt idx="6">
                  <c:v>10398756.83768275</c:v>
                </c:pt>
                <c:pt idx="7">
                  <c:v>9361959.3423689511</c:v>
                </c:pt>
                <c:pt idx="8">
                  <c:v>7892744.2531334516</c:v>
                </c:pt>
                <c:pt idx="9">
                  <c:v>7783049.2121892506</c:v>
                </c:pt>
                <c:pt idx="10">
                  <c:v>8189402.8398290509</c:v>
                </c:pt>
                <c:pt idx="11">
                  <c:v>9020722.2922806516</c:v>
                </c:pt>
                <c:pt idx="12">
                  <c:v>9534040.4083122835</c:v>
                </c:pt>
                <c:pt idx="13">
                  <c:v>9006643.9426317848</c:v>
                </c:pt>
                <c:pt idx="14">
                  <c:v>9257804.8367192838</c:v>
                </c:pt>
                <c:pt idx="15">
                  <c:v>8125918.1034470843</c:v>
                </c:pt>
                <c:pt idx="16">
                  <c:v>8062929.2464828845</c:v>
                </c:pt>
                <c:pt idx="17">
                  <c:v>8348247.6178910844</c:v>
                </c:pt>
                <c:pt idx="18">
                  <c:v>9941815.5495547839</c:v>
                </c:pt>
                <c:pt idx="19">
                  <c:v>9130044.4114049841</c:v>
                </c:pt>
                <c:pt idx="20">
                  <c:v>7742147.1490493836</c:v>
                </c:pt>
                <c:pt idx="21">
                  <c:v>7764874.1227563843</c:v>
                </c:pt>
                <c:pt idx="22">
                  <c:v>8442140.3708957825</c:v>
                </c:pt>
                <c:pt idx="23">
                  <c:v>9615887.6118512843</c:v>
                </c:pt>
                <c:pt idx="24">
                  <c:v>10330036.572259538</c:v>
                </c:pt>
                <c:pt idx="25">
                  <c:v>9342848.3845273387</c:v>
                </c:pt>
                <c:pt idx="26">
                  <c:v>9830145.6265787389</c:v>
                </c:pt>
                <c:pt idx="27">
                  <c:v>8001586.9321141401</c:v>
                </c:pt>
                <c:pt idx="28">
                  <c:v>7894834.0307170395</c:v>
                </c:pt>
                <c:pt idx="29">
                  <c:v>8660683.5504774395</c:v>
                </c:pt>
                <c:pt idx="30">
                  <c:v>8972779.9475971386</c:v>
                </c:pt>
                <c:pt idx="31">
                  <c:v>8995970.5378717389</c:v>
                </c:pt>
                <c:pt idx="32">
                  <c:v>8027835.84851244</c:v>
                </c:pt>
                <c:pt idx="33">
                  <c:v>7886120.3539005406</c:v>
                </c:pt>
                <c:pt idx="34">
                  <c:v>8807284.4124100395</c:v>
                </c:pt>
                <c:pt idx="35">
                  <c:v>9514629.8967646398</c:v>
                </c:pt>
                <c:pt idx="36">
                  <c:v>10320708.516808653</c:v>
                </c:pt>
                <c:pt idx="37">
                  <c:v>9866509.5237202533</c:v>
                </c:pt>
                <c:pt idx="38">
                  <c:v>9609841.243772652</c:v>
                </c:pt>
                <c:pt idx="39">
                  <c:v>8135771.8970295526</c:v>
                </c:pt>
                <c:pt idx="40">
                  <c:v>8279127.9417781532</c:v>
                </c:pt>
                <c:pt idx="41">
                  <c:v>8440161.6741833519</c:v>
                </c:pt>
                <c:pt idx="42">
                  <c:v>9819719.7518207524</c:v>
                </c:pt>
                <c:pt idx="43">
                  <c:v>9326215.976339452</c:v>
                </c:pt>
                <c:pt idx="44">
                  <c:v>9088680.2512800526</c:v>
                </c:pt>
                <c:pt idx="45">
                  <c:v>7998052.1049736533</c:v>
                </c:pt>
                <c:pt idx="46">
                  <c:v>8128766.3749836534</c:v>
                </c:pt>
                <c:pt idx="47">
                  <c:v>8942085.5352303516</c:v>
                </c:pt>
                <c:pt idx="48">
                  <c:v>9713760.0239987727</c:v>
                </c:pt>
                <c:pt idx="49">
                  <c:v>9070727.7860055715</c:v>
                </c:pt>
                <c:pt idx="50">
                  <c:v>8861048.2157562729</c:v>
                </c:pt>
                <c:pt idx="51">
                  <c:v>8183337.5863723708</c:v>
                </c:pt>
                <c:pt idx="52">
                  <c:v>8312264.3294410715</c:v>
                </c:pt>
                <c:pt idx="53">
                  <c:v>8595692.9989207722</c:v>
                </c:pt>
                <c:pt idx="54">
                  <c:v>10219490.189801874</c:v>
                </c:pt>
                <c:pt idx="55">
                  <c:v>10586850.475766674</c:v>
                </c:pt>
                <c:pt idx="56">
                  <c:v>8524200.2556404732</c:v>
                </c:pt>
                <c:pt idx="57">
                  <c:v>7901315.6122177718</c:v>
                </c:pt>
                <c:pt idx="58">
                  <c:v>7994603.2368015721</c:v>
                </c:pt>
                <c:pt idx="59">
                  <c:v>9430061.9246487729</c:v>
                </c:pt>
                <c:pt idx="60">
                  <c:v>9394536.1409439929</c:v>
                </c:pt>
                <c:pt idx="61">
                  <c:v>8205817.9846679755</c:v>
                </c:pt>
                <c:pt idx="62">
                  <c:v>8991014.4320844971</c:v>
                </c:pt>
                <c:pt idx="63">
                  <c:v>7628637.7486069882</c:v>
                </c:pt>
                <c:pt idx="64">
                  <c:v>7802364.6196940765</c:v>
                </c:pt>
                <c:pt idx="65">
                  <c:v>8568018.6844583936</c:v>
                </c:pt>
                <c:pt idx="66">
                  <c:v>9396094.8214159403</c:v>
                </c:pt>
                <c:pt idx="67">
                  <c:v>9013385.7733225636</c:v>
                </c:pt>
                <c:pt idx="68">
                  <c:v>8245914.4193014568</c:v>
                </c:pt>
                <c:pt idx="69">
                  <c:v>7746325.4601202719</c:v>
                </c:pt>
                <c:pt idx="70">
                  <c:v>8373365.6037009042</c:v>
                </c:pt>
                <c:pt idx="71">
                  <c:v>9299039.0866151359</c:v>
                </c:pt>
                <c:pt idx="72">
                  <c:v>9887375.4825748149</c:v>
                </c:pt>
                <c:pt idx="73">
                  <c:v>8512331.4271643814</c:v>
                </c:pt>
                <c:pt idx="74">
                  <c:v>8970271.9821998216</c:v>
                </c:pt>
                <c:pt idx="75">
                  <c:v>8297636.6351806959</c:v>
                </c:pt>
                <c:pt idx="76">
                  <c:v>8249231.8735396629</c:v>
                </c:pt>
                <c:pt idx="77">
                  <c:v>8373888.3241558662</c:v>
                </c:pt>
                <c:pt idx="78">
                  <c:v>9741782.1239099316</c:v>
                </c:pt>
                <c:pt idx="79">
                  <c:v>9820589.6786198616</c:v>
                </c:pt>
                <c:pt idx="80">
                  <c:v>8296767.5050907237</c:v>
                </c:pt>
                <c:pt idx="81">
                  <c:v>7823378.1220731037</c:v>
                </c:pt>
                <c:pt idx="82">
                  <c:v>8565433.8271822594</c:v>
                </c:pt>
                <c:pt idx="83">
                  <c:v>8828754.4656966105</c:v>
                </c:pt>
                <c:pt idx="84">
                  <c:v>9605510.1381623745</c:v>
                </c:pt>
                <c:pt idx="85">
                  <c:v>9040925.1381623745</c:v>
                </c:pt>
                <c:pt idx="86">
                  <c:v>9197067.1381623745</c:v>
                </c:pt>
                <c:pt idx="87">
                  <c:v>8127529.1381623745</c:v>
                </c:pt>
                <c:pt idx="88">
                  <c:v>7917097.1381623745</c:v>
                </c:pt>
                <c:pt idx="89">
                  <c:v>8152023.1381623745</c:v>
                </c:pt>
                <c:pt idx="90">
                  <c:v>10489533.138162374</c:v>
                </c:pt>
                <c:pt idx="91">
                  <c:v>9622269.1381623745</c:v>
                </c:pt>
                <c:pt idx="92">
                  <c:v>8273598.1381623745</c:v>
                </c:pt>
                <c:pt idx="93">
                  <c:v>7800425.1381623745</c:v>
                </c:pt>
                <c:pt idx="94">
                  <c:v>8616007.1381623745</c:v>
                </c:pt>
                <c:pt idx="95">
                  <c:v>9248236.1381623745</c:v>
                </c:pt>
                <c:pt idx="96">
                  <c:v>9374978.422756426</c:v>
                </c:pt>
                <c:pt idx="97">
                  <c:v>8821961.5697564259</c:v>
                </c:pt>
                <c:pt idx="98">
                  <c:v>8206844.4992564246</c:v>
                </c:pt>
                <c:pt idx="99">
                  <c:v>6776050.0758564249</c:v>
                </c:pt>
                <c:pt idx="100">
                  <c:v>6981050.1180564258</c:v>
                </c:pt>
                <c:pt idx="101">
                  <c:v>7938603.4933564244</c:v>
                </c:pt>
                <c:pt idx="102">
                  <c:v>9807070.2790564243</c:v>
                </c:pt>
                <c:pt idx="103">
                  <c:v>9120086.2182564251</c:v>
                </c:pt>
                <c:pt idx="104">
                  <c:v>7766243.024256425</c:v>
                </c:pt>
                <c:pt idx="105">
                  <c:v>7704166.380056425</c:v>
                </c:pt>
                <c:pt idx="106">
                  <c:v>8129284.6763564246</c:v>
                </c:pt>
                <c:pt idx="107">
                  <c:v>9024138.0849564262</c:v>
                </c:pt>
                <c:pt idx="108">
                  <c:v>8980228.7675743923</c:v>
                </c:pt>
                <c:pt idx="109">
                  <c:v>8656506.8509763945</c:v>
                </c:pt>
                <c:pt idx="110">
                  <c:v>8547610.3388163969</c:v>
                </c:pt>
                <c:pt idx="111">
                  <c:v>7437605.7805074044</c:v>
                </c:pt>
                <c:pt idx="112">
                  <c:v>7624172.4321373999</c:v>
                </c:pt>
                <c:pt idx="113">
                  <c:v>8939305.3996103965</c:v>
                </c:pt>
                <c:pt idx="114">
                  <c:v>9619348.627058398</c:v>
                </c:pt>
                <c:pt idx="115">
                  <c:v>10353279.138714399</c:v>
                </c:pt>
                <c:pt idx="116">
                  <c:v>8403763.8862593919</c:v>
                </c:pt>
                <c:pt idx="117">
                  <c:v>8109369.5811114041</c:v>
                </c:pt>
                <c:pt idx="118">
                  <c:v>8522239.7704183962</c:v>
                </c:pt>
                <c:pt idx="119">
                  <c:v>9116150.4407464005</c:v>
                </c:pt>
                <c:pt idx="120">
                  <c:v>10085148.487455031</c:v>
                </c:pt>
                <c:pt idx="121">
                  <c:v>9138293.4874550309</c:v>
                </c:pt>
                <c:pt idx="122">
                  <c:v>9332810.4874550309</c:v>
                </c:pt>
                <c:pt idx="123">
                  <c:v>8348962.48745503</c:v>
                </c:pt>
                <c:pt idx="124">
                  <c:v>8504691.4874550309</c:v>
                </c:pt>
                <c:pt idx="125">
                  <c:v>9198410.4874550309</c:v>
                </c:pt>
                <c:pt idx="126">
                  <c:v>10146642.487455031</c:v>
                </c:pt>
                <c:pt idx="127">
                  <c:v>10166797.487455031</c:v>
                </c:pt>
                <c:pt idx="128">
                  <c:v>8698705.4874550309</c:v>
                </c:pt>
                <c:pt idx="129">
                  <c:v>8039425.48745503</c:v>
                </c:pt>
                <c:pt idx="130">
                  <c:v>8511697.4874550309</c:v>
                </c:pt>
                <c:pt idx="131">
                  <c:v>9458894.4874550309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1-4993-A4C4-15A738329F39}"/>
            </c:ext>
          </c:extLst>
        </c:ser>
        <c:ser>
          <c:idx val="2"/>
          <c:order val="1"/>
          <c:tx>
            <c:strRef>
              <c:f>'GS&lt;50 Normalized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'GS&lt;50 Normalized Monthly'!$O$2:$O$145</c:f>
              <c:numCache>
                <c:formatCode>_(* #,##0_);_(* \(#,##0\);_(* "-"??_);_(@_)</c:formatCode>
                <c:ptCount val="144"/>
                <c:pt idx="0">
                  <c:v>9476790.8473371305</c:v>
                </c:pt>
                <c:pt idx="1">
                  <c:v>9247576.3105827607</c:v>
                </c:pt>
                <c:pt idx="2">
                  <c:v>8792546.0169956367</c:v>
                </c:pt>
                <c:pt idx="3">
                  <c:v>8063890.4065003023</c:v>
                </c:pt>
                <c:pt idx="4">
                  <c:v>8230801.2591605503</c:v>
                </c:pt>
                <c:pt idx="5">
                  <c:v>8765227.3740883917</c:v>
                </c:pt>
                <c:pt idx="6">
                  <c:v>10009969.436316429</c:v>
                </c:pt>
                <c:pt idx="7">
                  <c:v>9710389.9122802429</c:v>
                </c:pt>
                <c:pt idx="8">
                  <c:v>8378178.6010560356</c:v>
                </c:pt>
                <c:pt idx="9">
                  <c:v>7851697.0722782901</c:v>
                </c:pt>
                <c:pt idx="10">
                  <c:v>8400463.0829435177</c:v>
                </c:pt>
                <c:pt idx="11">
                  <c:v>8987538.9119611233</c:v>
                </c:pt>
                <c:pt idx="12">
                  <c:v>9538174.590221256</c:v>
                </c:pt>
                <c:pt idx="13">
                  <c:v>9298897.1447973587</c:v>
                </c:pt>
                <c:pt idx="14">
                  <c:v>8843866.8512102328</c:v>
                </c:pt>
                <c:pt idx="15">
                  <c:v>8068921.860835067</c:v>
                </c:pt>
                <c:pt idx="16">
                  <c:v>8199606.2422850104</c:v>
                </c:pt>
                <c:pt idx="17">
                  <c:v>8720950.5759424642</c:v>
                </c:pt>
                <c:pt idx="18">
                  <c:v>9948585.6934323031</c:v>
                </c:pt>
                <c:pt idx="19">
                  <c:v>9628880.3520570602</c:v>
                </c:pt>
                <c:pt idx="20">
                  <c:v>8279562.096094653</c:v>
                </c:pt>
                <c:pt idx="21">
                  <c:v>7792325.9111280693</c:v>
                </c:pt>
                <c:pt idx="22">
                  <c:v>8356186.2847975902</c:v>
                </c:pt>
                <c:pt idx="23">
                  <c:v>8952318.731617773</c:v>
                </c:pt>
                <c:pt idx="24">
                  <c:v>9463709.0660667419</c:v>
                </c:pt>
                <c:pt idx="25">
                  <c:v>9235500.8201793265</c:v>
                </c:pt>
                <c:pt idx="26">
                  <c:v>8781476.8174591549</c:v>
                </c:pt>
                <c:pt idx="27">
                  <c:v>8026657.6444230452</c:v>
                </c:pt>
                <c:pt idx="28">
                  <c:v>8177467.8432120476</c:v>
                </c:pt>
                <c:pt idx="29">
                  <c:v>8718937.9942085575</c:v>
                </c:pt>
                <c:pt idx="30">
                  <c:v>9991856.2007112764</c:v>
                </c:pt>
                <c:pt idx="31">
                  <c:v>9698314.4218768086</c:v>
                </c:pt>
                <c:pt idx="32">
                  <c:v>8332895.5120431557</c:v>
                </c:pt>
                <c:pt idx="33">
                  <c:v>7829558.6732053263</c:v>
                </c:pt>
                <c:pt idx="34">
                  <c:v>8393419.0468748473</c:v>
                </c:pt>
                <c:pt idx="35">
                  <c:v>9017727.6379697099</c:v>
                </c:pt>
                <c:pt idx="36">
                  <c:v>9572388.479697654</c:v>
                </c:pt>
                <c:pt idx="37">
                  <c:v>9355249.4333467204</c:v>
                </c:pt>
                <c:pt idx="38">
                  <c:v>8894181.3945578784</c:v>
                </c:pt>
                <c:pt idx="39">
                  <c:v>8087035.0964402184</c:v>
                </c:pt>
                <c:pt idx="40">
                  <c:v>8214700.6052893037</c:v>
                </c:pt>
                <c:pt idx="41">
                  <c:v>8803466.4270326011</c:v>
                </c:pt>
                <c:pt idx="42">
                  <c:v>10091478.996539613</c:v>
                </c:pt>
                <c:pt idx="43">
                  <c:v>9829132.2345806845</c:v>
                </c:pt>
                <c:pt idx="44">
                  <c:v>8433524.598738445</c:v>
                </c:pt>
                <c:pt idx="45">
                  <c:v>7947294.7046388146</c:v>
                </c:pt>
                <c:pt idx="46">
                  <c:v>8478953.7705658432</c:v>
                </c:pt>
                <c:pt idx="47">
                  <c:v>9097224.6164589897</c:v>
                </c:pt>
                <c:pt idx="48">
                  <c:v>9629747.0591139682</c:v>
                </c:pt>
                <c:pt idx="49">
                  <c:v>9399526.2314926479</c:v>
                </c:pt>
                <c:pt idx="50">
                  <c:v>8925376.4114334174</c:v>
                </c:pt>
                <c:pt idx="51">
                  <c:v>8114204.9498479469</c:v>
                </c:pt>
                <c:pt idx="52">
                  <c:v>8243883.0404309379</c:v>
                </c:pt>
                <c:pt idx="53">
                  <c:v>8771265.1192901079</c:v>
                </c:pt>
                <c:pt idx="54">
                  <c:v>10027076.381054629</c:v>
                </c:pt>
                <c:pt idx="55">
                  <c:v>9731522.0204862542</c:v>
                </c:pt>
                <c:pt idx="56">
                  <c:v>8378178.6010560356</c:v>
                </c:pt>
                <c:pt idx="57">
                  <c:v>7890942.4160894528</c:v>
                </c:pt>
                <c:pt idx="58">
                  <c:v>8411532.2824799996</c:v>
                </c:pt>
                <c:pt idx="59">
                  <c:v>9001626.9840984643</c:v>
                </c:pt>
                <c:pt idx="60">
                  <c:v>9516036.1911482923</c:v>
                </c:pt>
                <c:pt idx="61">
                  <c:v>9333111.0342737567</c:v>
                </c:pt>
                <c:pt idx="62">
                  <c:v>8917326.0844977945</c:v>
                </c:pt>
                <c:pt idx="63">
                  <c:v>8155462.8753930153</c:v>
                </c:pt>
                <c:pt idx="64">
                  <c:v>8292185.0020446759</c:v>
                </c:pt>
                <c:pt idx="65">
                  <c:v>8829629.9895733763</c:v>
                </c:pt>
                <c:pt idx="66">
                  <c:v>10079403.506136179</c:v>
                </c:pt>
                <c:pt idx="67">
                  <c:v>9736553.4748210199</c:v>
                </c:pt>
                <c:pt idx="68">
                  <c:v>8357046.4928500252</c:v>
                </c:pt>
                <c:pt idx="69">
                  <c:v>7863772.5626817243</c:v>
                </c:pt>
                <c:pt idx="70">
                  <c:v>8448765.0445572566</c:v>
                </c:pt>
                <c:pt idx="71">
                  <c:v>9058985.5635147784</c:v>
                </c:pt>
                <c:pt idx="72">
                  <c:v>9597545.7513714768</c:v>
                </c:pt>
                <c:pt idx="73">
                  <c:v>9411601.7218960822</c:v>
                </c:pt>
                <c:pt idx="74">
                  <c:v>8984747.5725836381</c:v>
                </c:pt>
                <c:pt idx="75">
                  <c:v>8231940.9812814351</c:v>
                </c:pt>
                <c:pt idx="76">
                  <c:v>8363631.6535983318</c:v>
                </c:pt>
                <c:pt idx="77">
                  <c:v>8897051.4776592199</c:v>
                </c:pt>
                <c:pt idx="78">
                  <c:v>10164938.229827175</c:v>
                </c:pt>
                <c:pt idx="79">
                  <c:v>9868377.5783918481</c:v>
                </c:pt>
                <c:pt idx="80">
                  <c:v>8528115.9402320161</c:v>
                </c:pt>
                <c:pt idx="81">
                  <c:v>8035848.3009306695</c:v>
                </c:pt>
                <c:pt idx="82">
                  <c:v>8560463.3307890277</c:v>
                </c:pt>
                <c:pt idx="83">
                  <c:v>9149551.74154054</c:v>
                </c:pt>
                <c:pt idx="84">
                  <c:v>9681067.8933285661</c:v>
                </c:pt>
                <c:pt idx="85">
                  <c:v>9467954.0104454439</c:v>
                </c:pt>
                <c:pt idx="86">
                  <c:v>8998835.644720979</c:v>
                </c:pt>
                <c:pt idx="87">
                  <c:v>8195714.5100711305</c:v>
                </c:pt>
                <c:pt idx="88">
                  <c:v>8282122.0933751483</c:v>
                </c:pt>
                <c:pt idx="89">
                  <c:v>8808497.8813673649</c:v>
                </c:pt>
                <c:pt idx="90">
                  <c:v>10038145.580591111</c:v>
                </c:pt>
                <c:pt idx="91">
                  <c:v>9783849.1455678046</c:v>
                </c:pt>
                <c:pt idx="92">
                  <c:v>8467738.488214843</c:v>
                </c:pt>
                <c:pt idx="93">
                  <c:v>8030816.8465959039</c:v>
                </c:pt>
                <c:pt idx="94">
                  <c:v>8642979.1818791647</c:v>
                </c:pt>
                <c:pt idx="95">
                  <c:v>9237099.0469654407</c:v>
                </c:pt>
                <c:pt idx="96">
                  <c:v>9796791.3430281486</c:v>
                </c:pt>
                <c:pt idx="97">
                  <c:v>9582671.1692780741</c:v>
                </c:pt>
                <c:pt idx="98">
                  <c:v>8619355.8138666432</c:v>
                </c:pt>
                <c:pt idx="99">
                  <c:v>7179144.3864225205</c:v>
                </c:pt>
                <c:pt idx="100">
                  <c:v>7188067.5729711642</c:v>
                </c:pt>
                <c:pt idx="101">
                  <c:v>8204615.1871825363</c:v>
                </c:pt>
                <c:pt idx="102">
                  <c:v>9561055.5356423445</c:v>
                </c:pt>
                <c:pt idx="103">
                  <c:v>9341979.280962389</c:v>
                </c:pt>
                <c:pt idx="104">
                  <c:v>8023856.0418755226</c:v>
                </c:pt>
                <c:pt idx="105">
                  <c:v>7552720.5107801864</c:v>
                </c:pt>
                <c:pt idx="106">
                  <c:v>8108530.5575140845</c:v>
                </c:pt>
                <c:pt idx="107">
                  <c:v>8731832.8577419948</c:v>
                </c:pt>
                <c:pt idx="108">
                  <c:v>9286493.6994699389</c:v>
                </c:pt>
                <c:pt idx="109">
                  <c:v>9114637.7421318851</c:v>
                </c:pt>
                <c:pt idx="110">
                  <c:v>8694827.6288881097</c:v>
                </c:pt>
                <c:pt idx="111">
                  <c:v>7956109.1097232476</c:v>
                </c:pt>
                <c:pt idx="112">
                  <c:v>8080755.7459714748</c:v>
                </c:pt>
                <c:pt idx="113">
                  <c:v>8616188.1517662685</c:v>
                </c:pt>
                <c:pt idx="114">
                  <c:v>9866967.9591960236</c:v>
                </c:pt>
                <c:pt idx="115">
                  <c:v>9588520.5433658473</c:v>
                </c:pt>
                <c:pt idx="116">
                  <c:v>8231151.9604678173</c:v>
                </c:pt>
                <c:pt idx="117">
                  <c:v>7761022.7202394344</c:v>
                </c:pt>
                <c:pt idx="118">
                  <c:v>8351046.6564497305</c:v>
                </c:pt>
                <c:pt idx="119">
                  <c:v>8998499.9374845102</c:v>
                </c:pt>
                <c:pt idx="120">
                  <c:v>9806800.1646911297</c:v>
                </c:pt>
                <c:pt idx="121">
                  <c:v>9603749.190477537</c:v>
                </c:pt>
                <c:pt idx="122">
                  <c:v>9178907.6228989977</c:v>
                </c:pt>
                <c:pt idx="123">
                  <c:v>8420063.2863950785</c:v>
                </c:pt>
                <c:pt idx="124">
                  <c:v>8553766.5404458791</c:v>
                </c:pt>
                <c:pt idx="125">
                  <c:v>9040896.9846269358</c:v>
                </c:pt>
                <c:pt idx="126">
                  <c:v>10270544.68385068</c:v>
                </c:pt>
                <c:pt idx="127">
                  <c:v>9927694.6525355205</c:v>
                </c:pt>
                <c:pt idx="128">
                  <c:v>8599508.5047791246</c:v>
                </c:pt>
                <c:pt idx="129">
                  <c:v>8102209.4111430123</c:v>
                </c:pt>
                <c:pt idx="130">
                  <c:v>8669088.6574133914</c:v>
                </c:pt>
                <c:pt idx="131">
                  <c:v>9275284.0129031017</c:v>
                </c:pt>
                <c:pt idx="132">
                  <c:v>9977291.8747653551</c:v>
                </c:pt>
                <c:pt idx="133">
                  <c:v>9771249.1978043113</c:v>
                </c:pt>
                <c:pt idx="134">
                  <c:v>9348556.0612267181</c:v>
                </c:pt>
                <c:pt idx="135">
                  <c:v>8583769.0740080066</c:v>
                </c:pt>
                <c:pt idx="136">
                  <c:v>8692308.2639216352</c:v>
                </c:pt>
                <c:pt idx="137">
                  <c:v>9145959.4109591674</c:v>
                </c:pt>
                <c:pt idx="138">
                  <c:v>10360424.445155043</c:v>
                </c:pt>
                <c:pt idx="139">
                  <c:v>10031533.429173538</c:v>
                </c:pt>
                <c:pt idx="140">
                  <c:v>8734746.0721932389</c:v>
                </c:pt>
                <c:pt idx="141">
                  <c:v>8256559.7125658803</c:v>
                </c:pt>
                <c:pt idx="142">
                  <c:v>8842646.7873319387</c:v>
                </c:pt>
                <c:pt idx="143">
                  <c:v>9443810.6884868853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11-4993-A4C4-15A738329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'GS&gt;50 Normalized Monthly'!$D$1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'GS&gt;50 Normalized Monthly'!$D$2:$D$145</c:f>
              <c:numCache>
                <c:formatCode>_(* #,##0_);_(* \(#,##0\);_(* "-"??_);_(@_)</c:formatCode>
                <c:ptCount val="144"/>
                <c:pt idx="0">
                  <c:v>21656892.322908267</c:v>
                </c:pt>
                <c:pt idx="1">
                  <c:v>19270892.776922364</c:v>
                </c:pt>
                <c:pt idx="2">
                  <c:v>20056817.881679062</c:v>
                </c:pt>
                <c:pt idx="3">
                  <c:v>18860084.058233365</c:v>
                </c:pt>
                <c:pt idx="4">
                  <c:v>18641210.416657664</c:v>
                </c:pt>
                <c:pt idx="5">
                  <c:v>19373443.969514765</c:v>
                </c:pt>
                <c:pt idx="6">
                  <c:v>23546466.734313264</c:v>
                </c:pt>
                <c:pt idx="7">
                  <c:v>21799469.352462463</c:v>
                </c:pt>
                <c:pt idx="8">
                  <c:v>18204589.530658066</c:v>
                </c:pt>
                <c:pt idx="9">
                  <c:v>18651082.538031064</c:v>
                </c:pt>
                <c:pt idx="10">
                  <c:v>18582249.065724567</c:v>
                </c:pt>
                <c:pt idx="11">
                  <c:v>20507929.249744967</c:v>
                </c:pt>
                <c:pt idx="12">
                  <c:v>22574878.338350814</c:v>
                </c:pt>
                <c:pt idx="13">
                  <c:v>18431782.240890011</c:v>
                </c:pt>
                <c:pt idx="14">
                  <c:v>20313644.663039513</c:v>
                </c:pt>
                <c:pt idx="15">
                  <c:v>19283907.481619515</c:v>
                </c:pt>
                <c:pt idx="16">
                  <c:v>19146377.191588316</c:v>
                </c:pt>
                <c:pt idx="17">
                  <c:v>18624260.841029517</c:v>
                </c:pt>
                <c:pt idx="18">
                  <c:v>22473285.336796511</c:v>
                </c:pt>
                <c:pt idx="19">
                  <c:v>20760425.70034701</c:v>
                </c:pt>
                <c:pt idx="20">
                  <c:v>18500510.052468214</c:v>
                </c:pt>
                <c:pt idx="21">
                  <c:v>20153921.133393314</c:v>
                </c:pt>
                <c:pt idx="22">
                  <c:v>18711865.730132714</c:v>
                </c:pt>
                <c:pt idx="23">
                  <c:v>21202370.883770712</c:v>
                </c:pt>
                <c:pt idx="24">
                  <c:v>21407032.927619025</c:v>
                </c:pt>
                <c:pt idx="25">
                  <c:v>19902756.066625524</c:v>
                </c:pt>
                <c:pt idx="26">
                  <c:v>21814873.450316727</c:v>
                </c:pt>
                <c:pt idx="27">
                  <c:v>18254278.850208424</c:v>
                </c:pt>
                <c:pt idx="28">
                  <c:v>17259918.534105126</c:v>
                </c:pt>
                <c:pt idx="29">
                  <c:v>18660682.797031526</c:v>
                </c:pt>
                <c:pt idx="30">
                  <c:v>20445599.577143326</c:v>
                </c:pt>
                <c:pt idx="31">
                  <c:v>19474507.788008928</c:v>
                </c:pt>
                <c:pt idx="32">
                  <c:v>18323247.756729726</c:v>
                </c:pt>
                <c:pt idx="33">
                  <c:v>18647344.273645423</c:v>
                </c:pt>
                <c:pt idx="34">
                  <c:v>18747695.454941425</c:v>
                </c:pt>
                <c:pt idx="35">
                  <c:v>19946857.429488424</c:v>
                </c:pt>
                <c:pt idx="36">
                  <c:v>22107985.779086575</c:v>
                </c:pt>
                <c:pt idx="37">
                  <c:v>20769956.780525178</c:v>
                </c:pt>
                <c:pt idx="38">
                  <c:v>20069088.302363276</c:v>
                </c:pt>
                <c:pt idx="39">
                  <c:v>17741254.020058475</c:v>
                </c:pt>
                <c:pt idx="40">
                  <c:v>17706825.768221878</c:v>
                </c:pt>
                <c:pt idx="41">
                  <c:v>17937111.298871078</c:v>
                </c:pt>
                <c:pt idx="42">
                  <c:v>20524868.937950078</c:v>
                </c:pt>
                <c:pt idx="43">
                  <c:v>19671171.254714578</c:v>
                </c:pt>
                <c:pt idx="44">
                  <c:v>19122866.463099476</c:v>
                </c:pt>
                <c:pt idx="45">
                  <c:v>18089215.969800577</c:v>
                </c:pt>
                <c:pt idx="46">
                  <c:v>17026534.805204477</c:v>
                </c:pt>
                <c:pt idx="47">
                  <c:v>19197412.819288578</c:v>
                </c:pt>
                <c:pt idx="48">
                  <c:v>20964753.748990208</c:v>
                </c:pt>
                <c:pt idx="49">
                  <c:v>19381333.29994791</c:v>
                </c:pt>
                <c:pt idx="50">
                  <c:v>19024870.469088204</c:v>
                </c:pt>
                <c:pt idx="51">
                  <c:v>17881855.054593407</c:v>
                </c:pt>
                <c:pt idx="52">
                  <c:v>18761773.513984606</c:v>
                </c:pt>
                <c:pt idx="53">
                  <c:v>19128253.869357608</c:v>
                </c:pt>
                <c:pt idx="54">
                  <c:v>20805794.785203606</c:v>
                </c:pt>
                <c:pt idx="55">
                  <c:v>22155803.565557607</c:v>
                </c:pt>
                <c:pt idx="56">
                  <c:v>19008676.995803408</c:v>
                </c:pt>
                <c:pt idx="57">
                  <c:v>18392236.257128105</c:v>
                </c:pt>
                <c:pt idx="58">
                  <c:v>17676235.196301106</c:v>
                </c:pt>
                <c:pt idx="59">
                  <c:v>19445977.594531007</c:v>
                </c:pt>
                <c:pt idx="60">
                  <c:v>20405050.233825203</c:v>
                </c:pt>
                <c:pt idx="61">
                  <c:v>18530113.296418317</c:v>
                </c:pt>
                <c:pt idx="62">
                  <c:v>19458491.460847396</c:v>
                </c:pt>
                <c:pt idx="63">
                  <c:v>17068111.602635372</c:v>
                </c:pt>
                <c:pt idx="64">
                  <c:v>17303329.619864244</c:v>
                </c:pt>
                <c:pt idx="65">
                  <c:v>18723157.860614162</c:v>
                </c:pt>
                <c:pt idx="66">
                  <c:v>20650265.274632793</c:v>
                </c:pt>
                <c:pt idx="67">
                  <c:v>19470906.219232164</c:v>
                </c:pt>
                <c:pt idx="68">
                  <c:v>18299077.909161326</c:v>
                </c:pt>
                <c:pt idx="69">
                  <c:v>17819323.199973162</c:v>
                </c:pt>
                <c:pt idx="70">
                  <c:v>18191086.641311783</c:v>
                </c:pt>
                <c:pt idx="71">
                  <c:v>19035131.862352476</c:v>
                </c:pt>
                <c:pt idx="72">
                  <c:v>21215419.540043287</c:v>
                </c:pt>
                <c:pt idx="73">
                  <c:v>18866164.313090462</c:v>
                </c:pt>
                <c:pt idx="74">
                  <c:v>19590305.779881623</c:v>
                </c:pt>
                <c:pt idx="75">
                  <c:v>18011213.958728224</c:v>
                </c:pt>
                <c:pt idx="76">
                  <c:v>18513560.80069286</c:v>
                </c:pt>
                <c:pt idx="77">
                  <c:v>17879570.687290974</c:v>
                </c:pt>
                <c:pt idx="78">
                  <c:v>20694832.372938544</c:v>
                </c:pt>
                <c:pt idx="79">
                  <c:v>21436002.837038804</c:v>
                </c:pt>
                <c:pt idx="80">
                  <c:v>19085586.756315149</c:v>
                </c:pt>
                <c:pt idx="81">
                  <c:v>18365728.767554242</c:v>
                </c:pt>
                <c:pt idx="82">
                  <c:v>18960748.554049645</c:v>
                </c:pt>
                <c:pt idx="83">
                  <c:v>18373721.475781631</c:v>
                </c:pt>
                <c:pt idx="84">
                  <c:v>21388509.732646711</c:v>
                </c:pt>
                <c:pt idx="85">
                  <c:v>19689054.252646711</c:v>
                </c:pt>
                <c:pt idx="86">
                  <c:v>19694014.909946714</c:v>
                </c:pt>
                <c:pt idx="87">
                  <c:v>17847961.116946712</c:v>
                </c:pt>
                <c:pt idx="88">
                  <c:v>17888743.361746714</c:v>
                </c:pt>
                <c:pt idx="89">
                  <c:v>17985271.596546713</c:v>
                </c:pt>
                <c:pt idx="90">
                  <c:v>21371687.413446713</c:v>
                </c:pt>
                <c:pt idx="91">
                  <c:v>20692910.106446713</c:v>
                </c:pt>
                <c:pt idx="92">
                  <c:v>18943818.919546712</c:v>
                </c:pt>
                <c:pt idx="93">
                  <c:v>18584373.277746715</c:v>
                </c:pt>
                <c:pt idx="94">
                  <c:v>19294942.186846711</c:v>
                </c:pt>
                <c:pt idx="95">
                  <c:v>19752493.354446713</c:v>
                </c:pt>
                <c:pt idx="96">
                  <c:v>21003002.009531625</c:v>
                </c:pt>
                <c:pt idx="97">
                  <c:v>20078372.746231623</c:v>
                </c:pt>
                <c:pt idx="98">
                  <c:v>19033212.631531626</c:v>
                </c:pt>
                <c:pt idx="99">
                  <c:v>16146825.079031626</c:v>
                </c:pt>
                <c:pt idx="100">
                  <c:v>16737509.729731625</c:v>
                </c:pt>
                <c:pt idx="101">
                  <c:v>18080324.839931626</c:v>
                </c:pt>
                <c:pt idx="102">
                  <c:v>20778017.208231624</c:v>
                </c:pt>
                <c:pt idx="103">
                  <c:v>19812423.801231623</c:v>
                </c:pt>
                <c:pt idx="104">
                  <c:v>17720405.453531627</c:v>
                </c:pt>
                <c:pt idx="105">
                  <c:v>17763399.932731625</c:v>
                </c:pt>
                <c:pt idx="106">
                  <c:v>18001281.908531625</c:v>
                </c:pt>
                <c:pt idx="107">
                  <c:v>19211884.231731623</c:v>
                </c:pt>
                <c:pt idx="108">
                  <c:v>19429062.246832542</c:v>
                </c:pt>
                <c:pt idx="109">
                  <c:v>18800724.077532545</c:v>
                </c:pt>
                <c:pt idx="110">
                  <c:v>18732854.230432551</c:v>
                </c:pt>
                <c:pt idx="111">
                  <c:v>16690634.706432544</c:v>
                </c:pt>
                <c:pt idx="112">
                  <c:v>17249466.064732548</c:v>
                </c:pt>
                <c:pt idx="113">
                  <c:v>18880616.946932543</c:v>
                </c:pt>
                <c:pt idx="114">
                  <c:v>19932935.032132547</c:v>
                </c:pt>
                <c:pt idx="115">
                  <c:v>20931136.735932548</c:v>
                </c:pt>
                <c:pt idx="116">
                  <c:v>18386871.497632541</c:v>
                </c:pt>
                <c:pt idx="117">
                  <c:v>18326695.988232542</c:v>
                </c:pt>
                <c:pt idx="118">
                  <c:v>18313854.593332544</c:v>
                </c:pt>
                <c:pt idx="119">
                  <c:v>18843469.397732548</c:v>
                </c:pt>
                <c:pt idx="120">
                  <c:v>20731555.061192818</c:v>
                </c:pt>
                <c:pt idx="121">
                  <c:v>19281807.061192818</c:v>
                </c:pt>
                <c:pt idx="122">
                  <c:v>20150700.061192818</c:v>
                </c:pt>
                <c:pt idx="123">
                  <c:v>17637132.061192818</c:v>
                </c:pt>
                <c:pt idx="124">
                  <c:v>18019048.061192818</c:v>
                </c:pt>
                <c:pt idx="125">
                  <c:v>18637054.061192818</c:v>
                </c:pt>
                <c:pt idx="126">
                  <c:v>20163206.061192818</c:v>
                </c:pt>
                <c:pt idx="127">
                  <c:v>20183068.061192818</c:v>
                </c:pt>
                <c:pt idx="128">
                  <c:v>18679517.061192818</c:v>
                </c:pt>
                <c:pt idx="129">
                  <c:v>17943435.061192818</c:v>
                </c:pt>
                <c:pt idx="130">
                  <c:v>18272593.061192818</c:v>
                </c:pt>
                <c:pt idx="131">
                  <c:v>19354282.061192818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C-468D-8197-B68EC81201C7}"/>
            </c:ext>
          </c:extLst>
        </c:ser>
        <c:ser>
          <c:idx val="2"/>
          <c:order val="1"/>
          <c:tx>
            <c:strRef>
              <c:f>'GS&gt;50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'GS&gt;50 Normalized Monthly'!$S$2:$S$145</c:f>
              <c:numCache>
                <c:formatCode>_(* #,##0_);_(* \(#,##0\);_(* "-"??_);_(@_)</c:formatCode>
                <c:ptCount val="144"/>
                <c:pt idx="0">
                  <c:v>21574973.507948797</c:v>
                </c:pt>
                <c:pt idx="1">
                  <c:v>20279462.509719923</c:v>
                </c:pt>
                <c:pt idx="2">
                  <c:v>20510785.691993639</c:v>
                </c:pt>
                <c:pt idx="3">
                  <c:v>18741698.893233299</c:v>
                </c:pt>
                <c:pt idx="4">
                  <c:v>19014446.688181803</c:v>
                </c:pt>
                <c:pt idx="5">
                  <c:v>19296876.691019576</c:v>
                </c:pt>
                <c:pt idx="6">
                  <c:v>21526736.374723658</c:v>
                </c:pt>
                <c:pt idx="7">
                  <c:v>21096146.082188491</c:v>
                </c:pt>
                <c:pt idx="8">
                  <c:v>19225975.050240681</c:v>
                </c:pt>
                <c:pt idx="9">
                  <c:v>19074952.918953884</c:v>
                </c:pt>
                <c:pt idx="10">
                  <c:v>19116520.401751764</c:v>
                </c:pt>
                <c:pt idx="11">
                  <c:v>20599957.138592981</c:v>
                </c:pt>
                <c:pt idx="12">
                  <c:v>21543228.123412173</c:v>
                </c:pt>
                <c:pt idx="13">
                  <c:v>19869246.693630785</c:v>
                </c:pt>
                <c:pt idx="14">
                  <c:v>20574276.461066891</c:v>
                </c:pt>
                <c:pt idx="15">
                  <c:v>18821062.354574859</c:v>
                </c:pt>
                <c:pt idx="16">
                  <c:v>19189046.303133242</c:v>
                </c:pt>
                <c:pt idx="17">
                  <c:v>19455603.6137027</c:v>
                </c:pt>
                <c:pt idx="18">
                  <c:v>21510863.682455342</c:v>
                </c:pt>
                <c:pt idx="19">
                  <c:v>21096146.082188491</c:v>
                </c:pt>
                <c:pt idx="20">
                  <c:v>19464065.434265368</c:v>
                </c:pt>
                <c:pt idx="21">
                  <c:v>19122570.995758824</c:v>
                </c:pt>
                <c:pt idx="22">
                  <c:v>18719703.09504395</c:v>
                </c:pt>
                <c:pt idx="23">
                  <c:v>20123776.370543607</c:v>
                </c:pt>
                <c:pt idx="24">
                  <c:v>21114665.432167735</c:v>
                </c:pt>
                <c:pt idx="25">
                  <c:v>19297829.771971535</c:v>
                </c:pt>
                <c:pt idx="26">
                  <c:v>20034604.923944265</c:v>
                </c:pt>
                <c:pt idx="27">
                  <c:v>18202027.356110673</c:v>
                </c:pt>
                <c:pt idx="28">
                  <c:v>18443029.766522553</c:v>
                </c:pt>
                <c:pt idx="29">
                  <c:v>18709587.077092014</c:v>
                </c:pt>
                <c:pt idx="30">
                  <c:v>20955319.453064404</c:v>
                </c:pt>
                <c:pt idx="31">
                  <c:v>20572347.237334177</c:v>
                </c:pt>
                <c:pt idx="32">
                  <c:v>18702176.20538637</c:v>
                </c:pt>
                <c:pt idx="33">
                  <c:v>18376554.459148135</c:v>
                </c:pt>
                <c:pt idx="34">
                  <c:v>18386376.557409387</c:v>
                </c:pt>
                <c:pt idx="35">
                  <c:v>19901558.678787231</c:v>
                </c:pt>
                <c:pt idx="36">
                  <c:v>20892447.74041136</c:v>
                </c:pt>
                <c:pt idx="37">
                  <c:v>19091484.772483472</c:v>
                </c:pt>
                <c:pt idx="38">
                  <c:v>19748896.463114638</c:v>
                </c:pt>
                <c:pt idx="39">
                  <c:v>17900446.203012735</c:v>
                </c:pt>
                <c:pt idx="40">
                  <c:v>18109703.22888799</c:v>
                </c:pt>
                <c:pt idx="41">
                  <c:v>18392133.231725764</c:v>
                </c:pt>
                <c:pt idx="42">
                  <c:v>20621992.915429845</c:v>
                </c:pt>
                <c:pt idx="43">
                  <c:v>20239020.699699618</c:v>
                </c:pt>
                <c:pt idx="44">
                  <c:v>18432340.436825056</c:v>
                </c:pt>
                <c:pt idx="45">
                  <c:v>18217827.536465012</c:v>
                </c:pt>
                <c:pt idx="46">
                  <c:v>18275267.7115312</c:v>
                </c:pt>
                <c:pt idx="47">
                  <c:v>19679340.987030856</c:v>
                </c:pt>
                <c:pt idx="48">
                  <c:v>20686102.7409233</c:v>
                </c:pt>
                <c:pt idx="49">
                  <c:v>19454082.511767671</c:v>
                </c:pt>
                <c:pt idx="50">
                  <c:v>19653660.309504762</c:v>
                </c:pt>
                <c:pt idx="51">
                  <c:v>17884573.510744423</c:v>
                </c:pt>
                <c:pt idx="52">
                  <c:v>18093830.536619678</c:v>
                </c:pt>
                <c:pt idx="53">
                  <c:v>18344515.154920824</c:v>
                </c:pt>
                <c:pt idx="54">
                  <c:v>20574374.838624906</c:v>
                </c:pt>
                <c:pt idx="55">
                  <c:v>20223148.007431306</c:v>
                </c:pt>
                <c:pt idx="56">
                  <c:v>18432340.436825056</c:v>
                </c:pt>
                <c:pt idx="57">
                  <c:v>18138464.075123448</c:v>
                </c:pt>
                <c:pt idx="58">
                  <c:v>18180031.557921328</c:v>
                </c:pt>
                <c:pt idx="59">
                  <c:v>19679340.987030856</c:v>
                </c:pt>
                <c:pt idx="60">
                  <c:v>20781338.894533172</c:v>
                </c:pt>
                <c:pt idx="61">
                  <c:v>18980375.926605284</c:v>
                </c:pt>
                <c:pt idx="62">
                  <c:v>19701278.386309702</c:v>
                </c:pt>
                <c:pt idx="63">
                  <c:v>17916318.895281047</c:v>
                </c:pt>
                <c:pt idx="64">
                  <c:v>18284302.843839429</c:v>
                </c:pt>
                <c:pt idx="65">
                  <c:v>18534987.462140575</c:v>
                </c:pt>
                <c:pt idx="66">
                  <c:v>20733101.761308029</c:v>
                </c:pt>
                <c:pt idx="67">
                  <c:v>20334256.85330949</c:v>
                </c:pt>
                <c:pt idx="68">
                  <c:v>18575194.667239867</c:v>
                </c:pt>
                <c:pt idx="69">
                  <c:v>18360681.766879823</c:v>
                </c:pt>
                <c:pt idx="70">
                  <c:v>18418121.941946015</c:v>
                </c:pt>
                <c:pt idx="71">
                  <c:v>19980922.140128795</c:v>
                </c:pt>
                <c:pt idx="72">
                  <c:v>20892447.74041136</c:v>
                </c:pt>
                <c:pt idx="73">
                  <c:v>19075612.08021516</c:v>
                </c:pt>
                <c:pt idx="74">
                  <c:v>19780641.847651266</c:v>
                </c:pt>
                <c:pt idx="75">
                  <c:v>18027427.741159234</c:v>
                </c:pt>
                <c:pt idx="76">
                  <c:v>18411284.381985929</c:v>
                </c:pt>
                <c:pt idx="77">
                  <c:v>18677841.692555387</c:v>
                </c:pt>
                <c:pt idx="78">
                  <c:v>20891828.683991157</c:v>
                </c:pt>
                <c:pt idx="79">
                  <c:v>20492983.775992617</c:v>
                </c:pt>
                <c:pt idx="80">
                  <c:v>18686303.513118055</c:v>
                </c:pt>
                <c:pt idx="81">
                  <c:v>18487663.305026323</c:v>
                </c:pt>
                <c:pt idx="82">
                  <c:v>18529230.787824199</c:v>
                </c:pt>
                <c:pt idx="83">
                  <c:v>20028540.216933731</c:v>
                </c:pt>
                <c:pt idx="84">
                  <c:v>20924193.124947987</c:v>
                </c:pt>
                <c:pt idx="85">
                  <c:v>19027994.00341022</c:v>
                </c:pt>
                <c:pt idx="86">
                  <c:v>19479060.694553327</c:v>
                </c:pt>
                <c:pt idx="87">
                  <c:v>17694101.203524671</c:v>
                </c:pt>
                <c:pt idx="88">
                  <c:v>18046212.459814742</c:v>
                </c:pt>
                <c:pt idx="89">
                  <c:v>18376260.539457452</c:v>
                </c:pt>
                <c:pt idx="90">
                  <c:v>20590247.530893218</c:v>
                </c:pt>
                <c:pt idx="91">
                  <c:v>20223148.007431306</c:v>
                </c:pt>
                <c:pt idx="92">
                  <c:v>18416467.744556744</c:v>
                </c:pt>
                <c:pt idx="93">
                  <c:v>18217827.536465012</c:v>
                </c:pt>
                <c:pt idx="94">
                  <c:v>18211776.942457952</c:v>
                </c:pt>
                <c:pt idx="95">
                  <c:v>19679340.987030856</c:v>
                </c:pt>
                <c:pt idx="96">
                  <c:v>20606739.279581737</c:v>
                </c:pt>
                <c:pt idx="97">
                  <c:v>19342973.665889483</c:v>
                </c:pt>
                <c:pt idx="98">
                  <c:v>18877237.070486724</c:v>
                </c:pt>
                <c:pt idx="99">
                  <c:v>16220618.186830156</c:v>
                </c:pt>
                <c:pt idx="100">
                  <c:v>16604474.82765685</c:v>
                </c:pt>
                <c:pt idx="101">
                  <c:v>17631582.684976034</c:v>
                </c:pt>
                <c:pt idx="102">
                  <c:v>20590247.530893218</c:v>
                </c:pt>
                <c:pt idx="103">
                  <c:v>20159657.238358054</c:v>
                </c:pt>
                <c:pt idx="104">
                  <c:v>18337104.28321518</c:v>
                </c:pt>
                <c:pt idx="105">
                  <c:v>18106718.690586824</c:v>
                </c:pt>
                <c:pt idx="106">
                  <c:v>18148286.1733847</c:v>
                </c:pt>
                <c:pt idx="107">
                  <c:v>19663468.294762544</c:v>
                </c:pt>
                <c:pt idx="108">
                  <c:v>20543248.510508485</c:v>
                </c:pt>
                <c:pt idx="109">
                  <c:v>18726412.850312285</c:v>
                </c:pt>
                <c:pt idx="110">
                  <c:v>19463188.002285015</c:v>
                </c:pt>
                <c:pt idx="111">
                  <c:v>17709973.895792983</c:v>
                </c:pt>
                <c:pt idx="112">
                  <c:v>18077957.844351366</c:v>
                </c:pt>
                <c:pt idx="113">
                  <c:v>18408005.923994076</c:v>
                </c:pt>
                <c:pt idx="114">
                  <c:v>20637865.607698157</c:v>
                </c:pt>
                <c:pt idx="115">
                  <c:v>20239020.699699618</c:v>
                </c:pt>
                <c:pt idx="116">
                  <c:v>18432340.436825056</c:v>
                </c:pt>
                <c:pt idx="117">
                  <c:v>18201954.8441967</c:v>
                </c:pt>
                <c:pt idx="118">
                  <c:v>18291140.403799511</c:v>
                </c:pt>
                <c:pt idx="119">
                  <c:v>19790449.832909044</c:v>
                </c:pt>
                <c:pt idx="120">
                  <c:v>20717848.125459924</c:v>
                </c:pt>
                <c:pt idx="121">
                  <c:v>18885139.772995409</c:v>
                </c:pt>
                <c:pt idx="122">
                  <c:v>19621914.924968138</c:v>
                </c:pt>
                <c:pt idx="123">
                  <c:v>17678228.51125636</c:v>
                </c:pt>
                <c:pt idx="124">
                  <c:v>18062085.152083054</c:v>
                </c:pt>
                <c:pt idx="125">
                  <c:v>18281024.385847576</c:v>
                </c:pt>
                <c:pt idx="126">
                  <c:v>20510884.069551654</c:v>
                </c:pt>
                <c:pt idx="127">
                  <c:v>20112039.161553115</c:v>
                </c:pt>
                <c:pt idx="128">
                  <c:v>18321231.590946868</c:v>
                </c:pt>
                <c:pt idx="129">
                  <c:v>18106718.690586824</c:v>
                </c:pt>
                <c:pt idx="130">
                  <c:v>18148286.1733847</c:v>
                </c:pt>
                <c:pt idx="131">
                  <c:v>19647595.602494232</c:v>
                </c:pt>
                <c:pt idx="132">
                  <c:v>20480430.579179589</c:v>
                </c:pt>
                <c:pt idx="133">
                  <c:v>18660668.297313761</c:v>
                </c:pt>
                <c:pt idx="134">
                  <c:v>19378645.61356923</c:v>
                </c:pt>
                <c:pt idx="135">
                  <c:v>17606635.148833975</c:v>
                </c:pt>
                <c:pt idx="136">
                  <c:v>17987569.600413524</c:v>
                </c:pt>
                <c:pt idx="137">
                  <c:v>18251206.197717726</c:v>
                </c:pt>
                <c:pt idx="138">
                  <c:v>20462273.951124609</c:v>
                </c:pt>
                <c:pt idx="139">
                  <c:v>20060511.279588424</c:v>
                </c:pt>
                <c:pt idx="140">
                  <c:v>18250914.726922698</c:v>
                </c:pt>
                <c:pt idx="141">
                  <c:v>18017614.317505278</c:v>
                </c:pt>
                <c:pt idx="142">
                  <c:v>18056268.455772188</c:v>
                </c:pt>
                <c:pt idx="143">
                  <c:v>19552666.011865217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C-468D-8197-B68EC8120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'Int Normalized Monthly'!$D$1</c:f>
              <c:strCache>
                <c:ptCount val="1"/>
                <c:pt idx="0">
                  <c:v>IntkWh_NoCDM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'Int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'Int Normalized Monthly'!$D$2:$D$145</c:f>
              <c:numCache>
                <c:formatCode>_(* #,##0_);_(* \(#,##0\);_(* "-"??_);_(@_)</c:formatCode>
                <c:ptCount val="144"/>
                <c:pt idx="0">
                  <c:v>10184292.424999999</c:v>
                </c:pt>
                <c:pt idx="1">
                  <c:v>9898478.9196000006</c:v>
                </c:pt>
                <c:pt idx="2">
                  <c:v>10528549.533600001</c:v>
                </c:pt>
                <c:pt idx="3">
                  <c:v>9746760.0995999984</c:v>
                </c:pt>
                <c:pt idx="4">
                  <c:v>10887684.005600002</c:v>
                </c:pt>
                <c:pt idx="5">
                  <c:v>10627934.568399996</c:v>
                </c:pt>
                <c:pt idx="6">
                  <c:v>11037123.910399999</c:v>
                </c:pt>
                <c:pt idx="7">
                  <c:v>11333527.0392</c:v>
                </c:pt>
                <c:pt idx="8">
                  <c:v>10531471.440000001</c:v>
                </c:pt>
                <c:pt idx="9">
                  <c:v>11053422.9202</c:v>
                </c:pt>
                <c:pt idx="10">
                  <c:v>11096947.746599998</c:v>
                </c:pt>
                <c:pt idx="11">
                  <c:v>9973850.2603999972</c:v>
                </c:pt>
                <c:pt idx="12">
                  <c:v>11037124.507985253</c:v>
                </c:pt>
                <c:pt idx="13">
                  <c:v>9768520.7657852564</c:v>
                </c:pt>
                <c:pt idx="14">
                  <c:v>10703251.362785257</c:v>
                </c:pt>
                <c:pt idx="15">
                  <c:v>10644159.995785259</c:v>
                </c:pt>
                <c:pt idx="16">
                  <c:v>11574045.029185256</c:v>
                </c:pt>
                <c:pt idx="17">
                  <c:v>11274594.937385254</c:v>
                </c:pt>
                <c:pt idx="18">
                  <c:v>11333699.280185258</c:v>
                </c:pt>
                <c:pt idx="19">
                  <c:v>11733516.672385257</c:v>
                </c:pt>
                <c:pt idx="20">
                  <c:v>11218710.709385253</c:v>
                </c:pt>
                <c:pt idx="21">
                  <c:v>11555487.475785257</c:v>
                </c:pt>
                <c:pt idx="22">
                  <c:v>10890261.64758526</c:v>
                </c:pt>
                <c:pt idx="23">
                  <c:v>10629075.920985257</c:v>
                </c:pt>
                <c:pt idx="24">
                  <c:v>11182147.167236708</c:v>
                </c:pt>
                <c:pt idx="25">
                  <c:v>9859051.9018367045</c:v>
                </c:pt>
                <c:pt idx="26">
                  <c:v>11209000.420836706</c:v>
                </c:pt>
                <c:pt idx="27">
                  <c:v>11171833.209036704</c:v>
                </c:pt>
                <c:pt idx="28">
                  <c:v>11807010.636436705</c:v>
                </c:pt>
                <c:pt idx="29">
                  <c:v>11080200.331636708</c:v>
                </c:pt>
                <c:pt idx="30">
                  <c:v>11727828.839436704</c:v>
                </c:pt>
                <c:pt idx="31">
                  <c:v>12013680.450836707</c:v>
                </c:pt>
                <c:pt idx="32">
                  <c:v>10309268.427036706</c:v>
                </c:pt>
                <c:pt idx="33">
                  <c:v>10614411.401836708</c:v>
                </c:pt>
                <c:pt idx="34">
                  <c:v>9874923.1360367052</c:v>
                </c:pt>
                <c:pt idx="35">
                  <c:v>10271194.814436708</c:v>
                </c:pt>
                <c:pt idx="36">
                  <c:v>10703737.427634416</c:v>
                </c:pt>
                <c:pt idx="37">
                  <c:v>9934619.3988344166</c:v>
                </c:pt>
                <c:pt idx="38">
                  <c:v>10564470.086034419</c:v>
                </c:pt>
                <c:pt idx="39">
                  <c:v>10250089.431834416</c:v>
                </c:pt>
                <c:pt idx="40">
                  <c:v>11332533.677434418</c:v>
                </c:pt>
                <c:pt idx="41">
                  <c:v>10405616.441234417</c:v>
                </c:pt>
                <c:pt idx="42">
                  <c:v>10670202.756834416</c:v>
                </c:pt>
                <c:pt idx="43">
                  <c:v>11177484.646834416</c:v>
                </c:pt>
                <c:pt idx="44">
                  <c:v>11304598.170634419</c:v>
                </c:pt>
                <c:pt idx="45">
                  <c:v>10943657.302834416</c:v>
                </c:pt>
                <c:pt idx="46">
                  <c:v>11055950.328034418</c:v>
                </c:pt>
                <c:pt idx="47">
                  <c:v>10386598.003834419</c:v>
                </c:pt>
                <c:pt idx="48">
                  <c:v>10928461.398332786</c:v>
                </c:pt>
                <c:pt idx="49">
                  <c:v>10208865.756532786</c:v>
                </c:pt>
                <c:pt idx="50">
                  <c:v>11012974.092732787</c:v>
                </c:pt>
                <c:pt idx="51">
                  <c:v>10383710.915132785</c:v>
                </c:pt>
                <c:pt idx="52">
                  <c:v>11123234.901132789</c:v>
                </c:pt>
                <c:pt idx="53">
                  <c:v>9791929.087932786</c:v>
                </c:pt>
                <c:pt idx="54">
                  <c:v>10797079.981132787</c:v>
                </c:pt>
                <c:pt idx="55">
                  <c:v>10973992.038532788</c:v>
                </c:pt>
                <c:pt idx="56">
                  <c:v>10286117.250332788</c:v>
                </c:pt>
                <c:pt idx="57">
                  <c:v>10353933.551132789</c:v>
                </c:pt>
                <c:pt idx="58">
                  <c:v>10009720.752132788</c:v>
                </c:pt>
                <c:pt idx="59">
                  <c:v>9627014.5981327891</c:v>
                </c:pt>
                <c:pt idx="60">
                  <c:v>9591765.3648723848</c:v>
                </c:pt>
                <c:pt idx="61">
                  <c:v>9108161.2460723836</c:v>
                </c:pt>
                <c:pt idx="62">
                  <c:v>10666257.661872383</c:v>
                </c:pt>
                <c:pt idx="63">
                  <c:v>9877999.4840723816</c:v>
                </c:pt>
                <c:pt idx="64">
                  <c:v>10238197.053872384</c:v>
                </c:pt>
                <c:pt idx="65">
                  <c:v>10531905.199872384</c:v>
                </c:pt>
                <c:pt idx="66">
                  <c:v>10960999.166472385</c:v>
                </c:pt>
                <c:pt idx="67">
                  <c:v>11556821.517472384</c:v>
                </c:pt>
                <c:pt idx="68">
                  <c:v>10202301.272072384</c:v>
                </c:pt>
                <c:pt idx="69">
                  <c:v>10935420.474472385</c:v>
                </c:pt>
                <c:pt idx="70">
                  <c:v>10844267.199072385</c:v>
                </c:pt>
                <c:pt idx="71">
                  <c:v>10244707.849472385</c:v>
                </c:pt>
                <c:pt idx="72">
                  <c:v>10220507.912220106</c:v>
                </c:pt>
                <c:pt idx="73">
                  <c:v>9550053.2290201057</c:v>
                </c:pt>
                <c:pt idx="74">
                  <c:v>10495231.318020105</c:v>
                </c:pt>
                <c:pt idx="75">
                  <c:v>9247887.7546201069</c:v>
                </c:pt>
                <c:pt idx="76">
                  <c:v>9898713.6104201023</c:v>
                </c:pt>
                <c:pt idx="77">
                  <c:v>10266712.966820106</c:v>
                </c:pt>
                <c:pt idx="78">
                  <c:v>10897159.829020105</c:v>
                </c:pt>
                <c:pt idx="79">
                  <c:v>11401005.786220107</c:v>
                </c:pt>
                <c:pt idx="80">
                  <c:v>10821083.914820107</c:v>
                </c:pt>
                <c:pt idx="81">
                  <c:v>10464975.140420105</c:v>
                </c:pt>
                <c:pt idx="82">
                  <c:v>10468682.646420106</c:v>
                </c:pt>
                <c:pt idx="83">
                  <c:v>9918059.8559201062</c:v>
                </c:pt>
                <c:pt idx="84">
                  <c:v>10580549.646441238</c:v>
                </c:pt>
                <c:pt idx="85">
                  <c:v>9087897.3551412392</c:v>
                </c:pt>
                <c:pt idx="86">
                  <c:v>10442893.534841239</c:v>
                </c:pt>
                <c:pt idx="87">
                  <c:v>9711950.3278412391</c:v>
                </c:pt>
                <c:pt idx="88">
                  <c:v>10564339.08304124</c:v>
                </c:pt>
                <c:pt idx="89">
                  <c:v>10143892.84824124</c:v>
                </c:pt>
                <c:pt idx="90">
                  <c:v>11027370.031341238</c:v>
                </c:pt>
                <c:pt idx="91">
                  <c:v>11094807.338341238</c:v>
                </c:pt>
                <c:pt idx="92">
                  <c:v>10437974.525241239</c:v>
                </c:pt>
                <c:pt idx="93">
                  <c:v>9493542.1670412384</c:v>
                </c:pt>
                <c:pt idx="94">
                  <c:v>10128962.257941239</c:v>
                </c:pt>
                <c:pt idx="95">
                  <c:v>9547978.0903412383</c:v>
                </c:pt>
                <c:pt idx="96">
                  <c:v>9921631.7113578096</c:v>
                </c:pt>
                <c:pt idx="97">
                  <c:v>9277118.9465578087</c:v>
                </c:pt>
                <c:pt idx="98">
                  <c:v>9069482.4465578087</c:v>
                </c:pt>
                <c:pt idx="99">
                  <c:v>6993046.1341578094</c:v>
                </c:pt>
                <c:pt idx="100">
                  <c:v>7888313.4887578087</c:v>
                </c:pt>
                <c:pt idx="101">
                  <c:v>9866092.8563578092</c:v>
                </c:pt>
                <c:pt idx="102">
                  <c:v>10920252.898157809</c:v>
                </c:pt>
                <c:pt idx="103">
                  <c:v>11090449.078957809</c:v>
                </c:pt>
                <c:pt idx="104">
                  <c:v>10920681.765957808</c:v>
                </c:pt>
                <c:pt idx="105">
                  <c:v>9775097.1195578109</c:v>
                </c:pt>
                <c:pt idx="106">
                  <c:v>10268568.615157809</c:v>
                </c:pt>
                <c:pt idx="107">
                  <c:v>9963288.0091578104</c:v>
                </c:pt>
                <c:pt idx="108">
                  <c:v>10258419.893261282</c:v>
                </c:pt>
                <c:pt idx="109">
                  <c:v>9618403.2892612815</c:v>
                </c:pt>
                <c:pt idx="110">
                  <c:v>10859846.942061283</c:v>
                </c:pt>
                <c:pt idx="111">
                  <c:v>10749494.304861283</c:v>
                </c:pt>
                <c:pt idx="112">
                  <c:v>11206373.627261283</c:v>
                </c:pt>
                <c:pt idx="113">
                  <c:v>11333835.153261282</c:v>
                </c:pt>
                <c:pt idx="114">
                  <c:v>11110234.05786128</c:v>
                </c:pt>
                <c:pt idx="115">
                  <c:v>10734245.950061282</c:v>
                </c:pt>
                <c:pt idx="116">
                  <c:v>9403642.5300612804</c:v>
                </c:pt>
                <c:pt idx="117">
                  <c:v>10267183.503861282</c:v>
                </c:pt>
                <c:pt idx="118">
                  <c:v>10762440.759261284</c:v>
                </c:pt>
                <c:pt idx="119">
                  <c:v>9572434.2618612833</c:v>
                </c:pt>
                <c:pt idx="120">
                  <c:v>9879708.5319566317</c:v>
                </c:pt>
                <c:pt idx="121">
                  <c:v>9211542.5319566317</c:v>
                </c:pt>
                <c:pt idx="122">
                  <c:v>10438024.531956632</c:v>
                </c:pt>
                <c:pt idx="123">
                  <c:v>10050379.531956632</c:v>
                </c:pt>
                <c:pt idx="124">
                  <c:v>10362341.531956632</c:v>
                </c:pt>
                <c:pt idx="125">
                  <c:v>10285325.531956632</c:v>
                </c:pt>
                <c:pt idx="126">
                  <c:v>10806717.531956632</c:v>
                </c:pt>
                <c:pt idx="127">
                  <c:v>11542340.531956632</c:v>
                </c:pt>
                <c:pt idx="128">
                  <c:v>10493087.531956632</c:v>
                </c:pt>
                <c:pt idx="129">
                  <c:v>10439387.531956632</c:v>
                </c:pt>
                <c:pt idx="130">
                  <c:v>10008264.531956632</c:v>
                </c:pt>
                <c:pt idx="131">
                  <c:v>9508018.5319566317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1-4EC1-95D4-04FDE29BC42A}"/>
            </c:ext>
          </c:extLst>
        </c:ser>
        <c:ser>
          <c:idx val="1"/>
          <c:order val="1"/>
          <c:tx>
            <c:strRef>
              <c:f>'Int Normalized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'Int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'Int Normalized Monthly'!$Q$2:$Q$145</c:f>
              <c:numCache>
                <c:formatCode>_(* #,##0_);_(* \(#,##0\);_(* "-"??_);_(@_)</c:formatCode>
                <c:ptCount val="144"/>
                <c:pt idx="0">
                  <c:v>10916551.409338064</c:v>
                </c:pt>
                <c:pt idx="1">
                  <c:v>10237672.696303856</c:v>
                </c:pt>
                <c:pt idx="2">
                  <c:v>10906680.565295128</c:v>
                </c:pt>
                <c:pt idx="3">
                  <c:v>10569308.632451514</c:v>
                </c:pt>
                <c:pt idx="4">
                  <c:v>11042892.399231588</c:v>
                </c:pt>
                <c:pt idx="5">
                  <c:v>10888911.044788536</c:v>
                </c:pt>
                <c:pt idx="6">
                  <c:v>11477054.025063697</c:v>
                </c:pt>
                <c:pt idx="7">
                  <c:v>11414000.424221</c:v>
                </c:pt>
                <c:pt idx="8">
                  <c:v>10800413.118534431</c:v>
                </c:pt>
                <c:pt idx="9">
                  <c:v>10924295.216871331</c:v>
                </c:pt>
                <c:pt idx="10">
                  <c:v>10532501.667817023</c:v>
                </c:pt>
                <c:pt idx="11">
                  <c:v>10227673.41082136</c:v>
                </c:pt>
                <c:pt idx="12">
                  <c:v>10856915.615901504</c:v>
                </c:pt>
                <c:pt idx="13">
                  <c:v>9841082.3710767124</c:v>
                </c:pt>
                <c:pt idx="14">
                  <c:v>10847044.771858567</c:v>
                </c:pt>
                <c:pt idx="15">
                  <c:v>10509672.839014953</c:v>
                </c:pt>
                <c:pt idx="16">
                  <c:v>10983256.605795028</c:v>
                </c:pt>
                <c:pt idx="17">
                  <c:v>10829275.251351975</c:v>
                </c:pt>
                <c:pt idx="18">
                  <c:v>11417418.231627136</c:v>
                </c:pt>
                <c:pt idx="19">
                  <c:v>11354364.630784437</c:v>
                </c:pt>
                <c:pt idx="20">
                  <c:v>10740777.32509787</c:v>
                </c:pt>
                <c:pt idx="21">
                  <c:v>10864659.423434768</c:v>
                </c:pt>
                <c:pt idx="22">
                  <c:v>10472865.874380462</c:v>
                </c:pt>
                <c:pt idx="23">
                  <c:v>10168037.617384797</c:v>
                </c:pt>
                <c:pt idx="24">
                  <c:v>10797279.822464943</c:v>
                </c:pt>
                <c:pt idx="25">
                  <c:v>9781446.5776401497</c:v>
                </c:pt>
                <c:pt idx="26">
                  <c:v>10787408.978422007</c:v>
                </c:pt>
                <c:pt idx="27">
                  <c:v>10450037.04557839</c:v>
                </c:pt>
                <c:pt idx="28">
                  <c:v>10923620.812358467</c:v>
                </c:pt>
                <c:pt idx="29">
                  <c:v>10769639.457915412</c:v>
                </c:pt>
                <c:pt idx="30">
                  <c:v>11357782.438190576</c:v>
                </c:pt>
                <c:pt idx="31">
                  <c:v>11294728.837347876</c:v>
                </c:pt>
                <c:pt idx="32">
                  <c:v>10681141.531661309</c:v>
                </c:pt>
                <c:pt idx="33">
                  <c:v>10805023.629998207</c:v>
                </c:pt>
                <c:pt idx="34">
                  <c:v>10413230.080943901</c:v>
                </c:pt>
                <c:pt idx="35">
                  <c:v>10108401.823948236</c:v>
                </c:pt>
                <c:pt idx="36">
                  <c:v>10737644.029028382</c:v>
                </c:pt>
                <c:pt idx="37">
                  <c:v>9721810.784203589</c:v>
                </c:pt>
                <c:pt idx="38">
                  <c:v>10727773.184985444</c:v>
                </c:pt>
                <c:pt idx="39">
                  <c:v>10390401.25214183</c:v>
                </c:pt>
                <c:pt idx="40">
                  <c:v>10863985.018921904</c:v>
                </c:pt>
                <c:pt idx="41">
                  <c:v>10710003.664478851</c:v>
                </c:pt>
                <c:pt idx="42">
                  <c:v>11298146.644754013</c:v>
                </c:pt>
                <c:pt idx="43">
                  <c:v>11235093.043911316</c:v>
                </c:pt>
                <c:pt idx="44">
                  <c:v>10621505.738224747</c:v>
                </c:pt>
                <c:pt idx="45">
                  <c:v>10745387.836561646</c:v>
                </c:pt>
                <c:pt idx="46">
                  <c:v>10353594.287507338</c:v>
                </c:pt>
                <c:pt idx="47">
                  <c:v>10048766.030511675</c:v>
                </c:pt>
                <c:pt idx="48">
                  <c:v>10678008.23559182</c:v>
                </c:pt>
                <c:pt idx="49">
                  <c:v>9999129.5225576106</c:v>
                </c:pt>
                <c:pt idx="50">
                  <c:v>10668137.391548883</c:v>
                </c:pt>
                <c:pt idx="51">
                  <c:v>10330765.458705269</c:v>
                </c:pt>
                <c:pt idx="52">
                  <c:v>10804349.225485343</c:v>
                </c:pt>
                <c:pt idx="53">
                  <c:v>10650367.871042291</c:v>
                </c:pt>
                <c:pt idx="54">
                  <c:v>11238510.851317452</c:v>
                </c:pt>
                <c:pt idx="55">
                  <c:v>11175457.250474755</c:v>
                </c:pt>
                <c:pt idx="56">
                  <c:v>10561869.944788186</c:v>
                </c:pt>
                <c:pt idx="57">
                  <c:v>10685752.043125086</c:v>
                </c:pt>
                <c:pt idx="58">
                  <c:v>10293958.494070778</c:v>
                </c:pt>
                <c:pt idx="59">
                  <c:v>9989130.2370751128</c:v>
                </c:pt>
                <c:pt idx="60">
                  <c:v>10618372.442155259</c:v>
                </c:pt>
                <c:pt idx="61">
                  <c:v>9602539.1973304655</c:v>
                </c:pt>
                <c:pt idx="62">
                  <c:v>10608501.598112322</c:v>
                </c:pt>
                <c:pt idx="63">
                  <c:v>10271129.665268706</c:v>
                </c:pt>
                <c:pt idx="64">
                  <c:v>10744713.432048783</c:v>
                </c:pt>
                <c:pt idx="65">
                  <c:v>10590732.077605728</c:v>
                </c:pt>
                <c:pt idx="66">
                  <c:v>11178875.057880891</c:v>
                </c:pt>
                <c:pt idx="67">
                  <c:v>11115821.457038192</c:v>
                </c:pt>
                <c:pt idx="68">
                  <c:v>10502234.151351625</c:v>
                </c:pt>
                <c:pt idx="69">
                  <c:v>10626116.249688523</c:v>
                </c:pt>
                <c:pt idx="70">
                  <c:v>10234322.700634217</c:v>
                </c:pt>
                <c:pt idx="71">
                  <c:v>9929494.443638552</c:v>
                </c:pt>
                <c:pt idx="72">
                  <c:v>10558736.648718698</c:v>
                </c:pt>
                <c:pt idx="73">
                  <c:v>9542903.4038939048</c:v>
                </c:pt>
                <c:pt idx="74">
                  <c:v>10548865.804675762</c:v>
                </c:pt>
                <c:pt idx="75">
                  <c:v>10211493.871832145</c:v>
                </c:pt>
                <c:pt idx="76">
                  <c:v>10685077.638612222</c:v>
                </c:pt>
                <c:pt idx="77">
                  <c:v>10531096.284169167</c:v>
                </c:pt>
                <c:pt idx="78">
                  <c:v>11119239.264444329</c:v>
                </c:pt>
                <c:pt idx="79">
                  <c:v>11056185.663601631</c:v>
                </c:pt>
                <c:pt idx="80">
                  <c:v>10442598.357915062</c:v>
                </c:pt>
                <c:pt idx="81">
                  <c:v>10566480.456251962</c:v>
                </c:pt>
                <c:pt idx="82">
                  <c:v>10174686.907197654</c:v>
                </c:pt>
                <c:pt idx="83">
                  <c:v>9869858.6502019912</c:v>
                </c:pt>
                <c:pt idx="84">
                  <c:v>10499100.855282135</c:v>
                </c:pt>
                <c:pt idx="85">
                  <c:v>9483267.610457344</c:v>
                </c:pt>
                <c:pt idx="86">
                  <c:v>10489230.011239199</c:v>
                </c:pt>
                <c:pt idx="87">
                  <c:v>10151858.078395585</c:v>
                </c:pt>
                <c:pt idx="88">
                  <c:v>10625441.845175659</c:v>
                </c:pt>
                <c:pt idx="89">
                  <c:v>10471460.490732607</c:v>
                </c:pt>
                <c:pt idx="90">
                  <c:v>11059603.471007768</c:v>
                </c:pt>
                <c:pt idx="91">
                  <c:v>10996549.870165071</c:v>
                </c:pt>
                <c:pt idx="92">
                  <c:v>10382962.564478502</c:v>
                </c:pt>
                <c:pt idx="93">
                  <c:v>10506844.662815401</c:v>
                </c:pt>
                <c:pt idx="94">
                  <c:v>10115051.113761093</c:v>
                </c:pt>
                <c:pt idx="95">
                  <c:v>9810222.8567654304</c:v>
                </c:pt>
                <c:pt idx="96">
                  <c:v>10439465.061845575</c:v>
                </c:pt>
                <c:pt idx="97">
                  <c:v>9760586.3488113638</c:v>
                </c:pt>
                <c:pt idx="98">
                  <c:v>9108018.0230164174</c:v>
                </c:pt>
                <c:pt idx="99">
                  <c:v>7449069.8953865822</c:v>
                </c:pt>
                <c:pt idx="100">
                  <c:v>7922653.6621666588</c:v>
                </c:pt>
                <c:pt idx="101">
                  <c:v>9090248.5025098231</c:v>
                </c:pt>
                <c:pt idx="102">
                  <c:v>10999967.677571207</c:v>
                </c:pt>
                <c:pt idx="103">
                  <c:v>10936914.076728508</c:v>
                </c:pt>
                <c:pt idx="104">
                  <c:v>10323326.771041941</c:v>
                </c:pt>
                <c:pt idx="105">
                  <c:v>10447208.869378839</c:v>
                </c:pt>
                <c:pt idx="106">
                  <c:v>10055415.320324533</c:v>
                </c:pt>
                <c:pt idx="107">
                  <c:v>9750587.0633288678</c:v>
                </c:pt>
                <c:pt idx="108">
                  <c:v>10379829.268409014</c:v>
                </c:pt>
                <c:pt idx="109">
                  <c:v>9363996.0235842206</c:v>
                </c:pt>
                <c:pt idx="110">
                  <c:v>10369958.424366077</c:v>
                </c:pt>
                <c:pt idx="111">
                  <c:v>10032586.491522461</c:v>
                </c:pt>
                <c:pt idx="112">
                  <c:v>10506170.258302538</c:v>
                </c:pt>
                <c:pt idx="113">
                  <c:v>10352188.903859483</c:v>
                </c:pt>
                <c:pt idx="114">
                  <c:v>10940331.884134647</c:v>
                </c:pt>
                <c:pt idx="115">
                  <c:v>10877278.283291947</c:v>
                </c:pt>
                <c:pt idx="116">
                  <c:v>10263690.97760538</c:v>
                </c:pt>
                <c:pt idx="117">
                  <c:v>10387573.075942278</c:v>
                </c:pt>
                <c:pt idx="118">
                  <c:v>9995779.52688797</c:v>
                </c:pt>
                <c:pt idx="119">
                  <c:v>9690951.269892307</c:v>
                </c:pt>
                <c:pt idx="120">
                  <c:v>10320193.474972451</c:v>
                </c:pt>
                <c:pt idx="121">
                  <c:v>9304360.2301476598</c:v>
                </c:pt>
                <c:pt idx="122">
                  <c:v>10310322.630929515</c:v>
                </c:pt>
                <c:pt idx="123">
                  <c:v>9972950.6980859004</c:v>
                </c:pt>
                <c:pt idx="124">
                  <c:v>10446534.464865975</c:v>
                </c:pt>
                <c:pt idx="125">
                  <c:v>10292553.110422922</c:v>
                </c:pt>
                <c:pt idx="126">
                  <c:v>10880696.090698084</c:v>
                </c:pt>
                <c:pt idx="127">
                  <c:v>10817642.489855386</c:v>
                </c:pt>
                <c:pt idx="128">
                  <c:v>10204055.184168817</c:v>
                </c:pt>
                <c:pt idx="129">
                  <c:v>10327937.282505717</c:v>
                </c:pt>
                <c:pt idx="130">
                  <c:v>9936143.7334514093</c:v>
                </c:pt>
                <c:pt idx="131">
                  <c:v>9631315.4764557462</c:v>
                </c:pt>
                <c:pt idx="132">
                  <c:v>10260557.68153589</c:v>
                </c:pt>
                <c:pt idx="133">
                  <c:v>9244724.436711099</c:v>
                </c:pt>
                <c:pt idx="134">
                  <c:v>10250686.837492954</c:v>
                </c:pt>
                <c:pt idx="135">
                  <c:v>9913314.9046493396</c:v>
                </c:pt>
                <c:pt idx="136">
                  <c:v>10386898.671429414</c:v>
                </c:pt>
                <c:pt idx="137">
                  <c:v>10232917.31698636</c:v>
                </c:pt>
                <c:pt idx="138">
                  <c:v>10821060.297261523</c:v>
                </c:pt>
                <c:pt idx="139">
                  <c:v>10758006.696418824</c:v>
                </c:pt>
                <c:pt idx="140">
                  <c:v>10144419.390732257</c:v>
                </c:pt>
                <c:pt idx="141">
                  <c:v>10268301.489069154</c:v>
                </c:pt>
                <c:pt idx="142">
                  <c:v>9876507.9400148485</c:v>
                </c:pt>
                <c:pt idx="143">
                  <c:v>9571679.6830191836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1-4EC1-95D4-04FDE29B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'LU Normalized Monthly'!$D$1</c:f>
              <c:strCache>
                <c:ptCount val="1"/>
                <c:pt idx="0">
                  <c:v>LUkWh_NoCDM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'LU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'LU Normalized Monthly'!$D$2:$D$145</c:f>
              <c:numCache>
                <c:formatCode>_(* #,##0.0_);_(* \(#,##0.0\);_(* "-"??_);_(@_)</c:formatCode>
                <c:ptCount val="144"/>
                <c:pt idx="0">
                  <c:v>23834836.064902499</c:v>
                </c:pt>
                <c:pt idx="1">
                  <c:v>20937848.494860001</c:v>
                </c:pt>
                <c:pt idx="2">
                  <c:v>23746994.903362501</c:v>
                </c:pt>
                <c:pt idx="3">
                  <c:v>23562709.501567502</c:v>
                </c:pt>
                <c:pt idx="4">
                  <c:v>21444338.7360675</c:v>
                </c:pt>
                <c:pt idx="5">
                  <c:v>21848126.405985001</c:v>
                </c:pt>
                <c:pt idx="6">
                  <c:v>23009052.228524998</c:v>
                </c:pt>
                <c:pt idx="7">
                  <c:v>24714359.7245325</c:v>
                </c:pt>
                <c:pt idx="8">
                  <c:v>23088125.301615</c:v>
                </c:pt>
                <c:pt idx="9">
                  <c:v>21735263.339707501</c:v>
                </c:pt>
                <c:pt idx="10">
                  <c:v>21728354.336369999</c:v>
                </c:pt>
                <c:pt idx="11">
                  <c:v>22981434.2358975</c:v>
                </c:pt>
                <c:pt idx="12">
                  <c:v>22069532.846835185</c:v>
                </c:pt>
                <c:pt idx="13">
                  <c:v>21742510.084312685</c:v>
                </c:pt>
                <c:pt idx="14">
                  <c:v>24101552.512170181</c:v>
                </c:pt>
                <c:pt idx="15">
                  <c:v>20152519.055752683</c:v>
                </c:pt>
                <c:pt idx="16">
                  <c:v>22491203.862150185</c:v>
                </c:pt>
                <c:pt idx="17">
                  <c:v>22144008.17900268</c:v>
                </c:pt>
                <c:pt idx="18">
                  <c:v>23094323.983215183</c:v>
                </c:pt>
                <c:pt idx="19">
                  <c:v>23514754.079565186</c:v>
                </c:pt>
                <c:pt idx="20">
                  <c:v>20804434.856415186</c:v>
                </c:pt>
                <c:pt idx="21">
                  <c:v>20100788.139757685</c:v>
                </c:pt>
                <c:pt idx="22">
                  <c:v>21017431.941322684</c:v>
                </c:pt>
                <c:pt idx="23">
                  <c:v>22772246.808757681</c:v>
                </c:pt>
                <c:pt idx="24">
                  <c:v>21430181.628353979</c:v>
                </c:pt>
                <c:pt idx="25">
                  <c:v>20764315.884211477</c:v>
                </c:pt>
                <c:pt idx="26">
                  <c:v>21695725.79207398</c:v>
                </c:pt>
                <c:pt idx="27">
                  <c:v>22089816.404813975</c:v>
                </c:pt>
                <c:pt idx="28">
                  <c:v>22968983.70280648</c:v>
                </c:pt>
                <c:pt idx="29">
                  <c:v>21083571.994763978</c:v>
                </c:pt>
                <c:pt idx="30">
                  <c:v>23324918.981213976</c:v>
                </c:pt>
                <c:pt idx="31">
                  <c:v>24336139.992316477</c:v>
                </c:pt>
                <c:pt idx="32">
                  <c:v>22547663.664271478</c:v>
                </c:pt>
                <c:pt idx="33">
                  <c:v>22511072.692051478</c:v>
                </c:pt>
                <c:pt idx="34">
                  <c:v>23547116.547848981</c:v>
                </c:pt>
                <c:pt idx="35">
                  <c:v>23381738.097991481</c:v>
                </c:pt>
                <c:pt idx="36">
                  <c:v>24102538.286907062</c:v>
                </c:pt>
                <c:pt idx="37">
                  <c:v>21538838.744382061</c:v>
                </c:pt>
                <c:pt idx="38">
                  <c:v>23142749.785999559</c:v>
                </c:pt>
                <c:pt idx="39">
                  <c:v>23822749.551747061</c:v>
                </c:pt>
                <c:pt idx="40">
                  <c:v>22533672.550557058</c:v>
                </c:pt>
                <c:pt idx="41">
                  <c:v>20527783.264002062</c:v>
                </c:pt>
                <c:pt idx="42">
                  <c:v>23358062.947827064</c:v>
                </c:pt>
                <c:pt idx="43">
                  <c:v>23424688.349967062</c:v>
                </c:pt>
                <c:pt idx="44">
                  <c:v>21450872.247109562</c:v>
                </c:pt>
                <c:pt idx="45">
                  <c:v>22318729.746492062</c:v>
                </c:pt>
                <c:pt idx="46">
                  <c:v>21406122.84180456</c:v>
                </c:pt>
                <c:pt idx="47">
                  <c:v>25407499.244344562</c:v>
                </c:pt>
                <c:pt idx="48">
                  <c:v>26240783.849797517</c:v>
                </c:pt>
                <c:pt idx="49">
                  <c:v>24082032.08889002</c:v>
                </c:pt>
                <c:pt idx="50">
                  <c:v>26062036.087005019</c:v>
                </c:pt>
                <c:pt idx="51">
                  <c:v>25460055.473760016</c:v>
                </c:pt>
                <c:pt idx="52">
                  <c:v>25845409.945102524</c:v>
                </c:pt>
                <c:pt idx="53">
                  <c:v>24325056.669645019</c:v>
                </c:pt>
                <c:pt idx="54">
                  <c:v>25934832.953392521</c:v>
                </c:pt>
                <c:pt idx="55">
                  <c:v>24630219.295627519</c:v>
                </c:pt>
                <c:pt idx="56">
                  <c:v>23513442.137730021</c:v>
                </c:pt>
                <c:pt idx="57">
                  <c:v>24810905.696715023</c:v>
                </c:pt>
                <c:pt idx="58">
                  <c:v>24610081.270522524</c:v>
                </c:pt>
                <c:pt idx="59">
                  <c:v>24792434.467537519</c:v>
                </c:pt>
                <c:pt idx="60">
                  <c:v>24770287.141291514</c:v>
                </c:pt>
                <c:pt idx="61">
                  <c:v>22961918.206419017</c:v>
                </c:pt>
                <c:pt idx="62">
                  <c:v>26050296.256786522</c:v>
                </c:pt>
                <c:pt idx="63">
                  <c:v>24840158.954896517</c:v>
                </c:pt>
                <c:pt idx="64">
                  <c:v>26058283.385469019</c:v>
                </c:pt>
                <c:pt idx="65">
                  <c:v>22007168.552071519</c:v>
                </c:pt>
                <c:pt idx="66">
                  <c:v>25182895.508754019</c:v>
                </c:pt>
                <c:pt idx="67">
                  <c:v>25921413.410716515</c:v>
                </c:pt>
                <c:pt idx="68">
                  <c:v>23182666.180404019</c:v>
                </c:pt>
                <c:pt idx="69">
                  <c:v>21714170.522626519</c:v>
                </c:pt>
                <c:pt idx="70">
                  <c:v>22766018.494636517</c:v>
                </c:pt>
                <c:pt idx="71">
                  <c:v>24333332.109729018</c:v>
                </c:pt>
                <c:pt idx="72">
                  <c:v>24009161.497997802</c:v>
                </c:pt>
                <c:pt idx="73">
                  <c:v>23586264.422380298</c:v>
                </c:pt>
                <c:pt idx="74">
                  <c:v>24162940.202252798</c:v>
                </c:pt>
                <c:pt idx="75">
                  <c:v>20425443.915497798</c:v>
                </c:pt>
                <c:pt idx="76">
                  <c:v>20445732.092170302</c:v>
                </c:pt>
                <c:pt idx="77">
                  <c:v>23092492.308985304</c:v>
                </c:pt>
                <c:pt idx="78">
                  <c:v>24107494.645877801</c:v>
                </c:pt>
                <c:pt idx="79">
                  <c:v>23092259.140720297</c:v>
                </c:pt>
                <c:pt idx="80">
                  <c:v>25764080.7833203</c:v>
                </c:pt>
                <c:pt idx="81">
                  <c:v>26956878.799262796</c:v>
                </c:pt>
                <c:pt idx="82">
                  <c:v>25481222.583850298</c:v>
                </c:pt>
                <c:pt idx="83">
                  <c:v>26568385.3872278</c:v>
                </c:pt>
                <c:pt idx="84">
                  <c:v>27095699.423947453</c:v>
                </c:pt>
                <c:pt idx="85">
                  <c:v>23366311.423947453</c:v>
                </c:pt>
                <c:pt idx="86">
                  <c:v>26433357.423947453</c:v>
                </c:pt>
                <c:pt idx="87">
                  <c:v>24953186.423947453</c:v>
                </c:pt>
                <c:pt idx="88">
                  <c:v>24792249.423947453</c:v>
                </c:pt>
                <c:pt idx="89">
                  <c:v>24746862.423947453</c:v>
                </c:pt>
                <c:pt idx="90">
                  <c:v>25636772.423947453</c:v>
                </c:pt>
                <c:pt idx="91">
                  <c:v>25778018.423947453</c:v>
                </c:pt>
                <c:pt idx="92">
                  <c:v>20459553.423947453</c:v>
                </c:pt>
                <c:pt idx="93">
                  <c:v>21248121.423947453</c:v>
                </c:pt>
                <c:pt idx="94">
                  <c:v>22378411.423947453</c:v>
                </c:pt>
                <c:pt idx="95">
                  <c:v>24769462.423947453</c:v>
                </c:pt>
                <c:pt idx="96">
                  <c:v>25112841.168255385</c:v>
                </c:pt>
                <c:pt idx="97">
                  <c:v>23530244.275455382</c:v>
                </c:pt>
                <c:pt idx="98">
                  <c:v>24237469.844340388</c:v>
                </c:pt>
                <c:pt idx="99">
                  <c:v>22307801.542102885</c:v>
                </c:pt>
                <c:pt idx="100">
                  <c:v>24839479.831875384</c:v>
                </c:pt>
                <c:pt idx="101">
                  <c:v>21345473.819647886</c:v>
                </c:pt>
                <c:pt idx="102">
                  <c:v>24662140.072822884</c:v>
                </c:pt>
                <c:pt idx="103">
                  <c:v>23715674.524882883</c:v>
                </c:pt>
                <c:pt idx="104">
                  <c:v>23843500.865970384</c:v>
                </c:pt>
                <c:pt idx="105">
                  <c:v>22110624.798630383</c:v>
                </c:pt>
                <c:pt idx="106">
                  <c:v>23353852.546837885</c:v>
                </c:pt>
                <c:pt idx="107">
                  <c:v>23265923.573287886</c:v>
                </c:pt>
                <c:pt idx="108">
                  <c:v>25384653.183847848</c:v>
                </c:pt>
                <c:pt idx="109">
                  <c:v>21328249.620217849</c:v>
                </c:pt>
                <c:pt idx="110">
                  <c:v>23404918.120717846</c:v>
                </c:pt>
                <c:pt idx="111">
                  <c:v>21679455.17684285</c:v>
                </c:pt>
                <c:pt idx="112">
                  <c:v>22608687.710880347</c:v>
                </c:pt>
                <c:pt idx="113">
                  <c:v>21943041.639570348</c:v>
                </c:pt>
                <c:pt idx="114">
                  <c:v>22108287.928387847</c:v>
                </c:pt>
                <c:pt idx="115">
                  <c:v>18755250.160005346</c:v>
                </c:pt>
                <c:pt idx="116">
                  <c:v>21719546.844750348</c:v>
                </c:pt>
                <c:pt idx="117">
                  <c:v>22961202.968700346</c:v>
                </c:pt>
                <c:pt idx="118">
                  <c:v>23654108.634817846</c:v>
                </c:pt>
                <c:pt idx="119">
                  <c:v>22921700.750257846</c:v>
                </c:pt>
                <c:pt idx="120">
                  <c:v>22653738.07476015</c:v>
                </c:pt>
                <c:pt idx="121">
                  <c:v>20311859.07476015</c:v>
                </c:pt>
                <c:pt idx="122">
                  <c:v>22553351.07476015</c:v>
                </c:pt>
                <c:pt idx="123">
                  <c:v>17022579.07476015</c:v>
                </c:pt>
                <c:pt idx="124">
                  <c:v>18687813.07476015</c:v>
                </c:pt>
                <c:pt idx="125">
                  <c:v>21452022.07476015</c:v>
                </c:pt>
                <c:pt idx="126">
                  <c:v>23905745.07476015</c:v>
                </c:pt>
                <c:pt idx="127">
                  <c:v>25461774.07476015</c:v>
                </c:pt>
                <c:pt idx="128">
                  <c:v>25562066.07476015</c:v>
                </c:pt>
                <c:pt idx="129">
                  <c:v>25496596.07476015</c:v>
                </c:pt>
                <c:pt idx="130">
                  <c:v>23740830.07476015</c:v>
                </c:pt>
                <c:pt idx="131">
                  <c:v>26320404.07476015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55-42D6-A50E-EC0295DF25FB}"/>
            </c:ext>
          </c:extLst>
        </c:ser>
        <c:ser>
          <c:idx val="2"/>
          <c:order val="1"/>
          <c:tx>
            <c:strRef>
              <c:f>'LU Normalized Monthly'!$M$1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'LU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'LU Normalized Monthly'!$M$2:$M$145</c:f>
              <c:numCache>
                <c:formatCode>_(* #,##0_);_(* \(#,##0\);_(* "-"??_);_(@_)</c:formatCode>
                <c:ptCount val="144"/>
                <c:pt idx="0">
                  <c:v>23046840.78211556</c:v>
                </c:pt>
                <c:pt idx="1">
                  <c:v>21513615.005584531</c:v>
                </c:pt>
                <c:pt idx="2">
                  <c:v>23046840.78211556</c:v>
                </c:pt>
                <c:pt idx="3">
                  <c:v>22280227.893850043</c:v>
                </c:pt>
                <c:pt idx="4">
                  <c:v>23046840.78211556</c:v>
                </c:pt>
                <c:pt idx="5">
                  <c:v>22280227.893850043</c:v>
                </c:pt>
                <c:pt idx="6">
                  <c:v>23046840.78211556</c:v>
                </c:pt>
                <c:pt idx="7">
                  <c:v>23046840.78211556</c:v>
                </c:pt>
                <c:pt idx="8">
                  <c:v>21699745.357847594</c:v>
                </c:pt>
                <c:pt idx="9">
                  <c:v>22466358.24611311</c:v>
                </c:pt>
                <c:pt idx="10">
                  <c:v>22280227.893850043</c:v>
                </c:pt>
                <c:pt idx="11">
                  <c:v>23046840.78211556</c:v>
                </c:pt>
                <c:pt idx="12">
                  <c:v>22993005.100140683</c:v>
                </c:pt>
                <c:pt idx="13">
                  <c:v>20693166.435344141</c:v>
                </c:pt>
                <c:pt idx="14">
                  <c:v>22993005.100140683</c:v>
                </c:pt>
                <c:pt idx="15">
                  <c:v>22226392.211875167</c:v>
                </c:pt>
                <c:pt idx="16">
                  <c:v>22993005.100140683</c:v>
                </c:pt>
                <c:pt idx="17">
                  <c:v>22226392.211875167</c:v>
                </c:pt>
                <c:pt idx="18">
                  <c:v>22993005.100140683</c:v>
                </c:pt>
                <c:pt idx="19">
                  <c:v>22993005.100140683</c:v>
                </c:pt>
                <c:pt idx="20">
                  <c:v>21645909.675872717</c:v>
                </c:pt>
                <c:pt idx="21">
                  <c:v>22412522.564138234</c:v>
                </c:pt>
                <c:pt idx="22">
                  <c:v>22226392.211875167</c:v>
                </c:pt>
                <c:pt idx="23">
                  <c:v>22993005.100140683</c:v>
                </c:pt>
                <c:pt idx="24">
                  <c:v>22978784.353958644</c:v>
                </c:pt>
                <c:pt idx="25">
                  <c:v>20678945.689162102</c:v>
                </c:pt>
                <c:pt idx="26">
                  <c:v>22978784.353958644</c:v>
                </c:pt>
                <c:pt idx="27">
                  <c:v>22212171.465693127</c:v>
                </c:pt>
                <c:pt idx="28">
                  <c:v>22978784.353958644</c:v>
                </c:pt>
                <c:pt idx="29">
                  <c:v>22212171.465693127</c:v>
                </c:pt>
                <c:pt idx="30">
                  <c:v>22978784.353958644</c:v>
                </c:pt>
                <c:pt idx="31">
                  <c:v>22978784.353958644</c:v>
                </c:pt>
                <c:pt idx="32">
                  <c:v>21631688.929690678</c:v>
                </c:pt>
                <c:pt idx="33">
                  <c:v>22398301.817956194</c:v>
                </c:pt>
                <c:pt idx="34">
                  <c:v>22212171.465693127</c:v>
                </c:pt>
                <c:pt idx="35">
                  <c:v>22978784.353958644</c:v>
                </c:pt>
                <c:pt idx="36">
                  <c:v>22971166.097075406</c:v>
                </c:pt>
                <c:pt idx="37">
                  <c:v>20671327.432278864</c:v>
                </c:pt>
                <c:pt idx="38">
                  <c:v>22971166.097075406</c:v>
                </c:pt>
                <c:pt idx="39">
                  <c:v>22204553.20880989</c:v>
                </c:pt>
                <c:pt idx="40">
                  <c:v>22971166.097075406</c:v>
                </c:pt>
                <c:pt idx="41">
                  <c:v>22204553.20880989</c:v>
                </c:pt>
                <c:pt idx="42">
                  <c:v>22971166.097075406</c:v>
                </c:pt>
                <c:pt idx="43">
                  <c:v>22971166.097075406</c:v>
                </c:pt>
                <c:pt idx="44">
                  <c:v>21624070.67280744</c:v>
                </c:pt>
                <c:pt idx="45">
                  <c:v>22390683.561072957</c:v>
                </c:pt>
                <c:pt idx="46">
                  <c:v>22204553.20880989</c:v>
                </c:pt>
                <c:pt idx="47">
                  <c:v>22971166.097075406</c:v>
                </c:pt>
                <c:pt idx="48">
                  <c:v>24768058.953934941</c:v>
                </c:pt>
                <c:pt idx="49">
                  <c:v>23234833.177403912</c:v>
                </c:pt>
                <c:pt idx="50">
                  <c:v>24768058.953934941</c:v>
                </c:pt>
                <c:pt idx="51">
                  <c:v>24001446.065669425</c:v>
                </c:pt>
                <c:pt idx="52">
                  <c:v>24768058.953934941</c:v>
                </c:pt>
                <c:pt idx="53">
                  <c:v>24001446.065669425</c:v>
                </c:pt>
                <c:pt idx="54">
                  <c:v>24768058.953934941</c:v>
                </c:pt>
                <c:pt idx="55">
                  <c:v>24768058.953934941</c:v>
                </c:pt>
                <c:pt idx="56">
                  <c:v>23420963.529666975</c:v>
                </c:pt>
                <c:pt idx="57">
                  <c:v>24187576.417932492</c:v>
                </c:pt>
                <c:pt idx="58">
                  <c:v>24001446.065669425</c:v>
                </c:pt>
                <c:pt idx="59">
                  <c:v>24768058.953934941</c:v>
                </c:pt>
                <c:pt idx="60">
                  <c:v>24312487.192317359</c:v>
                </c:pt>
                <c:pt idx="61">
                  <c:v>22012648.527520817</c:v>
                </c:pt>
                <c:pt idx="62">
                  <c:v>24312487.192317359</c:v>
                </c:pt>
                <c:pt idx="63">
                  <c:v>23545874.304051843</c:v>
                </c:pt>
                <c:pt idx="64">
                  <c:v>24312487.192317359</c:v>
                </c:pt>
                <c:pt idx="65">
                  <c:v>23545874.304051843</c:v>
                </c:pt>
                <c:pt idx="66">
                  <c:v>24312487.192317359</c:v>
                </c:pt>
                <c:pt idx="67">
                  <c:v>24312487.192317359</c:v>
                </c:pt>
                <c:pt idx="68">
                  <c:v>22965391.768049393</c:v>
                </c:pt>
                <c:pt idx="69">
                  <c:v>23732004.656314909</c:v>
                </c:pt>
                <c:pt idx="70">
                  <c:v>23545874.304051843</c:v>
                </c:pt>
                <c:pt idx="71">
                  <c:v>24312487.192317359</c:v>
                </c:pt>
                <c:pt idx="72">
                  <c:v>24259159.3941347</c:v>
                </c:pt>
                <c:pt idx="73">
                  <c:v>21959320.729338158</c:v>
                </c:pt>
                <c:pt idx="74">
                  <c:v>24259159.3941347</c:v>
                </c:pt>
                <c:pt idx="75">
                  <c:v>23492546.505869184</c:v>
                </c:pt>
                <c:pt idx="76">
                  <c:v>24259159.3941347</c:v>
                </c:pt>
                <c:pt idx="77">
                  <c:v>23492546.505869184</c:v>
                </c:pt>
                <c:pt idx="78">
                  <c:v>24259159.3941347</c:v>
                </c:pt>
                <c:pt idx="79">
                  <c:v>24259159.3941347</c:v>
                </c:pt>
                <c:pt idx="80">
                  <c:v>22912063.969866734</c:v>
                </c:pt>
                <c:pt idx="81">
                  <c:v>23678676.858132251</c:v>
                </c:pt>
                <c:pt idx="82">
                  <c:v>23492546.505869184</c:v>
                </c:pt>
                <c:pt idx="83">
                  <c:v>24259159.3941347</c:v>
                </c:pt>
                <c:pt idx="84">
                  <c:v>24247985.950705953</c:v>
                </c:pt>
                <c:pt idx="85">
                  <c:v>21948147.285909411</c:v>
                </c:pt>
                <c:pt idx="86">
                  <c:v>24247985.950705953</c:v>
                </c:pt>
                <c:pt idx="87">
                  <c:v>23481373.062440436</c:v>
                </c:pt>
                <c:pt idx="88">
                  <c:v>24247985.950705953</c:v>
                </c:pt>
                <c:pt idx="89">
                  <c:v>23481373.062440436</c:v>
                </c:pt>
                <c:pt idx="90">
                  <c:v>24247985.950705953</c:v>
                </c:pt>
                <c:pt idx="91">
                  <c:v>24247985.950705953</c:v>
                </c:pt>
                <c:pt idx="92">
                  <c:v>22900890.526437987</c:v>
                </c:pt>
                <c:pt idx="93">
                  <c:v>23667503.414703503</c:v>
                </c:pt>
                <c:pt idx="94">
                  <c:v>23481373.062440436</c:v>
                </c:pt>
                <c:pt idx="95">
                  <c:v>24247985.950705953</c:v>
                </c:pt>
                <c:pt idx="96">
                  <c:v>24180945.290133465</c:v>
                </c:pt>
                <c:pt idx="97">
                  <c:v>22647719.513602436</c:v>
                </c:pt>
                <c:pt idx="98">
                  <c:v>24180945.290133465</c:v>
                </c:pt>
                <c:pt idx="99">
                  <c:v>23414332.401867948</c:v>
                </c:pt>
                <c:pt idx="100">
                  <c:v>24180945.290133465</c:v>
                </c:pt>
                <c:pt idx="101">
                  <c:v>23414332.401867948</c:v>
                </c:pt>
                <c:pt idx="102">
                  <c:v>24180945.290133465</c:v>
                </c:pt>
                <c:pt idx="103">
                  <c:v>24180945.290133465</c:v>
                </c:pt>
                <c:pt idx="104">
                  <c:v>22833849.865865499</c:v>
                </c:pt>
                <c:pt idx="105">
                  <c:v>23600462.754131015</c:v>
                </c:pt>
                <c:pt idx="106">
                  <c:v>23414332.401867948</c:v>
                </c:pt>
                <c:pt idx="107">
                  <c:v>24180945.290133465</c:v>
                </c:pt>
                <c:pt idx="108">
                  <c:v>24160122.054652616</c:v>
                </c:pt>
                <c:pt idx="109">
                  <c:v>21860283.389856074</c:v>
                </c:pt>
                <c:pt idx="110">
                  <c:v>24160122.054652616</c:v>
                </c:pt>
                <c:pt idx="111">
                  <c:v>23393509.1663871</c:v>
                </c:pt>
                <c:pt idx="112">
                  <c:v>24160122.054652616</c:v>
                </c:pt>
                <c:pt idx="113">
                  <c:v>23393509.1663871</c:v>
                </c:pt>
                <c:pt idx="114">
                  <c:v>24160122.054652616</c:v>
                </c:pt>
                <c:pt idx="115">
                  <c:v>24160122.054652616</c:v>
                </c:pt>
                <c:pt idx="116">
                  <c:v>22813026.63038465</c:v>
                </c:pt>
                <c:pt idx="117">
                  <c:v>23579639.518650167</c:v>
                </c:pt>
                <c:pt idx="118">
                  <c:v>23393509.1663871</c:v>
                </c:pt>
                <c:pt idx="119">
                  <c:v>24160122.054652616</c:v>
                </c:pt>
                <c:pt idx="120">
                  <c:v>24207856.782573499</c:v>
                </c:pt>
                <c:pt idx="121">
                  <c:v>21908018.117776956</c:v>
                </c:pt>
                <c:pt idx="122">
                  <c:v>24207856.782573499</c:v>
                </c:pt>
                <c:pt idx="123">
                  <c:v>23441243.894307982</c:v>
                </c:pt>
                <c:pt idx="124">
                  <c:v>24207856.782573499</c:v>
                </c:pt>
                <c:pt idx="125">
                  <c:v>23441243.894307982</c:v>
                </c:pt>
                <c:pt idx="126">
                  <c:v>24207856.782573499</c:v>
                </c:pt>
                <c:pt idx="127">
                  <c:v>24207856.782573499</c:v>
                </c:pt>
                <c:pt idx="128">
                  <c:v>22860761.358305532</c:v>
                </c:pt>
                <c:pt idx="129">
                  <c:v>23627374.246571049</c:v>
                </c:pt>
                <c:pt idx="130">
                  <c:v>23441243.894307982</c:v>
                </c:pt>
                <c:pt idx="131">
                  <c:v>24207856.782573499</c:v>
                </c:pt>
                <c:pt idx="132">
                  <c:v>24217345.531023636</c:v>
                </c:pt>
                <c:pt idx="133">
                  <c:v>21917506.866227094</c:v>
                </c:pt>
                <c:pt idx="134">
                  <c:v>24217345.531023636</c:v>
                </c:pt>
                <c:pt idx="135">
                  <c:v>23450732.64275812</c:v>
                </c:pt>
                <c:pt idx="136">
                  <c:v>24217345.531023636</c:v>
                </c:pt>
                <c:pt idx="137">
                  <c:v>23450732.64275812</c:v>
                </c:pt>
                <c:pt idx="138">
                  <c:v>24217345.531023636</c:v>
                </c:pt>
                <c:pt idx="139">
                  <c:v>24217345.531023636</c:v>
                </c:pt>
                <c:pt idx="140">
                  <c:v>22870250.10675567</c:v>
                </c:pt>
                <c:pt idx="141">
                  <c:v>23636862.995021187</c:v>
                </c:pt>
                <c:pt idx="142">
                  <c:v>23450732.64275812</c:v>
                </c:pt>
                <c:pt idx="143">
                  <c:v>24217345.531023636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55-42D6-A50E-EC0295DF2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Summary'!$C$5:$C$16</c:f>
              <c:numCache>
                <c:formatCode>#,##0</c:formatCode>
                <c:ptCount val="12"/>
                <c:pt idx="0">
                  <c:v>256220600.70393044</c:v>
                </c:pt>
                <c:pt idx="1">
                  <c:v>255389581.63213682</c:v>
                </c:pt>
                <c:pt idx="2">
                  <c:v>248491220.29588568</c:v>
                </c:pt>
                <c:pt idx="3">
                  <c:v>247531814.84014043</c:v>
                </c:pt>
                <c:pt idx="4">
                  <c:v>254829614.94449431</c:v>
                </c:pt>
                <c:pt idx="5">
                  <c:v>243695247.75932932</c:v>
                </c:pt>
                <c:pt idx="6">
                  <c:v>259006063.99240005</c:v>
                </c:pt>
                <c:pt idx="7">
                  <c:v>251122549</c:v>
                </c:pt>
                <c:pt idx="8">
                  <c:v>270338602</c:v>
                </c:pt>
                <c:pt idx="9">
                  <c:v>275475848.21988314</c:v>
                </c:pt>
                <c:pt idx="10">
                  <c:v>274162832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6-42B4-80A5-0EAB2F6E7D47}"/>
            </c:ext>
          </c:extLst>
        </c:ser>
        <c:ser>
          <c:idx val="2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Summary'!$E$5:$E$16</c:f>
              <c:numCache>
                <c:formatCode>#,##0</c:formatCode>
                <c:ptCount val="12"/>
                <c:pt idx="0">
                  <c:v>257869306.08309445</c:v>
                </c:pt>
                <c:pt idx="1">
                  <c:v>257847061.41083631</c:v>
                </c:pt>
                <c:pt idx="2">
                  <c:v>252161003.50009099</c:v>
                </c:pt>
                <c:pt idx="3">
                  <c:v>252472940.02763164</c:v>
                </c:pt>
                <c:pt idx="4">
                  <c:v>261879307.49471176</c:v>
                </c:pt>
                <c:pt idx="5">
                  <c:v>255917676.66989917</c:v>
                </c:pt>
                <c:pt idx="6">
                  <c:v>274156480.89960718</c:v>
                </c:pt>
                <c:pt idx="7">
                  <c:v>267147932.46974608</c:v>
                </c:pt>
                <c:pt idx="8">
                  <c:v>286141751.98416203</c:v>
                </c:pt>
                <c:pt idx="9">
                  <c:v>290863007.77535892</c:v>
                </c:pt>
                <c:pt idx="10">
                  <c:v>289765135.91839689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6-42B4-80A5-0EAB2F6E7D47}"/>
            </c:ext>
          </c:extLst>
        </c:ser>
        <c:ser>
          <c:idx val="0"/>
          <c:order val="2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Summary'!$I$5:$I$16</c:f>
              <c:numCache>
                <c:formatCode>#,##0</c:formatCode>
                <c:ptCount val="12"/>
                <c:pt idx="0">
                  <c:v>257649289.74166486</c:v>
                </c:pt>
                <c:pt idx="1">
                  <c:v>257936368.75626245</c:v>
                </c:pt>
                <c:pt idx="2">
                  <c:v>257443087.87702811</c:v>
                </c:pt>
                <c:pt idx="3">
                  <c:v>256753604.94180626</c:v>
                </c:pt>
                <c:pt idx="4">
                  <c:v>256488041.71182716</c:v>
                </c:pt>
                <c:pt idx="5">
                  <c:v>252770109.61587039</c:v>
                </c:pt>
                <c:pt idx="6">
                  <c:v>252014180.56990445</c:v>
                </c:pt>
                <c:pt idx="7">
                  <c:v>254366269.0167712</c:v>
                </c:pt>
                <c:pt idx="8">
                  <c:v>270896308.70667613</c:v>
                </c:pt>
                <c:pt idx="9">
                  <c:v>279573424.92405629</c:v>
                </c:pt>
                <c:pt idx="10">
                  <c:v>273430741.21494454</c:v>
                </c:pt>
                <c:pt idx="11">
                  <c:v>268166276.74499565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6-42B4-80A5-0EAB2F6E7D47}"/>
            </c:ext>
          </c:extLst>
        </c:ser>
        <c:ser>
          <c:idx val="3"/>
          <c:order val="3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259297995.1208289</c:v>
                </c:pt>
                <c:pt idx="1">
                  <c:v>260393848.534962</c:v>
                </c:pt>
                <c:pt idx="2">
                  <c:v>261112871.08123338</c:v>
                </c:pt>
                <c:pt idx="3">
                  <c:v>261694730.12929749</c:v>
                </c:pt>
                <c:pt idx="4">
                  <c:v>263537734.26204458</c:v>
                </c:pt>
                <c:pt idx="5">
                  <c:v>264992538.52644023</c:v>
                </c:pt>
                <c:pt idx="6">
                  <c:v>267164597.47711161</c:v>
                </c:pt>
                <c:pt idx="7">
                  <c:v>270391652.48651719</c:v>
                </c:pt>
                <c:pt idx="8">
                  <c:v>286699458.69083816</c:v>
                </c:pt>
                <c:pt idx="9">
                  <c:v>294960684.479532</c:v>
                </c:pt>
                <c:pt idx="10">
                  <c:v>289033045.13334149</c:v>
                </c:pt>
                <c:pt idx="11">
                  <c:v>283665551.05661929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66-42B4-80A5-0EAB2F6E7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Summary'!$L$5:$L$16</c:f>
              <c:numCache>
                <c:formatCode>#,##0</c:formatCode>
                <c:ptCount val="12"/>
                <c:pt idx="0">
                  <c:v>103403739.78670518</c:v>
                </c:pt>
                <c:pt idx="1">
                  <c:v>103284258.79809758</c:v>
                </c:pt>
                <c:pt idx="2">
                  <c:v>103923430.55572671</c:v>
                </c:pt>
                <c:pt idx="3">
                  <c:v>104997600.1746619</c:v>
                </c:pt>
                <c:pt idx="4">
                  <c:v>103858080.64192553</c:v>
                </c:pt>
                <c:pt idx="5">
                  <c:v>99503004.427166715</c:v>
                </c:pt>
                <c:pt idx="6">
                  <c:v>101399119.8590284</c:v>
                </c:pt>
                <c:pt idx="7">
                  <c:v>101723563</c:v>
                </c:pt>
                <c:pt idx="8">
                  <c:v>94820549.66929999</c:v>
                </c:pt>
                <c:pt idx="9">
                  <c:v>98943526.028734013</c:v>
                </c:pt>
                <c:pt idx="10">
                  <c:v>103737562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D-4EA0-9772-5397282EF96F}"/>
            </c:ext>
          </c:extLst>
        </c:ser>
        <c:ser>
          <c:idx val="2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Summary'!$N$5:$N$16</c:f>
              <c:numCache>
                <c:formatCode>#,##0</c:formatCode>
                <c:ptCount val="12"/>
                <c:pt idx="0">
                  <c:v>104268159.33148342</c:v>
                </c:pt>
                <c:pt idx="1">
                  <c:v>104972493.37099701</c:v>
                </c:pt>
                <c:pt idx="2">
                  <c:v>106264756.09373076</c:v>
                </c:pt>
                <c:pt idx="3">
                  <c:v>107955640.79192054</c:v>
                </c:pt>
                <c:pt idx="4">
                  <c:v>107393352.63537197</c:v>
                </c:pt>
                <c:pt idx="5">
                  <c:v>102664514.77493219</c:v>
                </c:pt>
                <c:pt idx="6">
                  <c:v>105367441.44738773</c:v>
                </c:pt>
                <c:pt idx="7">
                  <c:v>106090220.65794849</c:v>
                </c:pt>
                <c:pt idx="8">
                  <c:v>99650476.84197709</c:v>
                </c:pt>
                <c:pt idx="9">
                  <c:v>104309581.01393077</c:v>
                </c:pt>
                <c:pt idx="10">
                  <c:v>109630479.84946035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D-4EA0-9772-5397282EF96F}"/>
            </c:ext>
          </c:extLst>
        </c:ser>
        <c:ser>
          <c:idx val="0"/>
          <c:order val="2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105050649.6867222</c:v>
                </c:pt>
                <c:pt idx="1">
                  <c:v>103940041.76151945</c:v>
                </c:pt>
                <c:pt idx="2">
                  <c:v>103326196.14022593</c:v>
                </c:pt>
                <c:pt idx="3">
                  <c:v>103846589.74062814</c:v>
                </c:pt>
                <c:pt idx="4">
                  <c:v>102989609.50342739</c:v>
                </c:pt>
                <c:pt idx="5">
                  <c:v>103426767.47372641</c:v>
                </c:pt>
                <c:pt idx="6">
                  <c:v>103825492.69174214</c:v>
                </c:pt>
                <c:pt idx="7">
                  <c:v>103268162.66517439</c:v>
                </c:pt>
                <c:pt idx="8">
                  <c:v>97060693.084588528</c:v>
                </c:pt>
                <c:pt idx="9">
                  <c:v>99180166.869957507</c:v>
                </c:pt>
                <c:pt idx="10">
                  <c:v>103555595.86270002</c:v>
                </c:pt>
                <c:pt idx="11">
                  <c:v>105384033.66342761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D-4EA0-9772-5397282EF96F}"/>
            </c:ext>
          </c:extLst>
        </c:ser>
        <c:ser>
          <c:idx val="3"/>
          <c:order val="3"/>
          <c:tx>
            <c:strRef>
              <c:f>'Normalized Annual Summary'!$P$3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105915069.23150042</c:v>
                </c:pt>
                <c:pt idx="1">
                  <c:v>105628276.33441885</c:v>
                </c:pt>
                <c:pt idx="2">
                  <c:v>105667521.67823002</c:v>
                </c:pt>
                <c:pt idx="3">
                  <c:v>106804630.35788676</c:v>
                </c:pt>
                <c:pt idx="4">
                  <c:v>106524881.49687386</c:v>
                </c:pt>
                <c:pt idx="5">
                  <c:v>106588277.8214919</c:v>
                </c:pt>
                <c:pt idx="6">
                  <c:v>107793814.28010145</c:v>
                </c:pt>
                <c:pt idx="7">
                  <c:v>107634820.32312289</c:v>
                </c:pt>
                <c:pt idx="8">
                  <c:v>101890620.25726563</c:v>
                </c:pt>
                <c:pt idx="9">
                  <c:v>104546221.85515428</c:v>
                </c:pt>
                <c:pt idx="10">
                  <c:v>109448513.71216038</c:v>
                </c:pt>
                <c:pt idx="11">
                  <c:v>111188855.01759173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ED-4EA0-9772-5397282EF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8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Data'!$DA$1</c:f>
              <c:strCache>
                <c:ptCount val="1"/>
                <c:pt idx="0">
                  <c:v>AvgGSgt50PD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'Monthly Data'!$AW$2:$AW$133</c:f>
              <c:numCache>
                <c:formatCode>0.00</c:formatCode>
                <c:ptCount val="132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>
                  <c:v>-7.4193548387096714E-2</c:v>
                </c:pt>
                <c:pt idx="97">
                  <c:v>-2.1517241379310343</c:v>
                </c:pt>
                <c:pt idx="98">
                  <c:v>3.3000000000000003</c:v>
                </c:pt>
                <c:pt idx="99">
                  <c:v>5.4466666666666672</c:v>
                </c:pt>
                <c:pt idx="100">
                  <c:v>12.067741935483872</c:v>
                </c:pt>
                <c:pt idx="101">
                  <c:v>19.163333333333334</c:v>
                </c:pt>
                <c:pt idx="102">
                  <c:v>23.132258064516133</c:v>
                </c:pt>
                <c:pt idx="103">
                  <c:v>20.806451612903221</c:v>
                </c:pt>
                <c:pt idx="104">
                  <c:v>15.929999999999998</c:v>
                </c:pt>
                <c:pt idx="105">
                  <c:v>9.6838709677419335</c:v>
                </c:pt>
                <c:pt idx="106">
                  <c:v>7.126666666666666</c:v>
                </c:pt>
                <c:pt idx="107">
                  <c:v>0.40645161290322557</c:v>
                </c:pt>
                <c:pt idx="108">
                  <c:v>-1.9096774193548387</c:v>
                </c:pt>
                <c:pt idx="109">
                  <c:v>-5.4857142857142867</c:v>
                </c:pt>
                <c:pt idx="110">
                  <c:v>4.112903225806452</c:v>
                </c:pt>
                <c:pt idx="111">
                  <c:v>8.73</c:v>
                </c:pt>
                <c:pt idx="112">
                  <c:v>12.941935483870967</c:v>
                </c:pt>
                <c:pt idx="113">
                  <c:v>20.99</c:v>
                </c:pt>
                <c:pt idx="114">
                  <c:v>20.816129032258065</c:v>
                </c:pt>
                <c:pt idx="115">
                  <c:v>22.119354838709679</c:v>
                </c:pt>
                <c:pt idx="116">
                  <c:v>17.493333333333329</c:v>
                </c:pt>
                <c:pt idx="117">
                  <c:v>14.39032258064516</c:v>
                </c:pt>
                <c:pt idx="118">
                  <c:v>3.8966666666666674</c:v>
                </c:pt>
                <c:pt idx="119">
                  <c:v>1.9548387096774196</c:v>
                </c:pt>
                <c:pt idx="120">
                  <c:v>-6.9612903225806457</c:v>
                </c:pt>
                <c:pt idx="121">
                  <c:v>-3.6642857142857137</c:v>
                </c:pt>
                <c:pt idx="122">
                  <c:v>1.667741935483871</c:v>
                </c:pt>
                <c:pt idx="123">
                  <c:v>6.0733333333333341</c:v>
                </c:pt>
                <c:pt idx="124">
                  <c:v>14.835483870967742</c:v>
                </c:pt>
                <c:pt idx="125">
                  <c:v>18.759999999999998</c:v>
                </c:pt>
                <c:pt idx="126">
                  <c:v>21.93225806451613</c:v>
                </c:pt>
                <c:pt idx="127">
                  <c:v>21.41935483870968</c:v>
                </c:pt>
                <c:pt idx="128">
                  <c:v>17.456666666666667</c:v>
                </c:pt>
                <c:pt idx="129">
                  <c:v>10.606451612903225</c:v>
                </c:pt>
                <c:pt idx="130">
                  <c:v>5.69</c:v>
                </c:pt>
                <c:pt idx="131">
                  <c:v>-0.2741935483870967</c:v>
                </c:pt>
              </c:numCache>
            </c:numRef>
          </c:xVal>
          <c:yVal>
            <c:numRef>
              <c:f>'Monthly Data'!$DA$2:$DA$133</c:f>
              <c:numCache>
                <c:formatCode>_(* #,##0_);_(* \(#,##0\);_(* "-"??_);_(@_)</c:formatCode>
                <c:ptCount val="132"/>
                <c:pt idx="0">
                  <c:v>2376.2225502422939</c:v>
                </c:pt>
                <c:pt idx="1">
                  <c:v>2209.9647679956838</c:v>
                </c:pt>
                <c:pt idx="2">
                  <c:v>2090.9943579732135</c:v>
                </c:pt>
                <c:pt idx="3">
                  <c:v>2276.6880804241146</c:v>
                </c:pt>
                <c:pt idx="4">
                  <c:v>1975.1229515424523</c:v>
                </c:pt>
                <c:pt idx="5">
                  <c:v>2145.4533742541271</c:v>
                </c:pt>
                <c:pt idx="6">
                  <c:v>2601.5320665465988</c:v>
                </c:pt>
                <c:pt idx="7">
                  <c:v>2309.7551761456307</c:v>
                </c:pt>
                <c:pt idx="8">
                  <c:v>2254.4383319700391</c:v>
                </c:pt>
                <c:pt idx="9">
                  <c:v>1971.5732069800281</c:v>
                </c:pt>
                <c:pt idx="10">
                  <c:v>1964.2969414085167</c:v>
                </c:pt>
                <c:pt idx="11">
                  <c:v>2516.0016255361265</c:v>
                </c:pt>
                <c:pt idx="12">
                  <c:v>2375.3028554662051</c:v>
                </c:pt>
                <c:pt idx="13">
                  <c:v>2199.759188553528</c:v>
                </c:pt>
                <c:pt idx="14">
                  <c:v>2429.8618017989847</c:v>
                </c:pt>
                <c:pt idx="15">
                  <c:v>1987.6218801916632</c:v>
                </c:pt>
                <c:pt idx="16">
                  <c:v>1977.9315280566441</c:v>
                </c:pt>
                <c:pt idx="17">
                  <c:v>2116.3932773897177</c:v>
                </c:pt>
                <c:pt idx="18">
                  <c:v>2375.6115578008998</c:v>
                </c:pt>
                <c:pt idx="19">
                  <c:v>2304.4095571480752</c:v>
                </c:pt>
                <c:pt idx="20">
                  <c:v>2102.3306877804789</c:v>
                </c:pt>
                <c:pt idx="21">
                  <c:v>2115.6751137301403</c:v>
                </c:pt>
                <c:pt idx="22">
                  <c:v>2200.1017907269506</c:v>
                </c:pt>
                <c:pt idx="23">
                  <c:v>2656.9387072394375</c:v>
                </c:pt>
                <c:pt idx="24">
                  <c:v>2402.5850648281735</c:v>
                </c:pt>
                <c:pt idx="25">
                  <c:v>2586.4530301007831</c:v>
                </c:pt>
                <c:pt idx="26">
                  <c:v>2558.6293045175612</c:v>
                </c:pt>
                <c:pt idx="27">
                  <c:v>2270.4326928119931</c:v>
                </c:pt>
                <c:pt idx="28">
                  <c:v>1996.2894441481756</c:v>
                </c:pt>
                <c:pt idx="29">
                  <c:v>2261.0787346457682</c:v>
                </c:pt>
                <c:pt idx="30">
                  <c:v>2352.7732539865738</c:v>
                </c:pt>
                <c:pt idx="31">
                  <c:v>2458.9024984859757</c:v>
                </c:pt>
                <c:pt idx="32">
                  <c:v>2225.8561414880619</c:v>
                </c:pt>
                <c:pt idx="33">
                  <c:v>2195.8719116398283</c:v>
                </c:pt>
                <c:pt idx="34">
                  <c:v>2441.1061790288313</c:v>
                </c:pt>
                <c:pt idx="35">
                  <c:v>2467.1437760653585</c:v>
                </c:pt>
                <c:pt idx="36">
                  <c:v>2692.483957993737</c:v>
                </c:pt>
                <c:pt idx="37">
                  <c:v>2788.6622959888796</c:v>
                </c:pt>
                <c:pt idx="38">
                  <c:v>2351.1115630697373</c:v>
                </c:pt>
                <c:pt idx="39">
                  <c:v>2316.0906031407931</c:v>
                </c:pt>
                <c:pt idx="40">
                  <c:v>2379.9497000298225</c:v>
                </c:pt>
                <c:pt idx="41">
                  <c:v>2185.8531926481937</c:v>
                </c:pt>
                <c:pt idx="42">
                  <c:v>2494.5149414134758</c:v>
                </c:pt>
                <c:pt idx="43">
                  <c:v>2622.8228339619436</c:v>
                </c:pt>
                <c:pt idx="44">
                  <c:v>2428.3005032507272</c:v>
                </c:pt>
                <c:pt idx="45">
                  <c:v>2290.934140045666</c:v>
                </c:pt>
                <c:pt idx="46">
                  <c:v>2150.629633093909</c:v>
                </c:pt>
                <c:pt idx="47">
                  <c:v>2464.0499062108302</c:v>
                </c:pt>
                <c:pt idx="48">
                  <c:v>2773.1155752632553</c:v>
                </c:pt>
                <c:pt idx="49">
                  <c:v>2523.6111067640509</c:v>
                </c:pt>
                <c:pt idx="50">
                  <c:v>2371.5869445385447</c:v>
                </c:pt>
                <c:pt idx="51">
                  <c:v>2229.101851731913</c:v>
                </c:pt>
                <c:pt idx="52">
                  <c:v>2408.1341950949309</c:v>
                </c:pt>
                <c:pt idx="53">
                  <c:v>2349.90833775892</c:v>
                </c:pt>
                <c:pt idx="54">
                  <c:v>2804.0154697039898</c:v>
                </c:pt>
                <c:pt idx="55">
                  <c:v>2692.7325675203701</c:v>
                </c:pt>
                <c:pt idx="56">
                  <c:v>2413.8002534353536</c:v>
                </c:pt>
                <c:pt idx="57">
                  <c:v>2478.7380400442189</c:v>
                </c:pt>
                <c:pt idx="58">
                  <c:v>2165.6744910930047</c:v>
                </c:pt>
                <c:pt idx="59">
                  <c:v>2620.7516973761462</c:v>
                </c:pt>
                <c:pt idx="60">
                  <c:v>2415.370529572112</c:v>
                </c:pt>
                <c:pt idx="61">
                  <c:v>2533.1665476990179</c:v>
                </c:pt>
                <c:pt idx="62">
                  <c:v>2197.4580983452734</c:v>
                </c:pt>
                <c:pt idx="63">
                  <c:v>2339.3793315015587</c:v>
                </c:pt>
                <c:pt idx="64">
                  <c:v>2053.563923553791</c:v>
                </c:pt>
                <c:pt idx="65">
                  <c:v>2227.8864660416662</c:v>
                </c:pt>
                <c:pt idx="66">
                  <c:v>2710.0085662247757</c:v>
                </c:pt>
                <c:pt idx="67">
                  <c:v>2322.9427605860374</c:v>
                </c:pt>
                <c:pt idx="68">
                  <c:v>2382.6924360887142</c:v>
                </c:pt>
                <c:pt idx="69">
                  <c:v>2203.9979220746027</c:v>
                </c:pt>
                <c:pt idx="70">
                  <c:v>2142.143975660832</c:v>
                </c:pt>
                <c:pt idx="71">
                  <c:v>2568.8437061204418</c:v>
                </c:pt>
                <c:pt idx="72">
                  <c:v>2466.335682404474</c:v>
                </c:pt>
                <c:pt idx="73">
                  <c:v>2539.5294539090673</c:v>
                </c:pt>
                <c:pt idx="74">
                  <c:v>2391.9787277022738</c:v>
                </c:pt>
                <c:pt idx="75">
                  <c:v>2193.5469441880678</c:v>
                </c:pt>
                <c:pt idx="76">
                  <c:v>2152.239107264922</c:v>
                </c:pt>
                <c:pt idx="77">
                  <c:v>2177.514393775542</c:v>
                </c:pt>
                <c:pt idx="78">
                  <c:v>2520.3790491948048</c:v>
                </c:pt>
                <c:pt idx="79">
                  <c:v>2491.978939437201</c:v>
                </c:pt>
                <c:pt idx="80">
                  <c:v>2569.0653865008949</c:v>
                </c:pt>
                <c:pt idx="81">
                  <c:v>2124.1879212993572</c:v>
                </c:pt>
                <c:pt idx="82">
                  <c:v>2193.0081603110852</c:v>
                </c:pt>
                <c:pt idx="83">
                  <c:v>2460.656418344935</c:v>
                </c:pt>
                <c:pt idx="84">
                  <c:v>2473.8040403246255</c:v>
                </c:pt>
                <c:pt idx="85">
                  <c:v>2670.7886940649364</c:v>
                </c:pt>
                <c:pt idx="86">
                  <c:v>2412.8908245462771</c:v>
                </c:pt>
                <c:pt idx="87">
                  <c:v>2297.0348927859345</c:v>
                </c:pt>
                <c:pt idx="88">
                  <c:v>2430.535782846021</c:v>
                </c:pt>
                <c:pt idx="89">
                  <c:v>2197.6138314451018</c:v>
                </c:pt>
                <c:pt idx="90">
                  <c:v>2611.3987553087381</c:v>
                </c:pt>
                <c:pt idx="91">
                  <c:v>2766.4318324126621</c:v>
                </c:pt>
                <c:pt idx="92">
                  <c:v>2411.9962973703477</c:v>
                </c:pt>
                <c:pt idx="93">
                  <c:v>2353.6440321361088</c:v>
                </c:pt>
                <c:pt idx="94">
                  <c:v>2463.2889297646766</c:v>
                </c:pt>
                <c:pt idx="95">
                  <c:v>2535.296284744797</c:v>
                </c:pt>
                <c:pt idx="96">
                  <c:v>2559.4689263382434</c:v>
                </c:pt>
                <c:pt idx="97">
                  <c:v>2803.0675340264725</c:v>
                </c:pt>
                <c:pt idx="98">
                  <c:v>2288.7461076877858</c:v>
                </c:pt>
                <c:pt idx="99">
                  <c:v>2095.0856466889354</c:v>
                </c:pt>
                <c:pt idx="100">
                  <c:v>2280.3146770751532</c:v>
                </c:pt>
                <c:pt idx="101">
                  <c:v>2221.1701277557281</c:v>
                </c:pt>
                <c:pt idx="102">
                  <c:v>2538.8584076529355</c:v>
                </c:pt>
                <c:pt idx="103">
                  <c:v>2677.354567734003</c:v>
                </c:pt>
                <c:pt idx="104">
                  <c:v>2286.7990003267037</c:v>
                </c:pt>
                <c:pt idx="105">
                  <c:v>2292.3473909835625</c:v>
                </c:pt>
                <c:pt idx="106">
                  <c:v>2323.0458005589912</c:v>
                </c:pt>
                <c:pt idx="107">
                  <c:v>2472.5719731958329</c:v>
                </c:pt>
                <c:pt idx="108">
                  <c:v>2632.6642610884205</c:v>
                </c:pt>
                <c:pt idx="109">
                  <c:v>2681.6037765700394</c:v>
                </c:pt>
                <c:pt idx="110">
                  <c:v>2201.2754677359048</c:v>
                </c:pt>
                <c:pt idx="111">
                  <c:v>2142.2968433362266</c:v>
                </c:pt>
                <c:pt idx="112">
                  <c:v>2331.0089276665603</c:v>
                </c:pt>
                <c:pt idx="113">
                  <c:v>2294.6787733267552</c:v>
                </c:pt>
                <c:pt idx="114">
                  <c:v>2531.1663532866728</c:v>
                </c:pt>
                <c:pt idx="115">
                  <c:v>2790.8182314576729</c:v>
                </c:pt>
                <c:pt idx="116">
                  <c:v>2451.5828663510051</c:v>
                </c:pt>
                <c:pt idx="117">
                  <c:v>2443.5594650976723</c:v>
                </c:pt>
                <c:pt idx="118">
                  <c:v>2202.2432170914553</c:v>
                </c:pt>
                <c:pt idx="119">
                  <c:v>2373.8308639118859</c:v>
                </c:pt>
                <c:pt idx="120">
                  <c:v>2727.836192262213</c:v>
                </c:pt>
                <c:pt idx="121">
                  <c:v>2677.6568617126536</c:v>
                </c:pt>
                <c:pt idx="122">
                  <c:v>2305.5720893813295</c:v>
                </c:pt>
                <c:pt idx="123">
                  <c:v>2389.8552928445552</c:v>
                </c:pt>
                <c:pt idx="124">
                  <c:v>2325.338503186581</c:v>
                </c:pt>
                <c:pt idx="125">
                  <c:v>2314.5869425227047</c:v>
                </c:pt>
                <c:pt idx="126">
                  <c:v>2747.0307985276318</c:v>
                </c:pt>
                <c:pt idx="127">
                  <c:v>2499.7607209800367</c:v>
                </c:pt>
                <c:pt idx="128">
                  <c:v>2537.9778615751111</c:v>
                </c:pt>
                <c:pt idx="129">
                  <c:v>2431.3597643892708</c:v>
                </c:pt>
                <c:pt idx="130">
                  <c:v>2250.8737449116552</c:v>
                </c:pt>
                <c:pt idx="131">
                  <c:v>2622.5314446060729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A0-4C9D-899B-303CD28F2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Summary'!$U$5:$U$15</c:f>
              <c:numCache>
                <c:formatCode>#,##0</c:formatCode>
                <c:ptCount val="11"/>
                <c:pt idx="0">
                  <c:v>234251734.89474314</c:v>
                </c:pt>
                <c:pt idx="1">
                  <c:v>233430195.35340962</c:v>
                </c:pt>
                <c:pt idx="2">
                  <c:v>224657845.57076851</c:v>
                </c:pt>
                <c:pt idx="3">
                  <c:v>218194347.05538249</c:v>
                </c:pt>
                <c:pt idx="4">
                  <c:v>216056699.61478987</c:v>
                </c:pt>
                <c:pt idx="5">
                  <c:v>204648181.01987115</c:v>
                </c:pt>
                <c:pt idx="6">
                  <c:v>206166950.13402587</c:v>
                </c:pt>
                <c:pt idx="7">
                  <c:v>203960179.99720001</c:v>
                </c:pt>
                <c:pt idx="8">
                  <c:v>192408295.54519999</c:v>
                </c:pt>
                <c:pt idx="9">
                  <c:v>190301136.7771</c:v>
                </c:pt>
                <c:pt idx="10">
                  <c:v>192460921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F-48A6-BEF2-A4BD96201C0D}"/>
            </c:ext>
          </c:extLst>
        </c:ser>
        <c:ser>
          <c:idx val="2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Summary'!$W$5:$W$15</c:f>
              <c:numCache>
                <c:formatCode>#,##0</c:formatCode>
                <c:ptCount val="11"/>
                <c:pt idx="0">
                  <c:v>239151127.89684987</c:v>
                </c:pt>
                <c:pt idx="1">
                  <c:v>240177229.59342617</c:v>
                </c:pt>
                <c:pt idx="2">
                  <c:v>232884794.90586358</c:v>
                </c:pt>
                <c:pt idx="3">
                  <c:v>229964292.19918424</c:v>
                </c:pt>
                <c:pt idx="4">
                  <c:v>232627564.35048676</c:v>
                </c:pt>
                <c:pt idx="5">
                  <c:v>224954045.18086839</c:v>
                </c:pt>
                <c:pt idx="6">
                  <c:v>230992855.84340546</c:v>
                </c:pt>
                <c:pt idx="7">
                  <c:v>233133780.22896054</c:v>
                </c:pt>
                <c:pt idx="8">
                  <c:v>224366659.57197952</c:v>
                </c:pt>
                <c:pt idx="9">
                  <c:v>224518321.51789057</c:v>
                </c:pt>
                <c:pt idx="10">
                  <c:v>229053397.73431376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F-48A6-BEF2-A4BD96201C0D}"/>
            </c:ext>
          </c:extLst>
        </c:ser>
        <c:ser>
          <c:idx val="0"/>
          <c:order val="2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Summary'!$AA$5:$AA$16</c:f>
              <c:numCache>
                <c:formatCode>#,##0</c:formatCode>
                <c:ptCount val="12"/>
                <c:pt idx="0">
                  <c:v>235159138.94644171</c:v>
                </c:pt>
                <c:pt idx="1">
                  <c:v>232742554.96975967</c:v>
                </c:pt>
                <c:pt idx="2">
                  <c:v>224469127.58384335</c:v>
                </c:pt>
                <c:pt idx="3">
                  <c:v>217830956.78281584</c:v>
                </c:pt>
                <c:pt idx="4">
                  <c:v>212773599.93174067</c:v>
                </c:pt>
                <c:pt idx="5">
                  <c:v>210295017.37852398</c:v>
                </c:pt>
                <c:pt idx="6">
                  <c:v>207155900.05748484</c:v>
                </c:pt>
                <c:pt idx="7">
                  <c:v>199713030.54278296</c:v>
                </c:pt>
                <c:pt idx="8">
                  <c:v>192330743.89984205</c:v>
                </c:pt>
                <c:pt idx="9">
                  <c:v>194304374.11158177</c:v>
                </c:pt>
                <c:pt idx="10">
                  <c:v>191500519.42681405</c:v>
                </c:pt>
                <c:pt idx="11">
                  <c:v>190815052.78498736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F-48A6-BEF2-A4BD96201C0D}"/>
            </c:ext>
          </c:extLst>
        </c:ser>
        <c:ser>
          <c:idx val="3"/>
          <c:order val="3"/>
          <c:tx>
            <c:strRef>
              <c:f>'Normalized Annual Summary'!$Y$3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Summary'!$Y$5:$Y$16</c:f>
              <c:numCache>
                <c:formatCode>#,##0</c:formatCode>
                <c:ptCount val="12"/>
                <c:pt idx="0">
                  <c:v>240058531.94854853</c:v>
                </c:pt>
                <c:pt idx="1">
                  <c:v>239489589.20977625</c:v>
                </c:pt>
                <c:pt idx="2">
                  <c:v>232696076.91893849</c:v>
                </c:pt>
                <c:pt idx="3">
                  <c:v>229600901.92661756</c:v>
                </c:pt>
                <c:pt idx="4">
                  <c:v>229344464.66743755</c:v>
                </c:pt>
                <c:pt idx="5">
                  <c:v>230600881.53952122</c:v>
                </c:pt>
                <c:pt idx="6">
                  <c:v>231981805.76686442</c:v>
                </c:pt>
                <c:pt idx="7">
                  <c:v>228886630.77454352</c:v>
                </c:pt>
                <c:pt idx="8">
                  <c:v>224289107.92662156</c:v>
                </c:pt>
                <c:pt idx="9">
                  <c:v>228521558.85237232</c:v>
                </c:pt>
                <c:pt idx="10">
                  <c:v>228092996.16112787</c:v>
                </c:pt>
                <c:pt idx="11">
                  <c:v>226765404.17980623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AF-48A6-BEF2-A4BD96201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1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Summary'!$AD$5:$AD$15</c:f>
              <c:numCache>
                <c:formatCode>#,##0</c:formatCode>
                <c:ptCount val="11"/>
                <c:pt idx="0">
                  <c:v>126895902.8686</c:v>
                </c:pt>
                <c:pt idx="1">
                  <c:v>132211130.93339999</c:v>
                </c:pt>
                <c:pt idx="2">
                  <c:v>130549125.32099999</c:v>
                </c:pt>
                <c:pt idx="3">
                  <c:v>127712881.49879999</c:v>
                </c:pt>
                <c:pt idx="4">
                  <c:v>124246025.7656</c:v>
                </c:pt>
                <c:pt idx="5">
                  <c:v>123613582.23840001</c:v>
                </c:pt>
                <c:pt idx="6">
                  <c:v>122358953.95090002</c:v>
                </c:pt>
                <c:pt idx="7">
                  <c:v>120082524.1001</c:v>
                </c:pt>
                <c:pt idx="8">
                  <c:v>112049205.35920002</c:v>
                </c:pt>
                <c:pt idx="9">
                  <c:v>120904790.80819997</c:v>
                </c:pt>
                <c:pt idx="10">
                  <c:v>118197172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D-4D72-A9F7-20F03C858B9B}"/>
            </c:ext>
          </c:extLst>
        </c:ser>
        <c:ser>
          <c:idx val="2"/>
          <c:order val="1"/>
          <c:tx>
            <c:strRef>
              <c:f>'Normalized Annual Summary'!$AF$3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Summary'!$AF$5:$AF$15</c:f>
              <c:numCache>
                <c:formatCode>#,##0</c:formatCode>
                <c:ptCount val="11"/>
                <c:pt idx="0">
                  <c:v>126900042.8686</c:v>
                </c:pt>
                <c:pt idx="1">
                  <c:v>132362448.30522306</c:v>
                </c:pt>
                <c:pt idx="2">
                  <c:v>131120550.73664047</c:v>
                </c:pt>
                <c:pt idx="3">
                  <c:v>128729557.67201301</c:v>
                </c:pt>
                <c:pt idx="4">
                  <c:v>125497034.32319345</c:v>
                </c:pt>
                <c:pt idx="5">
                  <c:v>124758803.48966864</c:v>
                </c:pt>
                <c:pt idx="6">
                  <c:v>123650073.96394126</c:v>
                </c:pt>
                <c:pt idx="7">
                  <c:v>122262157.20579487</c:v>
                </c:pt>
                <c:pt idx="8">
                  <c:v>115954023.0706937</c:v>
                </c:pt>
                <c:pt idx="9">
                  <c:v>125876554.27293536</c:v>
                </c:pt>
                <c:pt idx="10">
                  <c:v>123025138.38347955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D-4D72-A9F7-20F03C858B9B}"/>
            </c:ext>
          </c:extLst>
        </c:ser>
        <c:ser>
          <c:idx val="0"/>
          <c:order val="2"/>
          <c:tx>
            <c:strRef>
              <c:f>'Normalized Annual Summary'!$AJ$3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Summary'!$AJ$5:$AJ$16</c:f>
              <c:numCache>
                <c:formatCode>#,##0</c:formatCode>
                <c:ptCount val="12"/>
                <c:pt idx="0">
                  <c:v>129933814.61073753</c:v>
                </c:pt>
                <c:pt idx="1">
                  <c:v>128734053.18588512</c:v>
                </c:pt>
                <c:pt idx="2">
                  <c:v>127598315.620829</c:v>
                </c:pt>
                <c:pt idx="3">
                  <c:v>126437435.34201773</c:v>
                </c:pt>
                <c:pt idx="4">
                  <c:v>125824427.96818914</c:v>
                </c:pt>
                <c:pt idx="5">
                  <c:v>124877631.22148465</c:v>
                </c:pt>
                <c:pt idx="6">
                  <c:v>124016102.93847325</c:v>
                </c:pt>
                <c:pt idx="7">
                  <c:v>122411960.32458094</c:v>
                </c:pt>
                <c:pt idx="8">
                  <c:v>112378643.56061661</c:v>
                </c:pt>
                <c:pt idx="9">
                  <c:v>118188570.92306292</c:v>
                </c:pt>
                <c:pt idx="10">
                  <c:v>117616738.48308</c:v>
                </c:pt>
                <c:pt idx="11">
                  <c:v>116919180.05677593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D-4D72-A9F7-20F03C858B9B}"/>
            </c:ext>
          </c:extLst>
        </c:ser>
        <c:ser>
          <c:idx val="3"/>
          <c:order val="3"/>
          <c:tx>
            <c:strRef>
              <c:f>'Normalized Annual Summary'!$AH$3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Summary'!$AH$5:$AH$16</c:f>
              <c:numCache>
                <c:formatCode>#,##0</c:formatCode>
                <c:ptCount val="12"/>
                <c:pt idx="0">
                  <c:v>129937954.61073753</c:v>
                </c:pt>
                <c:pt idx="1">
                  <c:v>128885370.5577082</c:v>
                </c:pt>
                <c:pt idx="2">
                  <c:v>128169741.03646947</c:v>
                </c:pt>
                <c:pt idx="3">
                  <c:v>127454111.51523073</c:v>
                </c:pt>
                <c:pt idx="4">
                  <c:v>127075436.52578259</c:v>
                </c:pt>
                <c:pt idx="5">
                  <c:v>126022852.47275326</c:v>
                </c:pt>
                <c:pt idx="6">
                  <c:v>125307222.95151453</c:v>
                </c:pt>
                <c:pt idx="7">
                  <c:v>124591593.4302758</c:v>
                </c:pt>
                <c:pt idx="8">
                  <c:v>116283461.27211031</c:v>
                </c:pt>
                <c:pt idx="9">
                  <c:v>123160334.38779832</c:v>
                </c:pt>
                <c:pt idx="10">
                  <c:v>122444704.86655958</c:v>
                </c:pt>
                <c:pt idx="11">
                  <c:v>121729075.34532085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3D-4D72-A9F7-20F03C85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Summary'!$AM$5:$AM$15</c:f>
              <c:numCache>
                <c:formatCode>#,##0</c:formatCode>
                <c:ptCount val="11"/>
                <c:pt idx="0">
                  <c:v>272631443.27339244</c:v>
                </c:pt>
                <c:pt idx="1">
                  <c:v>264004765.672095</c:v>
                </c:pt>
                <c:pt idx="2">
                  <c:v>269591766.27768004</c:v>
                </c:pt>
                <c:pt idx="3">
                  <c:v>272823999.19582504</c:v>
                </c:pt>
                <c:pt idx="4">
                  <c:v>300037282.51909494</c:v>
                </c:pt>
                <c:pt idx="5">
                  <c:v>289478993.77460253</c:v>
                </c:pt>
                <c:pt idx="6">
                  <c:v>287387431.13281</c:v>
                </c:pt>
                <c:pt idx="7">
                  <c:v>290955053</c:v>
                </c:pt>
                <c:pt idx="8">
                  <c:v>281204845.03435504</c:v>
                </c:pt>
                <c:pt idx="9">
                  <c:v>266221942.0420725</c:v>
                </c:pt>
                <c:pt idx="10">
                  <c:v>269705145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B-47C5-B032-8A94FB93D464}"/>
            </c:ext>
          </c:extLst>
        </c:ser>
        <c:ser>
          <c:idx val="2"/>
          <c:order val="1"/>
          <c:tx>
            <c:strRef>
              <c:f>'Normalized Annual Summary'!$AO$3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Summary'!$AO$5:$AO$15</c:f>
              <c:numCache>
                <c:formatCode>#,##0</c:formatCode>
                <c:ptCount val="11"/>
                <c:pt idx="0">
                  <c:v>272631443.27339244</c:v>
                </c:pt>
                <c:pt idx="1">
                  <c:v>264005306.34925723</c:v>
                </c:pt>
                <c:pt idx="2">
                  <c:v>269681245.38271773</c:v>
                </c:pt>
                <c:pt idx="3">
                  <c:v>273034307.56113976</c:v>
                </c:pt>
                <c:pt idx="4">
                  <c:v>300307289.93572527</c:v>
                </c:pt>
                <c:pt idx="5">
                  <c:v>289788608.72380066</c:v>
                </c:pt>
                <c:pt idx="6">
                  <c:v>287692355.77954358</c:v>
                </c:pt>
                <c:pt idx="7">
                  <c:v>291658006.08736944</c:v>
                </c:pt>
                <c:pt idx="8">
                  <c:v>282325026.86410964</c:v>
                </c:pt>
                <c:pt idx="9">
                  <c:v>268469102.73899668</c:v>
                </c:pt>
                <c:pt idx="10">
                  <c:v>273168777.89712179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B-47C5-B032-8A94FB93D464}"/>
            </c:ext>
          </c:extLst>
        </c:ser>
        <c:ser>
          <c:idx val="0"/>
          <c:order val="2"/>
          <c:tx>
            <c:strRef>
              <c:f>'Normalized Annual Summary'!$AS$3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Summary'!$AS$5:$AS$16</c:f>
              <c:numCache>
                <c:formatCode>#,##0</c:formatCode>
                <c:ptCount val="12"/>
                <c:pt idx="0">
                  <c:v>270801446.98378873</c:v>
                </c:pt>
                <c:pt idx="1">
                  <c:v>269388265.23466247</c:v>
                </c:pt>
                <c:pt idx="2">
                  <c:v>269128677.85260248</c:v>
                </c:pt>
                <c:pt idx="3">
                  <c:v>268916429.50972664</c:v>
                </c:pt>
                <c:pt idx="4">
                  <c:v>291186057.62899107</c:v>
                </c:pt>
                <c:pt idx="5">
                  <c:v>284912976.06874663</c:v>
                </c:pt>
                <c:pt idx="6">
                  <c:v>284277732.79301929</c:v>
                </c:pt>
                <c:pt idx="7">
                  <c:v>283745623.0312385</c:v>
                </c:pt>
                <c:pt idx="8">
                  <c:v>283290519.25024903</c:v>
                </c:pt>
                <c:pt idx="9">
                  <c:v>281147048.66904378</c:v>
                </c:pt>
                <c:pt idx="10">
                  <c:v>280503393.2038967</c:v>
                </c:pt>
                <c:pt idx="11">
                  <c:v>280631367.87012482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B-47C5-B032-8A94FB93D464}"/>
            </c:ext>
          </c:extLst>
        </c:ser>
        <c:ser>
          <c:idx val="3"/>
          <c:order val="3"/>
          <c:tx>
            <c:strRef>
              <c:f>'Normalized Annual Summary'!$AQ$3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Summary'!$AQ$5:$AQ$16</c:f>
              <c:numCache>
                <c:formatCode>#,##0</c:formatCode>
                <c:ptCount val="12"/>
                <c:pt idx="0">
                  <c:v>270801446.98378873</c:v>
                </c:pt>
                <c:pt idx="1">
                  <c:v>269388805.9118247</c:v>
                </c:pt>
                <c:pt idx="2">
                  <c:v>269218156.95764023</c:v>
                </c:pt>
                <c:pt idx="3">
                  <c:v>269126737.87504137</c:v>
                </c:pt>
                <c:pt idx="4">
                  <c:v>291456065.04562128</c:v>
                </c:pt>
                <c:pt idx="5">
                  <c:v>285222591.01794481</c:v>
                </c:pt>
                <c:pt idx="6">
                  <c:v>284582657.43975288</c:v>
                </c:pt>
                <c:pt idx="7">
                  <c:v>284448576.11860794</c:v>
                </c:pt>
                <c:pt idx="8">
                  <c:v>284410701.08000362</c:v>
                </c:pt>
                <c:pt idx="9">
                  <c:v>283394209.36596793</c:v>
                </c:pt>
                <c:pt idx="10">
                  <c:v>283967026.10101849</c:v>
                </c:pt>
                <c:pt idx="11">
                  <c:v>284080891.08242017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BB-47C5-B032-8A94FB93D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229999999.9999999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Summary'!$AV$3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Summary'!$AV$5:$AV$15</c:f>
              <c:numCache>
                <c:formatCode>#,##0</c:formatCode>
                <c:ptCount val="11"/>
                <c:pt idx="0">
                  <c:v>9019466.9023068007</c:v>
                </c:pt>
                <c:pt idx="1">
                  <c:v>9144166.018151382</c:v>
                </c:pt>
                <c:pt idx="2">
                  <c:v>8086583.2770350762</c:v>
                </c:pt>
                <c:pt idx="3">
                  <c:v>6427056.8045899998</c:v>
                </c:pt>
                <c:pt idx="4">
                  <c:v>5119606.1326600015</c:v>
                </c:pt>
                <c:pt idx="5">
                  <c:v>4349789.3748699967</c:v>
                </c:pt>
                <c:pt idx="6">
                  <c:v>3664817.2994635967</c:v>
                </c:pt>
                <c:pt idx="7">
                  <c:v>3457005</c:v>
                </c:pt>
                <c:pt idx="8">
                  <c:v>3449208.3879999998</c:v>
                </c:pt>
                <c:pt idx="9">
                  <c:v>3351424.9544093632</c:v>
                </c:pt>
                <c:pt idx="10">
                  <c:v>3056605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B-4AE8-81DD-1954E3C4F1A1}"/>
            </c:ext>
          </c:extLst>
        </c:ser>
        <c:ser>
          <c:idx val="2"/>
          <c:order val="1"/>
          <c:tx>
            <c:strRef>
              <c:f>'Normalized Annual Summary'!$AY$3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Summary'!$AZ$5:$AZ$14,'Normalized Annual Summary'!$AY$15:$AY$16)</c:f>
              <c:numCache>
                <c:formatCode>General</c:formatCode>
                <c:ptCount val="12"/>
                <c:pt idx="10" formatCode="#,##0">
                  <c:v>3056605</c:v>
                </c:pt>
                <c:pt idx="11" formatCode="#,##0">
                  <c:v>3061561.7829879471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B-4AE8-81DD-1954E3C4F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Summary'!$AX$3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Summary'!$AX$5:$AX$15</c:f>
              <c:numCache>
                <c:formatCode>#,##0</c:formatCode>
                <c:ptCount val="11"/>
                <c:pt idx="0">
                  <c:v>900.20629140063875</c:v>
                </c:pt>
                <c:pt idx="1">
                  <c:v>911.72700714406324</c:v>
                </c:pt>
                <c:pt idx="2">
                  <c:v>804.56843814294757</c:v>
                </c:pt>
                <c:pt idx="3">
                  <c:v>641.88193197962607</c:v>
                </c:pt>
                <c:pt idx="4">
                  <c:v>511.03648894848493</c:v>
                </c:pt>
                <c:pt idx="5">
                  <c:v>433.15966688607813</c:v>
                </c:pt>
                <c:pt idx="6">
                  <c:v>364.01853784030692</c:v>
                </c:pt>
                <c:pt idx="7">
                  <c:v>342.26360298667549</c:v>
                </c:pt>
                <c:pt idx="8">
                  <c:v>340.28166542799823</c:v>
                </c:pt>
                <c:pt idx="9">
                  <c:v>329.83219706813929</c:v>
                </c:pt>
                <c:pt idx="10">
                  <c:v>300.3493228083392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1-4CB9-B958-4311E89B0A8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Summary'!$AZ$5:$AZ$14,'Normalized Annual Summary'!$AX$15:$AX$16)</c:f>
              <c:numCache>
                <c:formatCode>General</c:formatCode>
                <c:ptCount val="12"/>
                <c:pt idx="10" formatCode="#,##0">
                  <c:v>300.3493228083392</c:v>
                </c:pt>
                <c:pt idx="11" formatCode="#,##0">
                  <c:v>300.3493228083392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1-4CB9-B958-4311E89B0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Summary'!$BB$3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Summary'!$BB$5:$BB$15</c:f>
              <c:numCache>
                <c:formatCode>#,##0</c:formatCode>
                <c:ptCount val="11"/>
                <c:pt idx="0">
                  <c:v>572652.99600000004</c:v>
                </c:pt>
                <c:pt idx="1">
                  <c:v>547347.48</c:v>
                </c:pt>
                <c:pt idx="2">
                  <c:v>536887.44000000006</c:v>
                </c:pt>
                <c:pt idx="3">
                  <c:v>507379.83599999995</c:v>
                </c:pt>
                <c:pt idx="4">
                  <c:v>497068.96799999988</c:v>
                </c:pt>
                <c:pt idx="5">
                  <c:v>476322.47087148222</c:v>
                </c:pt>
                <c:pt idx="6">
                  <c:v>453200.06129471678</c:v>
                </c:pt>
                <c:pt idx="7">
                  <c:v>474592</c:v>
                </c:pt>
                <c:pt idx="8">
                  <c:v>439110</c:v>
                </c:pt>
                <c:pt idx="9">
                  <c:v>433167.95999999985</c:v>
                </c:pt>
                <c:pt idx="10">
                  <c:v>428801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A-4DD6-94D7-33D4238BA4D6}"/>
            </c:ext>
          </c:extLst>
        </c:ser>
        <c:ser>
          <c:idx val="2"/>
          <c:order val="1"/>
          <c:tx>
            <c:strRef>
              <c:f>'Normalized Annual Summary'!$BE$3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Summary'!$BF$5:$BF$14,'Normalized Annual Summary'!$BE$15:$BE$16)</c:f>
              <c:numCache>
                <c:formatCode>General</c:formatCode>
                <c:ptCount val="12"/>
                <c:pt idx="10" formatCode="#,##0">
                  <c:v>428801</c:v>
                </c:pt>
                <c:pt idx="11" formatCode="#,##0">
                  <c:v>421220.07259579725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A-4DD6-94D7-33D4238B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Summary'!$BD$3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Summary'!$BD$5:$BD$15</c:f>
              <c:numCache>
                <c:formatCode>#,##0</c:formatCode>
                <c:ptCount val="11"/>
                <c:pt idx="0">
                  <c:v>1281.819800783436</c:v>
                </c:pt>
                <c:pt idx="1">
                  <c:v>1280.0954511791074</c:v>
                </c:pt>
                <c:pt idx="2">
                  <c:v>1284.6758285144567</c:v>
                </c:pt>
                <c:pt idx="3">
                  <c:v>1230.7576373559732</c:v>
                </c:pt>
                <c:pt idx="4">
                  <c:v>1220.3002487725039</c:v>
                </c:pt>
                <c:pt idx="5">
                  <c:v>1217.1783753104316</c:v>
                </c:pt>
                <c:pt idx="6">
                  <c:v>1178.6737614947122</c:v>
                </c:pt>
                <c:pt idx="7">
                  <c:v>1232.1730852444828</c:v>
                </c:pt>
                <c:pt idx="8">
                  <c:v>1184.9156734877447</c:v>
                </c:pt>
                <c:pt idx="9">
                  <c:v>1180.5622348398815</c:v>
                </c:pt>
                <c:pt idx="10">
                  <c:v>1177.4855835240273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2-4621-BC70-5FD3C1214547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Summary'!$BF$5:$BF$14,'Normalized Annual Summary'!$BD$15:$BD$16)</c:f>
              <c:numCache>
                <c:formatCode>General</c:formatCode>
                <c:ptCount val="12"/>
                <c:pt idx="10" formatCode="#,##0">
                  <c:v>1177.4855835240273</c:v>
                </c:pt>
                <c:pt idx="11" formatCode="#,##0">
                  <c:v>1177.4855835240273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2-4621-BC70-5FD3C121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Summary'!$BH$3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Summary'!$BH$5:$BH$14</c:f>
              <c:numCache>
                <c:formatCode>#,##0</c:formatCode>
                <c:ptCount val="10"/>
                <c:pt idx="0">
                  <c:v>2229014.4069458004</c:v>
                </c:pt>
                <c:pt idx="1">
                  <c:v>2183026.2609067005</c:v>
                </c:pt>
                <c:pt idx="2">
                  <c:v>2203828.4995907997</c:v>
                </c:pt>
                <c:pt idx="3">
                  <c:v>2211250.1011378998</c:v>
                </c:pt>
                <c:pt idx="4">
                  <c:v>2221666.6957900003</c:v>
                </c:pt>
                <c:pt idx="5">
                  <c:v>2156982.068929255</c:v>
                </c:pt>
                <c:pt idx="6">
                  <c:v>2052963.2462899708</c:v>
                </c:pt>
                <c:pt idx="7">
                  <c:v>2202858</c:v>
                </c:pt>
                <c:pt idx="8">
                  <c:v>2209114</c:v>
                </c:pt>
                <c:pt idx="9">
                  <c:v>2181430.8754999968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D-483C-B256-F56A8E08BA72}"/>
            </c:ext>
          </c:extLst>
        </c:ser>
        <c:ser>
          <c:idx val="2"/>
          <c:order val="1"/>
          <c:tx>
            <c:strRef>
              <c:f>'Normalized Annual Summary'!$BK$3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Summary'!$BL$5:$BL$13,'Normalized Annual Summary'!$BK$14:$BK$16)</c:f>
              <c:numCache>
                <c:formatCode>General</c:formatCode>
                <c:ptCount val="12"/>
                <c:pt idx="9" formatCode="#,##0">
                  <c:v>2181430.8754999968</c:v>
                </c:pt>
                <c:pt idx="10" formatCode="#,##0">
                  <c:v>2168627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D-483C-B256-F56A8E08BA72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Summary'!$BQ$5:$BQ$16</c:f>
              <c:numCache>
                <c:formatCode>#,##0</c:formatCode>
                <c:ptCount val="12"/>
                <c:pt idx="9">
                  <c:v>2228734.8754999968</c:v>
                </c:pt>
                <c:pt idx="10">
                  <c:v>2215931</c:v>
                </c:pt>
                <c:pt idx="11">
                  <c:v>2198298.2178996359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1-4BA0-A44A-AB6B1C782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Summary'!$AX$3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Summary'!$BJ$5:$BJ$15</c:f>
              <c:numCache>
                <c:formatCode>#,##0</c:formatCode>
                <c:ptCount val="11"/>
                <c:pt idx="0">
                  <c:v>8475.3399503642595</c:v>
                </c:pt>
                <c:pt idx="1">
                  <c:v>8329.5119653037855</c:v>
                </c:pt>
                <c:pt idx="2">
                  <c:v>8414.2354422811313</c:v>
                </c:pt>
                <c:pt idx="3">
                  <c:v>8426.4849836947596</c:v>
                </c:pt>
                <c:pt idx="4">
                  <c:v>8509.4160068560504</c:v>
                </c:pt>
                <c:pt idx="5">
                  <c:v>8346.9154553857006</c:v>
                </c:pt>
                <c:pt idx="6">
                  <c:v>8006.3565016183447</c:v>
                </c:pt>
                <c:pt idx="7">
                  <c:v>8585.35108801559</c:v>
                </c:pt>
                <c:pt idx="8">
                  <c:v>8723.0562685093773</c:v>
                </c:pt>
                <c:pt idx="9">
                  <c:v>8980.1614085763158</c:v>
                </c:pt>
                <c:pt idx="10">
                  <c:v>9176.1368124118471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8-458F-ACE4-AE3734368850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Summary'!$BL$5:$BL$13,'Normalized Annual Summary'!$BJ$14:$BJ$16)</c:f>
              <c:numCache>
                <c:formatCode>General</c:formatCode>
                <c:ptCount val="12"/>
                <c:pt idx="9" formatCode="#,##0">
                  <c:v>8980.1614085763158</c:v>
                </c:pt>
                <c:pt idx="10" formatCode="#,##0">
                  <c:v>9176.1368124118471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8-458F-ACE4-AE3734368850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'Normalized Annual Summary'!$BP$5:$BP$16</c:f>
              <c:numCache>
                <c:formatCode>#,##0</c:formatCode>
                <c:ptCount val="12"/>
                <c:pt idx="9">
                  <c:v>6442.9820539628909</c:v>
                </c:pt>
                <c:pt idx="10">
                  <c:v>6530.2485265225923</c:v>
                </c:pt>
                <c:pt idx="11">
                  <c:v>6530.2485265225923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E-4FB8-8CE1-478F22C1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9-414A-9AC5-1D1E34191166}"/>
            </c:ext>
          </c:extLst>
        </c:ser>
        <c:ser>
          <c:idx val="0"/>
          <c:order val="1"/>
          <c:tx>
            <c:strRef>
              <c:f>'Connection Count'!$B$2:$C$2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Count'!$C$4:$C$17</c:f>
              <c:numCache>
                <c:formatCode>#,##0</c:formatCode>
                <c:ptCount val="14"/>
                <c:pt idx="0">
                  <c:v>31552</c:v>
                </c:pt>
                <c:pt idx="1">
                  <c:v>31786.666666666668</c:v>
                </c:pt>
                <c:pt idx="2">
                  <c:v>31896.333333333332</c:v>
                </c:pt>
                <c:pt idx="3">
                  <c:v>32001.75</c:v>
                </c:pt>
                <c:pt idx="4">
                  <c:v>32139</c:v>
                </c:pt>
                <c:pt idx="5">
                  <c:v>32276.666666666668</c:v>
                </c:pt>
                <c:pt idx="6">
                  <c:v>32434.25</c:v>
                </c:pt>
                <c:pt idx="7">
                  <c:v>32604.666666666668</c:v>
                </c:pt>
                <c:pt idx="8">
                  <c:v>32755.333333333332</c:v>
                </c:pt>
                <c:pt idx="9">
                  <c:v>32861.75</c:v>
                </c:pt>
                <c:pt idx="10">
                  <c:v>32990.166666666664</c:v>
                </c:pt>
                <c:pt idx="11">
                  <c:v>33113</c:v>
                </c:pt>
                <c:pt idx="12">
                  <c:v>33273.25</c:v>
                </c:pt>
                <c:pt idx="13">
                  <c:v>33417.610226116791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C9-414A-9AC5-1D1E3419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Data'!$DB$1</c:f>
              <c:strCache>
                <c:ptCount val="1"/>
                <c:pt idx="0">
                  <c:v>AvgIntPD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'Monthly Data'!$AW$2:$AW$133</c:f>
              <c:numCache>
                <c:formatCode>0.00</c:formatCode>
                <c:ptCount val="132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>
                  <c:v>-7.4193548387096714E-2</c:v>
                </c:pt>
                <c:pt idx="97">
                  <c:v>-2.1517241379310343</c:v>
                </c:pt>
                <c:pt idx="98">
                  <c:v>3.3000000000000003</c:v>
                </c:pt>
                <c:pt idx="99">
                  <c:v>5.4466666666666672</c:v>
                </c:pt>
                <c:pt idx="100">
                  <c:v>12.067741935483872</c:v>
                </c:pt>
                <c:pt idx="101">
                  <c:v>19.163333333333334</c:v>
                </c:pt>
                <c:pt idx="102">
                  <c:v>23.132258064516133</c:v>
                </c:pt>
                <c:pt idx="103">
                  <c:v>20.806451612903221</c:v>
                </c:pt>
                <c:pt idx="104">
                  <c:v>15.929999999999998</c:v>
                </c:pt>
                <c:pt idx="105">
                  <c:v>9.6838709677419335</c:v>
                </c:pt>
                <c:pt idx="106">
                  <c:v>7.126666666666666</c:v>
                </c:pt>
                <c:pt idx="107">
                  <c:v>0.40645161290322557</c:v>
                </c:pt>
                <c:pt idx="108">
                  <c:v>-1.9096774193548387</c:v>
                </c:pt>
                <c:pt idx="109">
                  <c:v>-5.4857142857142867</c:v>
                </c:pt>
                <c:pt idx="110">
                  <c:v>4.112903225806452</c:v>
                </c:pt>
                <c:pt idx="111">
                  <c:v>8.73</c:v>
                </c:pt>
                <c:pt idx="112">
                  <c:v>12.941935483870967</c:v>
                </c:pt>
                <c:pt idx="113">
                  <c:v>20.99</c:v>
                </c:pt>
                <c:pt idx="114">
                  <c:v>20.816129032258065</c:v>
                </c:pt>
                <c:pt idx="115">
                  <c:v>22.119354838709679</c:v>
                </c:pt>
                <c:pt idx="116">
                  <c:v>17.493333333333329</c:v>
                </c:pt>
                <c:pt idx="117">
                  <c:v>14.39032258064516</c:v>
                </c:pt>
                <c:pt idx="118">
                  <c:v>3.8966666666666674</c:v>
                </c:pt>
                <c:pt idx="119">
                  <c:v>1.9548387096774196</c:v>
                </c:pt>
                <c:pt idx="120">
                  <c:v>-6.9612903225806457</c:v>
                </c:pt>
                <c:pt idx="121">
                  <c:v>-3.6642857142857137</c:v>
                </c:pt>
                <c:pt idx="122">
                  <c:v>1.667741935483871</c:v>
                </c:pt>
                <c:pt idx="123">
                  <c:v>6.0733333333333341</c:v>
                </c:pt>
                <c:pt idx="124">
                  <c:v>14.835483870967742</c:v>
                </c:pt>
                <c:pt idx="125">
                  <c:v>18.759999999999998</c:v>
                </c:pt>
                <c:pt idx="126">
                  <c:v>21.93225806451613</c:v>
                </c:pt>
                <c:pt idx="127">
                  <c:v>21.41935483870968</c:v>
                </c:pt>
                <c:pt idx="128">
                  <c:v>17.456666666666667</c:v>
                </c:pt>
                <c:pt idx="129">
                  <c:v>10.606451612903225</c:v>
                </c:pt>
                <c:pt idx="130">
                  <c:v>5.69</c:v>
                </c:pt>
                <c:pt idx="131">
                  <c:v>-0.2741935483870967</c:v>
                </c:pt>
              </c:numCache>
            </c:numRef>
          </c:xVal>
          <c:yVal>
            <c:numRef>
              <c:f>'Monthly Data'!$DB$2:$DB$133</c:f>
              <c:numCache>
                <c:formatCode>_(* #,##0_);_(* \(#,##0\);_(* "-"??_);_(@_)</c:formatCode>
                <c:ptCount val="132"/>
                <c:pt idx="0">
                  <c:v>60620.78824404761</c:v>
                </c:pt>
                <c:pt idx="1">
                  <c:v>61865.493247500002</c:v>
                </c:pt>
                <c:pt idx="2">
                  <c:v>59821.304168181821</c:v>
                </c:pt>
                <c:pt idx="3">
                  <c:v>64123.421707894726</c:v>
                </c:pt>
                <c:pt idx="4">
                  <c:v>61861.840940909104</c:v>
                </c:pt>
                <c:pt idx="5">
                  <c:v>63261.515288095208</c:v>
                </c:pt>
                <c:pt idx="6">
                  <c:v>65697.166133333332</c:v>
                </c:pt>
                <c:pt idx="7">
                  <c:v>64395.03999545455</c:v>
                </c:pt>
                <c:pt idx="8">
                  <c:v>69285.996315789482</c:v>
                </c:pt>
                <c:pt idx="9">
                  <c:v>62803.539319318181</c:v>
                </c:pt>
                <c:pt idx="10">
                  <c:v>63050.839469318169</c:v>
                </c:pt>
                <c:pt idx="11">
                  <c:v>65617.435923684199</c:v>
                </c:pt>
                <c:pt idx="12">
                  <c:v>62710.934704461666</c:v>
                </c:pt>
                <c:pt idx="13">
                  <c:v>64266.583985429315</c:v>
                </c:pt>
                <c:pt idx="14">
                  <c:v>70416.127386745109</c:v>
                </c:pt>
                <c:pt idx="15">
                  <c:v>60478.181794234428</c:v>
                </c:pt>
                <c:pt idx="16">
                  <c:v>65761.61948400714</c:v>
                </c:pt>
                <c:pt idx="17">
                  <c:v>70466.218358657832</c:v>
                </c:pt>
                <c:pt idx="18">
                  <c:v>64396.018637416237</c:v>
                </c:pt>
                <c:pt idx="19">
                  <c:v>69842.361145150338</c:v>
                </c:pt>
                <c:pt idx="20">
                  <c:v>70116.941933657828</c:v>
                </c:pt>
                <c:pt idx="21">
                  <c:v>65656.178839688961</c:v>
                </c:pt>
                <c:pt idx="22">
                  <c:v>64822.985997531308</c:v>
                </c:pt>
                <c:pt idx="23">
                  <c:v>66431.724506157858</c:v>
                </c:pt>
                <c:pt idx="24">
                  <c:v>63534.927086572206</c:v>
                </c:pt>
                <c:pt idx="25">
                  <c:v>64862.18356471516</c:v>
                </c:pt>
                <c:pt idx="26">
                  <c:v>66720.240600218487</c:v>
                </c:pt>
                <c:pt idx="27">
                  <c:v>69823.957556479407</c:v>
                </c:pt>
                <c:pt idx="28">
                  <c:v>67085.287707026728</c:v>
                </c:pt>
                <c:pt idx="29">
                  <c:v>65953.573402599461</c:v>
                </c:pt>
                <c:pt idx="30">
                  <c:v>66635.391133163095</c:v>
                </c:pt>
                <c:pt idx="31">
                  <c:v>75085.502817729415</c:v>
                </c:pt>
                <c:pt idx="32">
                  <c:v>61364.693018075632</c:v>
                </c:pt>
                <c:pt idx="33">
                  <c:v>60309.155692254026</c:v>
                </c:pt>
                <c:pt idx="34">
                  <c:v>61718.269600229411</c:v>
                </c:pt>
                <c:pt idx="35">
                  <c:v>61138.064371647066</c:v>
                </c:pt>
                <c:pt idx="36">
                  <c:v>63712.722783538193</c:v>
                </c:pt>
                <c:pt idx="37">
                  <c:v>65359.338150226424</c:v>
                </c:pt>
                <c:pt idx="38">
                  <c:v>60025.398216104652</c:v>
                </c:pt>
                <c:pt idx="39">
                  <c:v>64063.058948965103</c:v>
                </c:pt>
                <c:pt idx="40">
                  <c:v>70828.335483965115</c:v>
                </c:pt>
                <c:pt idx="41">
                  <c:v>59122.820688831918</c:v>
                </c:pt>
                <c:pt idx="42">
                  <c:v>60626.15202746827</c:v>
                </c:pt>
                <c:pt idx="43">
                  <c:v>69859.279042715105</c:v>
                </c:pt>
                <c:pt idx="44">
                  <c:v>67289.274825204877</c:v>
                </c:pt>
                <c:pt idx="45">
                  <c:v>65140.817278776281</c:v>
                </c:pt>
                <c:pt idx="46">
                  <c:v>65809.228143062006</c:v>
                </c:pt>
                <c:pt idx="47">
                  <c:v>61824.988118062014</c:v>
                </c:pt>
                <c:pt idx="48">
                  <c:v>68302.883739579906</c:v>
                </c:pt>
                <c:pt idx="49">
                  <c:v>63805.410978329914</c:v>
                </c:pt>
                <c:pt idx="50">
                  <c:v>65553.417218647548</c:v>
                </c:pt>
                <c:pt idx="51">
                  <c:v>61807.803066266577</c:v>
                </c:pt>
                <c:pt idx="52">
                  <c:v>66209.731554361832</c:v>
                </c:pt>
                <c:pt idx="53">
                  <c:v>55635.960726890829</c:v>
                </c:pt>
                <c:pt idx="54">
                  <c:v>67481.749882079923</c:v>
                </c:pt>
                <c:pt idx="55">
                  <c:v>62352.227491663565</c:v>
                </c:pt>
                <c:pt idx="56">
                  <c:v>61226.888394838024</c:v>
                </c:pt>
                <c:pt idx="57">
                  <c:v>64712.084694579928</c:v>
                </c:pt>
                <c:pt idx="58">
                  <c:v>56873.413364390843</c:v>
                </c:pt>
                <c:pt idx="59">
                  <c:v>60168.841238329929</c:v>
                </c:pt>
                <c:pt idx="60">
                  <c:v>54498.666845865824</c:v>
                </c:pt>
                <c:pt idx="61">
                  <c:v>59922.113461002526</c:v>
                </c:pt>
                <c:pt idx="62">
                  <c:v>57968.791640610776</c:v>
                </c:pt>
                <c:pt idx="63">
                  <c:v>64986.838711002514</c:v>
                </c:pt>
                <c:pt idx="64">
                  <c:v>58171.574169729458</c:v>
                </c:pt>
                <c:pt idx="65">
                  <c:v>59840.37045382036</c:v>
                </c:pt>
                <c:pt idx="66">
                  <c:v>68506.244790452402</c:v>
                </c:pt>
                <c:pt idx="67">
                  <c:v>65663.758622002191</c:v>
                </c:pt>
                <c:pt idx="68">
                  <c:v>63764.382950452404</c:v>
                </c:pt>
                <c:pt idx="69">
                  <c:v>65091.788538526103</c:v>
                </c:pt>
                <c:pt idx="70">
                  <c:v>61615.154540184005</c:v>
                </c:pt>
                <c:pt idx="71">
                  <c:v>67399.393746528847</c:v>
                </c:pt>
                <c:pt idx="72">
                  <c:v>58071.067683068781</c:v>
                </c:pt>
                <c:pt idx="73">
                  <c:v>62829.297559342798</c:v>
                </c:pt>
                <c:pt idx="74">
                  <c:v>62471.614988214911</c:v>
                </c:pt>
                <c:pt idx="75">
                  <c:v>55046.950920357776</c:v>
                </c:pt>
                <c:pt idx="76">
                  <c:v>56242.690968296032</c:v>
                </c:pt>
                <c:pt idx="77">
                  <c:v>61111.386707262536</c:v>
                </c:pt>
                <c:pt idx="78">
                  <c:v>64864.046601310154</c:v>
                </c:pt>
                <c:pt idx="79">
                  <c:v>64778.441967159699</c:v>
                </c:pt>
                <c:pt idx="80">
                  <c:v>71191.341544869123</c:v>
                </c:pt>
                <c:pt idx="81">
                  <c:v>59460.086025114237</c:v>
                </c:pt>
                <c:pt idx="82">
                  <c:v>59481.151400114242</c:v>
                </c:pt>
                <c:pt idx="83">
                  <c:v>65250.393788948066</c:v>
                </c:pt>
                <c:pt idx="84">
                  <c:v>60116.759354779759</c:v>
                </c:pt>
                <c:pt idx="85">
                  <c:v>59788.798389087104</c:v>
                </c:pt>
                <c:pt idx="86">
                  <c:v>59334.622357052496</c:v>
                </c:pt>
                <c:pt idx="87">
                  <c:v>57809.228141912135</c:v>
                </c:pt>
                <c:pt idx="88">
                  <c:v>66027.119269007744</c:v>
                </c:pt>
                <c:pt idx="89">
                  <c:v>57635.754819552501</c:v>
                </c:pt>
                <c:pt idx="90">
                  <c:v>62655.511541711581</c:v>
                </c:pt>
                <c:pt idx="91">
                  <c:v>69342.545864632732</c:v>
                </c:pt>
                <c:pt idx="92">
                  <c:v>62130.800745483568</c:v>
                </c:pt>
                <c:pt idx="93">
                  <c:v>56509.179565721657</c:v>
                </c:pt>
                <c:pt idx="94">
                  <c:v>60291.442011554995</c:v>
                </c:pt>
                <c:pt idx="95">
                  <c:v>56833.202918697847</c:v>
                </c:pt>
                <c:pt idx="96">
                  <c:v>64426.179943881878</c:v>
                </c:pt>
                <c:pt idx="97">
                  <c:v>69752.774034269241</c:v>
                </c:pt>
                <c:pt idx="98">
                  <c:v>58892.743159466292</c:v>
                </c:pt>
                <c:pt idx="99">
                  <c:v>47571.742409236795</c:v>
                </c:pt>
                <c:pt idx="100">
                  <c:v>56345.096348270061</c:v>
                </c:pt>
                <c:pt idx="101">
                  <c:v>56057.345774760281</c:v>
                </c:pt>
                <c:pt idx="102">
                  <c:v>62046.891466805733</c:v>
                </c:pt>
                <c:pt idx="103">
                  <c:v>69315.306743486304</c:v>
                </c:pt>
                <c:pt idx="104">
                  <c:v>65004.05813070124</c:v>
                </c:pt>
                <c:pt idx="105">
                  <c:v>58185.101902129827</c:v>
                </c:pt>
                <c:pt idx="106">
                  <c:v>61122.432233082196</c:v>
                </c:pt>
                <c:pt idx="107">
                  <c:v>59305.285768796493</c:v>
                </c:pt>
                <c:pt idx="108">
                  <c:v>64115.12433288301</c:v>
                </c:pt>
                <c:pt idx="109">
                  <c:v>63278.969008297907</c:v>
                </c:pt>
                <c:pt idx="110">
                  <c:v>59020.907293811317</c:v>
                </c:pt>
                <c:pt idx="111">
                  <c:v>63985.085147983824</c:v>
                </c:pt>
                <c:pt idx="112">
                  <c:v>70039.835170383012</c:v>
                </c:pt>
                <c:pt idx="113">
                  <c:v>64396.79064353001</c:v>
                </c:pt>
                <c:pt idx="114">
                  <c:v>66132.345582507623</c:v>
                </c:pt>
                <c:pt idx="115">
                  <c:v>67089.037187883019</c:v>
                </c:pt>
                <c:pt idx="116">
                  <c:v>58772.765812883001</c:v>
                </c:pt>
                <c:pt idx="117">
                  <c:v>64169.896899133011</c:v>
                </c:pt>
                <c:pt idx="118">
                  <c:v>61150.231586711838</c:v>
                </c:pt>
                <c:pt idx="119">
                  <c:v>56978.775368221926</c:v>
                </c:pt>
                <c:pt idx="120">
                  <c:v>61748.17832472895</c:v>
                </c:pt>
                <c:pt idx="121">
                  <c:v>60602.253499714679</c:v>
                </c:pt>
                <c:pt idx="122">
                  <c:v>56728.394195416477</c:v>
                </c:pt>
                <c:pt idx="123">
                  <c:v>62814.872074728948</c:v>
                </c:pt>
                <c:pt idx="124">
                  <c:v>61680.604356884709</c:v>
                </c:pt>
                <c:pt idx="125">
                  <c:v>58439.349613389953</c:v>
                </c:pt>
                <c:pt idx="126">
                  <c:v>67541.984574728951</c:v>
                </c:pt>
                <c:pt idx="127">
                  <c:v>65581.480295208137</c:v>
                </c:pt>
                <c:pt idx="128">
                  <c:v>65581.797074728951</c:v>
                </c:pt>
                <c:pt idx="129">
                  <c:v>65246.172074728951</c:v>
                </c:pt>
                <c:pt idx="130">
                  <c:v>56865.139386117226</c:v>
                </c:pt>
                <c:pt idx="131">
                  <c:v>59425.11582472895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67-4138-9569-92FB2FAB1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'Connection Count'!$V$2:$W$2</c:f>
              <c:strCache>
                <c:ptCount val="1"/>
                <c:pt idx="0">
                  <c:v>St. Lights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Count'!$W$4:$W$17</c:f>
              <c:numCache>
                <c:formatCode>#,##0</c:formatCode>
                <c:ptCount val="14"/>
                <c:pt idx="0">
                  <c:v>9899.3333333333339</c:v>
                </c:pt>
                <c:pt idx="1">
                  <c:v>9964.5833333333339</c:v>
                </c:pt>
                <c:pt idx="2">
                  <c:v>10019.333333333334</c:v>
                </c:pt>
                <c:pt idx="3">
                  <c:v>10029.5</c:v>
                </c:pt>
                <c:pt idx="4">
                  <c:v>10050.833333333334</c:v>
                </c:pt>
                <c:pt idx="5">
                  <c:v>10012.833333333334</c:v>
                </c:pt>
                <c:pt idx="6">
                  <c:v>10018.083333333334</c:v>
                </c:pt>
                <c:pt idx="7">
                  <c:v>10042</c:v>
                </c:pt>
                <c:pt idx="8">
                  <c:v>10067.666666666666</c:v>
                </c:pt>
                <c:pt idx="9">
                  <c:v>10100.416666666666</c:v>
                </c:pt>
                <c:pt idx="10">
                  <c:v>10136.333333333334</c:v>
                </c:pt>
                <c:pt idx="11">
                  <c:v>10161</c:v>
                </c:pt>
                <c:pt idx="12">
                  <c:v>10176.833333333334</c:v>
                </c:pt>
                <c:pt idx="13">
                  <c:v>10193.336726587562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B-43EA-A8EB-6BE2C687C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  <c:min val="7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  <a:r>
              <a:rPr lang="en-US" baseline="0"/>
              <a:t> / Large Use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'Connection Count'!$N$2:$O$2</c:f>
              <c:strCache>
                <c:ptCount val="1"/>
                <c:pt idx="0">
                  <c:v>Int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Count'!$O$4:$O$17</c:f>
              <c:numCache>
                <c:formatCode>#,##0</c:formatCode>
                <c:ptCount val="14"/>
                <c:pt idx="0">
                  <c:v>16</c:v>
                </c:pt>
                <c:pt idx="1">
                  <c:v>13</c:v>
                </c:pt>
                <c:pt idx="2">
                  <c:v>13</c:v>
                </c:pt>
                <c:pt idx="3">
                  <c:v>12.5</c:v>
                </c:pt>
                <c:pt idx="4">
                  <c:v>12</c:v>
                </c:pt>
                <c:pt idx="5">
                  <c:v>12</c:v>
                </c:pt>
                <c:pt idx="6">
                  <c:v>11.583333333333334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9</c:v>
                </c:pt>
                <c:pt idx="1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F1-43B5-BF39-353C181FCBE7}"/>
            </c:ext>
          </c:extLst>
        </c:ser>
        <c:ser>
          <c:idx val="5"/>
          <c:order val="1"/>
          <c:tx>
            <c:strRef>
              <c:f>'Connection Count'!$R$2:$S$2</c:f>
              <c:strCache>
                <c:ptCount val="1"/>
                <c:pt idx="0">
                  <c:v>LU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Count'!$S$4:$S$17</c:f>
              <c:numCache>
                <c:formatCode>#,##0</c:formatCode>
                <c:ptCount val="1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3.4166666666666665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F1-43B5-BF39-353C181FC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</a:t>
            </a:r>
            <a:r>
              <a:rPr lang="en-US" baseline="0"/>
              <a:t> 50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'Connection Count'!$F$2:$G$2</c:f>
              <c:strCache>
                <c:ptCount val="1"/>
                <c:pt idx="0">
                  <c:v>GS &lt; 50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Count'!$G$4:$G$17</c:f>
              <c:numCache>
                <c:formatCode>#,##0</c:formatCode>
                <c:ptCount val="14"/>
                <c:pt idx="0">
                  <c:v>3510.5833333333335</c:v>
                </c:pt>
                <c:pt idx="1">
                  <c:v>3506.8333333333335</c:v>
                </c:pt>
                <c:pt idx="2">
                  <c:v>3479.6666666666665</c:v>
                </c:pt>
                <c:pt idx="3">
                  <c:v>3471.5833333333335</c:v>
                </c:pt>
                <c:pt idx="4">
                  <c:v>3494.5</c:v>
                </c:pt>
                <c:pt idx="5">
                  <c:v>3497.0833333333335</c:v>
                </c:pt>
                <c:pt idx="6">
                  <c:v>3474.75</c:v>
                </c:pt>
                <c:pt idx="7">
                  <c:v>3477.75</c:v>
                </c:pt>
                <c:pt idx="8">
                  <c:v>3468.0833333333335</c:v>
                </c:pt>
                <c:pt idx="9">
                  <c:v>3485.0833333333335</c:v>
                </c:pt>
                <c:pt idx="10">
                  <c:v>3490.4166666666665</c:v>
                </c:pt>
                <c:pt idx="11">
                  <c:v>3459.1666666666665</c:v>
                </c:pt>
                <c:pt idx="12">
                  <c:v>3455.1666666666665</c:v>
                </c:pt>
                <c:pt idx="13">
                  <c:v>3451.1712920581385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1-4739-A393-488E822EF750}"/>
            </c:ext>
          </c:extLst>
        </c:ser>
        <c:ser>
          <c:idx val="0"/>
          <c:order val="1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C1-4739-A393-488E822E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  <c:min val="3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/ USL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7"/>
          <c:order val="0"/>
          <c:tx>
            <c:strRef>
              <c:f>'Connection Count'!$Z$2:$AA$2</c:f>
              <c:strCache>
                <c:ptCount val="1"/>
                <c:pt idx="0">
                  <c:v>Sen Lights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Count'!$AA$4:$AA$17</c:f>
              <c:numCache>
                <c:formatCode>#,##0</c:formatCode>
                <c:ptCount val="14"/>
                <c:pt idx="0">
                  <c:v>497</c:v>
                </c:pt>
                <c:pt idx="1">
                  <c:v>497</c:v>
                </c:pt>
                <c:pt idx="2">
                  <c:v>446.75</c:v>
                </c:pt>
                <c:pt idx="3">
                  <c:v>427.58333333333331</c:v>
                </c:pt>
                <c:pt idx="4">
                  <c:v>417.91666666666669</c:v>
                </c:pt>
                <c:pt idx="5">
                  <c:v>412.25</c:v>
                </c:pt>
                <c:pt idx="6">
                  <c:v>407.33333333333331</c:v>
                </c:pt>
                <c:pt idx="7">
                  <c:v>391.33333333333331</c:v>
                </c:pt>
                <c:pt idx="8">
                  <c:v>384.5</c:v>
                </c:pt>
                <c:pt idx="9">
                  <c:v>385.16666666666669</c:v>
                </c:pt>
                <c:pt idx="10">
                  <c:v>370.58333333333331</c:v>
                </c:pt>
                <c:pt idx="11">
                  <c:v>366.91666666666669</c:v>
                </c:pt>
                <c:pt idx="12">
                  <c:v>364.16666666666669</c:v>
                </c:pt>
                <c:pt idx="13">
                  <c:v>357.72843293346529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0E-4993-BD0C-3ACC7FAADF43}"/>
            </c:ext>
          </c:extLst>
        </c:ser>
        <c:ser>
          <c:idx val="8"/>
          <c:order val="1"/>
          <c:tx>
            <c:strRef>
              <c:f>'Connection Count'!$AD$2:$AE$2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Count'!$AE$4:$AE$17</c:f>
              <c:numCache>
                <c:formatCode>#,##0</c:formatCode>
                <c:ptCount val="14"/>
                <c:pt idx="0">
                  <c:v>257</c:v>
                </c:pt>
                <c:pt idx="1">
                  <c:v>260</c:v>
                </c:pt>
                <c:pt idx="2">
                  <c:v>263</c:v>
                </c:pt>
                <c:pt idx="3">
                  <c:v>262.08333333333331</c:v>
                </c:pt>
                <c:pt idx="4">
                  <c:v>261.91666666666669</c:v>
                </c:pt>
                <c:pt idx="5">
                  <c:v>262.41666666666669</c:v>
                </c:pt>
                <c:pt idx="6">
                  <c:v>261.08333333333331</c:v>
                </c:pt>
                <c:pt idx="7">
                  <c:v>258.41666666666669</c:v>
                </c:pt>
                <c:pt idx="8">
                  <c:v>256.41666666666669</c:v>
                </c:pt>
                <c:pt idx="9">
                  <c:v>256.58333333333331</c:v>
                </c:pt>
                <c:pt idx="10">
                  <c:v>253.25</c:v>
                </c:pt>
                <c:pt idx="11">
                  <c:v>242.91666666666666</c:v>
                </c:pt>
                <c:pt idx="12">
                  <c:v>236.33333333333334</c:v>
                </c:pt>
                <c:pt idx="13">
                  <c:v>336.63316318992327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0E-4993-BD0C-3ACC7FAAD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'Connection Count'!$J$2:$K$2</c:f>
              <c:strCache>
                <c:ptCount val="1"/>
                <c:pt idx="0">
                  <c:v>GS &gt; 50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Count'!$K$4:$K$17</c:f>
              <c:numCache>
                <c:formatCode>#,##0</c:formatCode>
                <c:ptCount val="14"/>
                <c:pt idx="0">
                  <c:v>392.54166666666669</c:v>
                </c:pt>
                <c:pt idx="1">
                  <c:v>408.75</c:v>
                </c:pt>
                <c:pt idx="2">
                  <c:v>428.25</c:v>
                </c:pt>
                <c:pt idx="3">
                  <c:v>428.33333333333331</c:v>
                </c:pt>
                <c:pt idx="4">
                  <c:v>393.16666666666669</c:v>
                </c:pt>
                <c:pt idx="5">
                  <c:v>376.91666666666669</c:v>
                </c:pt>
                <c:pt idx="6">
                  <c:v>373</c:v>
                </c:pt>
                <c:pt idx="7">
                  <c:v>382.16666666666669</c:v>
                </c:pt>
                <c:pt idx="8">
                  <c:v>389.41666666666669</c:v>
                </c:pt>
                <c:pt idx="9">
                  <c:v>372.33333333333331</c:v>
                </c:pt>
                <c:pt idx="10">
                  <c:v>368.5</c:v>
                </c:pt>
                <c:pt idx="11">
                  <c:v>372.25</c:v>
                </c:pt>
                <c:pt idx="12">
                  <c:v>370</c:v>
                </c:pt>
                <c:pt idx="13">
                  <c:v>364.03007326364758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F4F-A4AA-4F02A62052C8}"/>
            </c:ext>
          </c:extLst>
        </c:ser>
        <c:ser>
          <c:idx val="0"/>
          <c:order val="1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6B-4F4F-A4AA-4F02A6205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Data'!$DC$1</c:f>
              <c:strCache>
                <c:ptCount val="1"/>
                <c:pt idx="0">
                  <c:v>AvgLUPD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'Monthly Data'!$AW$2:$AW$133</c:f>
              <c:numCache>
                <c:formatCode>0.00</c:formatCode>
                <c:ptCount val="132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>
                  <c:v>-7.4193548387096714E-2</c:v>
                </c:pt>
                <c:pt idx="97">
                  <c:v>-2.1517241379310343</c:v>
                </c:pt>
                <c:pt idx="98">
                  <c:v>3.3000000000000003</c:v>
                </c:pt>
                <c:pt idx="99">
                  <c:v>5.4466666666666672</c:v>
                </c:pt>
                <c:pt idx="100">
                  <c:v>12.067741935483872</c:v>
                </c:pt>
                <c:pt idx="101">
                  <c:v>19.163333333333334</c:v>
                </c:pt>
                <c:pt idx="102">
                  <c:v>23.132258064516133</c:v>
                </c:pt>
                <c:pt idx="103">
                  <c:v>20.806451612903221</c:v>
                </c:pt>
                <c:pt idx="104">
                  <c:v>15.929999999999998</c:v>
                </c:pt>
                <c:pt idx="105">
                  <c:v>9.6838709677419335</c:v>
                </c:pt>
                <c:pt idx="106">
                  <c:v>7.126666666666666</c:v>
                </c:pt>
                <c:pt idx="107">
                  <c:v>0.40645161290322557</c:v>
                </c:pt>
                <c:pt idx="108">
                  <c:v>-1.9096774193548387</c:v>
                </c:pt>
                <c:pt idx="109">
                  <c:v>-5.4857142857142867</c:v>
                </c:pt>
                <c:pt idx="110">
                  <c:v>4.112903225806452</c:v>
                </c:pt>
                <c:pt idx="111">
                  <c:v>8.73</c:v>
                </c:pt>
                <c:pt idx="112">
                  <c:v>12.941935483870967</c:v>
                </c:pt>
                <c:pt idx="113">
                  <c:v>20.99</c:v>
                </c:pt>
                <c:pt idx="114">
                  <c:v>20.816129032258065</c:v>
                </c:pt>
                <c:pt idx="115">
                  <c:v>22.119354838709679</c:v>
                </c:pt>
                <c:pt idx="116">
                  <c:v>17.493333333333329</c:v>
                </c:pt>
                <c:pt idx="117">
                  <c:v>14.39032258064516</c:v>
                </c:pt>
                <c:pt idx="118">
                  <c:v>3.8966666666666674</c:v>
                </c:pt>
                <c:pt idx="119">
                  <c:v>1.9548387096774196</c:v>
                </c:pt>
                <c:pt idx="120">
                  <c:v>-6.9612903225806457</c:v>
                </c:pt>
                <c:pt idx="121">
                  <c:v>-3.6642857142857137</c:v>
                </c:pt>
                <c:pt idx="122">
                  <c:v>1.667741935483871</c:v>
                </c:pt>
                <c:pt idx="123">
                  <c:v>6.0733333333333341</c:v>
                </c:pt>
                <c:pt idx="124">
                  <c:v>14.835483870967742</c:v>
                </c:pt>
                <c:pt idx="125">
                  <c:v>18.759999999999998</c:v>
                </c:pt>
                <c:pt idx="126">
                  <c:v>21.93225806451613</c:v>
                </c:pt>
                <c:pt idx="127">
                  <c:v>21.41935483870968</c:v>
                </c:pt>
                <c:pt idx="128">
                  <c:v>17.456666666666667</c:v>
                </c:pt>
                <c:pt idx="129">
                  <c:v>10.606451612903225</c:v>
                </c:pt>
                <c:pt idx="130">
                  <c:v>5.69</c:v>
                </c:pt>
                <c:pt idx="131">
                  <c:v>-0.2741935483870967</c:v>
                </c:pt>
              </c:numCache>
            </c:numRef>
          </c:xVal>
          <c:yVal>
            <c:numRef>
              <c:f>'Monthly Data'!$DC$2:$DC$133</c:f>
              <c:numCache>
                <c:formatCode>_(* #,##0_);_(* \(#,##0\);_(* "-"??_);_(@_)</c:formatCode>
                <c:ptCount val="132"/>
                <c:pt idx="0">
                  <c:v>283748.04839169641</c:v>
                </c:pt>
                <c:pt idx="1">
                  <c:v>261723.10618575002</c:v>
                </c:pt>
                <c:pt idx="2">
                  <c:v>269852.21481093753</c:v>
                </c:pt>
                <c:pt idx="3">
                  <c:v>310035.65133641451</c:v>
                </c:pt>
                <c:pt idx="4">
                  <c:v>243685.6674553125</c:v>
                </c:pt>
                <c:pt idx="5">
                  <c:v>260096.74292839286</c:v>
                </c:pt>
                <c:pt idx="6">
                  <c:v>273917.28843482141</c:v>
                </c:pt>
                <c:pt idx="7">
                  <c:v>280844.99686968751</c:v>
                </c:pt>
                <c:pt idx="8">
                  <c:v>303791.12238967104</c:v>
                </c:pt>
                <c:pt idx="9">
                  <c:v>246991.62886031251</c:v>
                </c:pt>
                <c:pt idx="10">
                  <c:v>246913.11745875</c:v>
                </c:pt>
                <c:pt idx="11">
                  <c:v>302387.29257759871</c:v>
                </c:pt>
                <c:pt idx="12">
                  <c:v>250790.14598676347</c:v>
                </c:pt>
                <c:pt idx="13">
                  <c:v>286085.65900411428</c:v>
                </c:pt>
                <c:pt idx="14">
                  <c:v>317125.69094960764</c:v>
                </c:pt>
                <c:pt idx="15">
                  <c:v>229005.89836082596</c:v>
                </c:pt>
                <c:pt idx="16">
                  <c:v>255581.86206988848</c:v>
                </c:pt>
                <c:pt idx="17">
                  <c:v>276800.10223753349</c:v>
                </c:pt>
                <c:pt idx="18">
                  <c:v>262435.49980926345</c:v>
                </c:pt>
                <c:pt idx="19">
                  <c:v>279937.54856625223</c:v>
                </c:pt>
                <c:pt idx="20">
                  <c:v>260055.43570518983</c:v>
                </c:pt>
                <c:pt idx="21">
                  <c:v>228418.04704270096</c:v>
                </c:pt>
                <c:pt idx="22">
                  <c:v>250207.52311098433</c:v>
                </c:pt>
                <c:pt idx="23">
                  <c:v>284653.08510947099</c:v>
                </c:pt>
                <c:pt idx="24">
                  <c:v>243524.79123129521</c:v>
                </c:pt>
                <c:pt idx="25">
                  <c:v>273214.6826869931</c:v>
                </c:pt>
                <c:pt idx="26">
                  <c:v>258282.44990564263</c:v>
                </c:pt>
                <c:pt idx="27">
                  <c:v>276122.70506017469</c:v>
                </c:pt>
                <c:pt idx="28">
                  <c:v>261011.17844098274</c:v>
                </c:pt>
                <c:pt idx="29">
                  <c:v>250994.90469957117</c:v>
                </c:pt>
                <c:pt idx="30">
                  <c:v>265055.89751379518</c:v>
                </c:pt>
                <c:pt idx="31">
                  <c:v>304201.74990395596</c:v>
                </c:pt>
                <c:pt idx="32">
                  <c:v>268424.56743180333</c:v>
                </c:pt>
                <c:pt idx="33">
                  <c:v>255807.6442278577</c:v>
                </c:pt>
                <c:pt idx="34">
                  <c:v>294338.95684811228</c:v>
                </c:pt>
                <c:pt idx="35">
                  <c:v>278354.02497608907</c:v>
                </c:pt>
                <c:pt idx="36">
                  <c:v>286934.97960603645</c:v>
                </c:pt>
                <c:pt idx="37">
                  <c:v>283405.77295239555</c:v>
                </c:pt>
                <c:pt idx="38">
                  <c:v>262985.79302272224</c:v>
                </c:pt>
                <c:pt idx="39">
                  <c:v>297784.36939683824</c:v>
                </c:pt>
                <c:pt idx="40">
                  <c:v>281670.90688196325</c:v>
                </c:pt>
                <c:pt idx="41">
                  <c:v>233270.26436365981</c:v>
                </c:pt>
                <c:pt idx="42">
                  <c:v>265432.53349803481</c:v>
                </c:pt>
                <c:pt idx="43">
                  <c:v>292808.60437458829</c:v>
                </c:pt>
                <c:pt idx="44">
                  <c:v>255367.52675130431</c:v>
                </c:pt>
                <c:pt idx="45">
                  <c:v>265699.16364871501</c:v>
                </c:pt>
                <c:pt idx="46">
                  <c:v>254834.79573576857</c:v>
                </c:pt>
                <c:pt idx="47">
                  <c:v>302470.22909934004</c:v>
                </c:pt>
                <c:pt idx="48">
                  <c:v>328009.79812246899</c:v>
                </c:pt>
                <c:pt idx="49">
                  <c:v>301025.40111112525</c:v>
                </c:pt>
                <c:pt idx="50">
                  <c:v>310262.33436910738</c:v>
                </c:pt>
                <c:pt idx="51">
                  <c:v>303095.89849714306</c:v>
                </c:pt>
                <c:pt idx="52">
                  <c:v>307683.45172741101</c:v>
                </c:pt>
                <c:pt idx="53">
                  <c:v>276421.09851869341</c:v>
                </c:pt>
                <c:pt idx="54">
                  <c:v>324185.41191740648</c:v>
                </c:pt>
                <c:pt idx="55">
                  <c:v>279888.85563213093</c:v>
                </c:pt>
                <c:pt idx="56">
                  <c:v>279921.93021107168</c:v>
                </c:pt>
                <c:pt idx="57">
                  <c:v>310136.32120893779</c:v>
                </c:pt>
                <c:pt idx="58">
                  <c:v>279660.01443775598</c:v>
                </c:pt>
                <c:pt idx="59">
                  <c:v>309905.43084421899</c:v>
                </c:pt>
                <c:pt idx="60">
                  <c:v>281480.53569649445</c:v>
                </c:pt>
                <c:pt idx="61">
                  <c:v>302130.50271603971</c:v>
                </c:pt>
                <c:pt idx="62">
                  <c:v>283155.39409550565</c:v>
                </c:pt>
                <c:pt idx="63">
                  <c:v>326844.19677495415</c:v>
                </c:pt>
                <c:pt idx="64">
                  <c:v>296116.85665305704</c:v>
                </c:pt>
                <c:pt idx="65">
                  <c:v>250081.46081899453</c:v>
                </c:pt>
                <c:pt idx="66">
                  <c:v>314786.19385942526</c:v>
                </c:pt>
                <c:pt idx="67">
                  <c:v>294561.5160308695</c:v>
                </c:pt>
                <c:pt idx="68">
                  <c:v>289783.32725505024</c:v>
                </c:pt>
                <c:pt idx="69">
                  <c:v>258502.03003126808</c:v>
                </c:pt>
                <c:pt idx="70">
                  <c:v>258704.75562086952</c:v>
                </c:pt>
                <c:pt idx="71">
                  <c:v>320175.42249643448</c:v>
                </c:pt>
                <c:pt idx="72">
                  <c:v>272831.38065906591</c:v>
                </c:pt>
                <c:pt idx="73">
                  <c:v>310345.58450500394</c:v>
                </c:pt>
                <c:pt idx="74">
                  <c:v>287654.05002681899</c:v>
                </c:pt>
                <c:pt idx="75">
                  <c:v>243160.04661306902</c:v>
                </c:pt>
                <c:pt idx="76">
                  <c:v>232337.86468375343</c:v>
                </c:pt>
                <c:pt idx="77">
                  <c:v>274910.62272601551</c:v>
                </c:pt>
                <c:pt idx="78">
                  <c:v>286993.98387949762</c:v>
                </c:pt>
                <c:pt idx="79">
                  <c:v>262412.03569000337</c:v>
                </c:pt>
                <c:pt idx="80">
                  <c:v>339001.06293842499</c:v>
                </c:pt>
                <c:pt idx="81">
                  <c:v>306328.16817344085</c:v>
                </c:pt>
                <c:pt idx="82">
                  <c:v>289559.34754375339</c:v>
                </c:pt>
                <c:pt idx="83">
                  <c:v>349584.01825299737</c:v>
                </c:pt>
                <c:pt idx="84">
                  <c:v>307905.67527213017</c:v>
                </c:pt>
                <c:pt idx="85">
                  <c:v>307451.46610457177</c:v>
                </c:pt>
                <c:pt idx="86">
                  <c:v>300379.06163576653</c:v>
                </c:pt>
                <c:pt idx="87">
                  <c:v>297061.7431422316</c:v>
                </c:pt>
                <c:pt idx="88">
                  <c:v>309903.11779934319</c:v>
                </c:pt>
                <c:pt idx="89">
                  <c:v>281214.34572667559</c:v>
                </c:pt>
                <c:pt idx="90">
                  <c:v>291326.95936303923</c:v>
                </c:pt>
                <c:pt idx="91">
                  <c:v>322225.23029934318</c:v>
                </c:pt>
                <c:pt idx="92">
                  <c:v>243566.11218985062</c:v>
                </c:pt>
                <c:pt idx="93">
                  <c:v>252953.82647556491</c:v>
                </c:pt>
                <c:pt idx="94">
                  <c:v>266409.65980889823</c:v>
                </c:pt>
                <c:pt idx="95">
                  <c:v>294874.55266604113</c:v>
                </c:pt>
                <c:pt idx="96">
                  <c:v>285373.1950938112</c:v>
                </c:pt>
                <c:pt idx="97">
                  <c:v>309608.47730862343</c:v>
                </c:pt>
                <c:pt idx="98">
                  <c:v>275425.79368568625</c:v>
                </c:pt>
                <c:pt idx="99">
                  <c:v>265569.0659774153</c:v>
                </c:pt>
                <c:pt idx="100">
                  <c:v>310493.49789844232</c:v>
                </c:pt>
                <c:pt idx="101">
                  <c:v>242562.2024959987</c:v>
                </c:pt>
                <c:pt idx="102">
                  <c:v>280251.59173662367</c:v>
                </c:pt>
                <c:pt idx="103">
                  <c:v>296445.93156103604</c:v>
                </c:pt>
                <c:pt idx="104">
                  <c:v>283851.2007853617</c:v>
                </c:pt>
                <c:pt idx="105">
                  <c:v>263221.72379321884</c:v>
                </c:pt>
                <c:pt idx="106">
                  <c:v>278022.05412902246</c:v>
                </c:pt>
                <c:pt idx="107">
                  <c:v>276975.2806343796</c:v>
                </c:pt>
                <c:pt idx="108">
                  <c:v>317308.16479809809</c:v>
                </c:pt>
                <c:pt idx="109">
                  <c:v>280634.86342391907</c:v>
                </c:pt>
                <c:pt idx="110">
                  <c:v>254401.28392084615</c:v>
                </c:pt>
                <c:pt idx="111">
                  <c:v>258088.75210527203</c:v>
                </c:pt>
                <c:pt idx="112">
                  <c:v>282608.59638600436</c:v>
                </c:pt>
                <c:pt idx="113">
                  <c:v>249352.74590420851</c:v>
                </c:pt>
                <c:pt idx="114">
                  <c:v>263193.90390937915</c:v>
                </c:pt>
                <c:pt idx="115">
                  <c:v>234440.62700006683</c:v>
                </c:pt>
                <c:pt idx="116">
                  <c:v>271494.33555937937</c:v>
                </c:pt>
                <c:pt idx="117">
                  <c:v>287015.03710875433</c:v>
                </c:pt>
                <c:pt idx="118">
                  <c:v>268796.68903202098</c:v>
                </c:pt>
                <c:pt idx="119">
                  <c:v>272877.38988402195</c:v>
                </c:pt>
                <c:pt idx="120">
                  <c:v>283171.72593450185</c:v>
                </c:pt>
                <c:pt idx="121">
                  <c:v>267261.30361526512</c:v>
                </c:pt>
                <c:pt idx="122">
                  <c:v>245145.12037782773</c:v>
                </c:pt>
                <c:pt idx="123">
                  <c:v>212782.23843450187</c:v>
                </c:pt>
                <c:pt idx="124">
                  <c:v>222473.96517571606</c:v>
                </c:pt>
                <c:pt idx="125">
                  <c:v>243772.97812227442</c:v>
                </c:pt>
                <c:pt idx="126">
                  <c:v>298821.81343450188</c:v>
                </c:pt>
                <c:pt idx="127">
                  <c:v>289338.3417586381</c:v>
                </c:pt>
                <c:pt idx="128">
                  <c:v>319525.82593450189</c:v>
                </c:pt>
                <c:pt idx="129">
                  <c:v>318707.45093450189</c:v>
                </c:pt>
                <c:pt idx="130">
                  <c:v>269782.15994045627</c:v>
                </c:pt>
                <c:pt idx="131">
                  <c:v>329005.05093450187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0E-4C32-8B4F-48DA6ADDA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Weather!$DP$158:$DP$255</c:f>
              <c:numCache>
                <c:formatCode>_(* #,##0_);_(* \(#,##0\);_(* "-"??_);_(@_)</c:formatCode>
                <c:ptCount val="98"/>
                <c:pt idx="0">
                  <c:v>22940442.075525835</c:v>
                </c:pt>
                <c:pt idx="1">
                  <c:v>19750182.603521436</c:v>
                </c:pt>
                <c:pt idx="2">
                  <c:v>18667532.484367538</c:v>
                </c:pt>
                <c:pt idx="3">
                  <c:v>17185932.248962335</c:v>
                </c:pt>
                <c:pt idx="4">
                  <c:v>18842238.561853837</c:v>
                </c:pt>
                <c:pt idx="5">
                  <c:v>24330964.085286837</c:v>
                </c:pt>
                <c:pt idx="6">
                  <c:v>30485698.764678538</c:v>
                </c:pt>
                <c:pt idx="7">
                  <c:v>25829575.968242534</c:v>
                </c:pt>
                <c:pt idx="8">
                  <c:v>19738217.869771238</c:v>
                </c:pt>
                <c:pt idx="9">
                  <c:v>18150877.194894433</c:v>
                </c:pt>
                <c:pt idx="10">
                  <c:v>19648132.137011733</c:v>
                </c:pt>
                <c:pt idx="11">
                  <c:v>22299512.088978134</c:v>
                </c:pt>
                <c:pt idx="12">
                  <c:v>23220643.847864494</c:v>
                </c:pt>
                <c:pt idx="13">
                  <c:v>21070740.115142494</c:v>
                </c:pt>
                <c:pt idx="14">
                  <c:v>21090139.995281495</c:v>
                </c:pt>
                <c:pt idx="15">
                  <c:v>18442014.413735695</c:v>
                </c:pt>
                <c:pt idx="16">
                  <c:v>18758766.803188898</c:v>
                </c:pt>
                <c:pt idx="17">
                  <c:v>21531298.069024794</c:v>
                </c:pt>
                <c:pt idx="18">
                  <c:v>27101461.942128897</c:v>
                </c:pt>
                <c:pt idx="19">
                  <c:v>24091301.034046695</c:v>
                </c:pt>
                <c:pt idx="20">
                  <c:v>19743349.217510894</c:v>
                </c:pt>
                <c:pt idx="21">
                  <c:v>18636040.720456898</c:v>
                </c:pt>
                <c:pt idx="22">
                  <c:v>20299657.892608896</c:v>
                </c:pt>
                <c:pt idx="23">
                  <c:v>23861647.359846197</c:v>
                </c:pt>
                <c:pt idx="24">
                  <c:v>25393202.293457907</c:v>
                </c:pt>
                <c:pt idx="25">
                  <c:v>21886278.818173807</c:v>
                </c:pt>
                <c:pt idx="26">
                  <c:v>22125882.52608351</c:v>
                </c:pt>
                <c:pt idx="27">
                  <c:v>17847693.948654607</c:v>
                </c:pt>
                <c:pt idx="28">
                  <c:v>17821762.58503991</c:v>
                </c:pt>
                <c:pt idx="29">
                  <c:v>20998414.369688809</c:v>
                </c:pt>
                <c:pt idx="30">
                  <c:v>23086879.999604907</c:v>
                </c:pt>
                <c:pt idx="31">
                  <c:v>22898517.649519607</c:v>
                </c:pt>
                <c:pt idx="32">
                  <c:v>19497729.920137007</c:v>
                </c:pt>
                <c:pt idx="33">
                  <c:v>18038933.076452006</c:v>
                </c:pt>
                <c:pt idx="34">
                  <c:v>20219734.067318108</c:v>
                </c:pt>
                <c:pt idx="35">
                  <c:v>22345974.245960809</c:v>
                </c:pt>
                <c:pt idx="36">
                  <c:v>24367178.229805239</c:v>
                </c:pt>
                <c:pt idx="37">
                  <c:v>22466482.311995439</c:v>
                </c:pt>
                <c:pt idx="38">
                  <c:v>21013033.88442684</c:v>
                </c:pt>
                <c:pt idx="39">
                  <c:v>17556188.672437936</c:v>
                </c:pt>
                <c:pt idx="40">
                  <c:v>18207057.629658837</c:v>
                </c:pt>
                <c:pt idx="41">
                  <c:v>19833723.178718138</c:v>
                </c:pt>
                <c:pt idx="42">
                  <c:v>25552478.788773138</c:v>
                </c:pt>
                <c:pt idx="43">
                  <c:v>24748450.928526238</c:v>
                </c:pt>
                <c:pt idx="44">
                  <c:v>22156204.349748038</c:v>
                </c:pt>
                <c:pt idx="45">
                  <c:v>17701333.681162238</c:v>
                </c:pt>
                <c:pt idx="46">
                  <c:v>18075477.924958337</c:v>
                </c:pt>
                <c:pt idx="47">
                  <c:v>20795330.447421238</c:v>
                </c:pt>
                <c:pt idx="48">
                  <c:v>22568585.525682587</c:v>
                </c:pt>
                <c:pt idx="49">
                  <c:v>20241380.399246987</c:v>
                </c:pt>
                <c:pt idx="50">
                  <c:v>19359371.986764789</c:v>
                </c:pt>
                <c:pt idx="51">
                  <c:v>17973519.346077684</c:v>
                </c:pt>
                <c:pt idx="52">
                  <c:v>19047091.269166984</c:v>
                </c:pt>
                <c:pt idx="53">
                  <c:v>22125504.150112487</c:v>
                </c:pt>
                <c:pt idx="54">
                  <c:v>29450116.707977187</c:v>
                </c:pt>
                <c:pt idx="55">
                  <c:v>30777988.889747586</c:v>
                </c:pt>
                <c:pt idx="56">
                  <c:v>21927063.701074887</c:v>
                </c:pt>
                <c:pt idx="57">
                  <c:v>17955354.765489686</c:v>
                </c:pt>
                <c:pt idx="58">
                  <c:v>18188501.195161484</c:v>
                </c:pt>
                <c:pt idx="59">
                  <c:v>22264829.558209386</c:v>
                </c:pt>
                <c:pt idx="60">
                  <c:v>22162065.014167484</c:v>
                </c:pt>
                <c:pt idx="61">
                  <c:v>18637570.22163086</c:v>
                </c:pt>
                <c:pt idx="62">
                  <c:v>20024303.984491248</c:v>
                </c:pt>
                <c:pt idx="63">
                  <c:v>17052034.049426168</c:v>
                </c:pt>
                <c:pt idx="64">
                  <c:v>19096905.725095563</c:v>
                </c:pt>
                <c:pt idx="65">
                  <c:v>23026861.29899263</c:v>
                </c:pt>
                <c:pt idx="66">
                  <c:v>27674827.997007251</c:v>
                </c:pt>
                <c:pt idx="67">
                  <c:v>25730368.855385121</c:v>
                </c:pt>
                <c:pt idx="68">
                  <c:v>21065018.835421018</c:v>
                </c:pt>
                <c:pt idx="69">
                  <c:v>18231593.113756634</c:v>
                </c:pt>
                <c:pt idx="70">
                  <c:v>19491896.410775527</c:v>
                </c:pt>
                <c:pt idx="71">
                  <c:v>23724231.163749639</c:v>
                </c:pt>
                <c:pt idx="72">
                  <c:v>24073659.566567264</c:v>
                </c:pt>
                <c:pt idx="73">
                  <c:v>20162044.327167265</c:v>
                </c:pt>
                <c:pt idx="74">
                  <c:v>20947649.553467266</c:v>
                </c:pt>
                <c:pt idx="75">
                  <c:v>19139295.462167267</c:v>
                </c:pt>
                <c:pt idx="76">
                  <c:v>20041747.692667268</c:v>
                </c:pt>
                <c:pt idx="77">
                  <c:v>22588013.119067267</c:v>
                </c:pt>
                <c:pt idx="78">
                  <c:v>30017017.307167266</c:v>
                </c:pt>
                <c:pt idx="79">
                  <c:v>30650726.001667269</c:v>
                </c:pt>
                <c:pt idx="80">
                  <c:v>23280752.545567263</c:v>
                </c:pt>
                <c:pt idx="81">
                  <c:v>19430725.728867266</c:v>
                </c:pt>
                <c:pt idx="82">
                  <c:v>20674343.852967266</c:v>
                </c:pt>
                <c:pt idx="83">
                  <c:v>23150505.742267266</c:v>
                </c:pt>
                <c:pt idx="84">
                  <c:v>24270749.622478835</c:v>
                </c:pt>
                <c:pt idx="85">
                  <c:v>21700393.622478835</c:v>
                </c:pt>
                <c:pt idx="86">
                  <c:v>20849772.622478835</c:v>
                </c:pt>
                <c:pt idx="87">
                  <c:v>18417882.622478835</c:v>
                </c:pt>
                <c:pt idx="88">
                  <c:v>18171409.622478835</c:v>
                </c:pt>
                <c:pt idx="89">
                  <c:v>20767283.622478835</c:v>
                </c:pt>
                <c:pt idx="90">
                  <c:v>31342776.622478835</c:v>
                </c:pt>
                <c:pt idx="91">
                  <c:v>27700006.622478835</c:v>
                </c:pt>
                <c:pt idx="92">
                  <c:v>21219806.622478835</c:v>
                </c:pt>
                <c:pt idx="93">
                  <c:v>18904138.622478835</c:v>
                </c:pt>
                <c:pt idx="94">
                  <c:v>20808997.622478835</c:v>
                </c:pt>
                <c:pt idx="95">
                  <c:v>22994714.622478835</c:v>
                </c:pt>
                <c:pt idx="96">
                  <c:v>22586037.165346839</c:v>
                </c:pt>
                <c:pt idx="97">
                  <c:v>21191611.165346839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A-41FD-A900-71BCAF4B4019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Weather!$DP$256:$DP$277</c:f>
              <c:numCache>
                <c:formatCode>_(* #,##0_);_(* \(#,##0\);_(* "-"??_);_(@_)</c:formatCode>
                <c:ptCount val="22"/>
                <c:pt idx="0">
                  <c:v>21271519.165346839</c:v>
                </c:pt>
                <c:pt idx="1">
                  <c:v>20194288.165346839</c:v>
                </c:pt>
                <c:pt idx="2">
                  <c:v>22093692.165346839</c:v>
                </c:pt>
                <c:pt idx="3">
                  <c:v>26755921.165346839</c:v>
                </c:pt>
                <c:pt idx="4">
                  <c:v>35902228.165346839</c:v>
                </c:pt>
                <c:pt idx="5">
                  <c:v>30894493.165346839</c:v>
                </c:pt>
                <c:pt idx="6">
                  <c:v>21056188.165346839</c:v>
                </c:pt>
                <c:pt idx="7">
                  <c:v>19613548.165346839</c:v>
                </c:pt>
                <c:pt idx="8">
                  <c:v>20096630.165346839</c:v>
                </c:pt>
                <c:pt idx="9">
                  <c:v>24485595.165346839</c:v>
                </c:pt>
                <c:pt idx="10">
                  <c:v>24559547.349920601</c:v>
                </c:pt>
                <c:pt idx="11">
                  <c:v>22858652.194690637</c:v>
                </c:pt>
                <c:pt idx="12">
                  <c:v>21250098.411898531</c:v>
                </c:pt>
                <c:pt idx="13">
                  <c:v>19327418.476259552</c:v>
                </c:pt>
                <c:pt idx="14">
                  <c:v>21731149.293650523</c:v>
                </c:pt>
                <c:pt idx="15">
                  <c:v>28777429.346252467</c:v>
                </c:pt>
                <c:pt idx="16">
                  <c:v>30327543.112256587</c:v>
                </c:pt>
                <c:pt idx="17">
                  <c:v>34134162.325425573</c:v>
                </c:pt>
                <c:pt idx="18">
                  <c:v>22407620.701135617</c:v>
                </c:pt>
                <c:pt idx="19">
                  <c:v>20802749.496813588</c:v>
                </c:pt>
                <c:pt idx="20">
                  <c:v>20937511.631318592</c:v>
                </c:pt>
                <c:pt idx="21">
                  <c:v>23749125.435736641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7A-41FD-A900-71BCAF4B4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&lt; 50 kW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Weather!$DQ$158:$DQ$255</c:f>
              <c:numCache>
                <c:formatCode>_(* #,##0_);_(* \(#,##0\);_(* "-"??_);_(@_)</c:formatCode>
                <c:ptCount val="98"/>
                <c:pt idx="0">
                  <c:v>9715146.4363389518</c:v>
                </c:pt>
                <c:pt idx="1">
                  <c:v>8758035.2273938507</c:v>
                </c:pt>
                <c:pt idx="2">
                  <c:v>8522126.5363044497</c:v>
                </c:pt>
                <c:pt idx="3">
                  <c:v>7739075.6310959514</c:v>
                </c:pt>
                <c:pt idx="4">
                  <c:v>7942686.7721972512</c:v>
                </c:pt>
                <c:pt idx="5">
                  <c:v>8944453.9506688509</c:v>
                </c:pt>
                <c:pt idx="6">
                  <c:v>10398756.83768275</c:v>
                </c:pt>
                <c:pt idx="7">
                  <c:v>9361959.3423689511</c:v>
                </c:pt>
                <c:pt idx="8">
                  <c:v>7892744.2531334516</c:v>
                </c:pt>
                <c:pt idx="9">
                  <c:v>7783049.2121892506</c:v>
                </c:pt>
                <c:pt idx="10">
                  <c:v>8189402.8398290509</c:v>
                </c:pt>
                <c:pt idx="11">
                  <c:v>9020722.2922806516</c:v>
                </c:pt>
                <c:pt idx="12">
                  <c:v>9534040.4083122835</c:v>
                </c:pt>
                <c:pt idx="13">
                  <c:v>9006643.9426317848</c:v>
                </c:pt>
                <c:pt idx="14">
                  <c:v>9257804.8367192838</c:v>
                </c:pt>
                <c:pt idx="15">
                  <c:v>8125918.1034470843</c:v>
                </c:pt>
                <c:pt idx="16">
                  <c:v>8062929.2464828845</c:v>
                </c:pt>
                <c:pt idx="17">
                  <c:v>8348247.6178910844</c:v>
                </c:pt>
                <c:pt idx="18">
                  <c:v>9941815.5495547839</c:v>
                </c:pt>
                <c:pt idx="19">
                  <c:v>9130044.4114049841</c:v>
                </c:pt>
                <c:pt idx="20">
                  <c:v>7742147.1490493836</c:v>
                </c:pt>
                <c:pt idx="21">
                  <c:v>7764874.1227563843</c:v>
                </c:pt>
                <c:pt idx="22">
                  <c:v>8442140.3708957825</c:v>
                </c:pt>
                <c:pt idx="23">
                  <c:v>9615887.6118512843</c:v>
                </c:pt>
                <c:pt idx="24">
                  <c:v>10330036.572259538</c:v>
                </c:pt>
                <c:pt idx="25">
                  <c:v>9342848.3845273387</c:v>
                </c:pt>
                <c:pt idx="26">
                  <c:v>9830145.6265787389</c:v>
                </c:pt>
                <c:pt idx="27">
                  <c:v>8001586.9321141401</c:v>
                </c:pt>
                <c:pt idx="28">
                  <c:v>7894834.0307170395</c:v>
                </c:pt>
                <c:pt idx="29">
                  <c:v>8660683.5504774395</c:v>
                </c:pt>
                <c:pt idx="30">
                  <c:v>8972779.9475971386</c:v>
                </c:pt>
                <c:pt idx="31">
                  <c:v>8995970.5378717389</c:v>
                </c:pt>
                <c:pt idx="32">
                  <c:v>8027835.84851244</c:v>
                </c:pt>
                <c:pt idx="33">
                  <c:v>7886120.3539005406</c:v>
                </c:pt>
                <c:pt idx="34">
                  <c:v>8807284.4124100395</c:v>
                </c:pt>
                <c:pt idx="35">
                  <c:v>9514629.8967646398</c:v>
                </c:pt>
                <c:pt idx="36">
                  <c:v>10320708.516808653</c:v>
                </c:pt>
                <c:pt idx="37">
                  <c:v>9866509.5237202533</c:v>
                </c:pt>
                <c:pt idx="38">
                  <c:v>9609841.243772652</c:v>
                </c:pt>
                <c:pt idx="39">
                  <c:v>8135771.8970295526</c:v>
                </c:pt>
                <c:pt idx="40">
                  <c:v>8279127.9417781532</c:v>
                </c:pt>
                <c:pt idx="41">
                  <c:v>8440161.6741833519</c:v>
                </c:pt>
                <c:pt idx="42">
                  <c:v>9819719.7518207524</c:v>
                </c:pt>
                <c:pt idx="43">
                  <c:v>9326215.976339452</c:v>
                </c:pt>
                <c:pt idx="44">
                  <c:v>9088680.2512800526</c:v>
                </c:pt>
                <c:pt idx="45">
                  <c:v>7998052.1049736533</c:v>
                </c:pt>
                <c:pt idx="46">
                  <c:v>8128766.3749836534</c:v>
                </c:pt>
                <c:pt idx="47">
                  <c:v>8942085.5352303516</c:v>
                </c:pt>
                <c:pt idx="48">
                  <c:v>9713760.0239987727</c:v>
                </c:pt>
                <c:pt idx="49">
                  <c:v>9070727.7860055715</c:v>
                </c:pt>
                <c:pt idx="50">
                  <c:v>8861048.2157562729</c:v>
                </c:pt>
                <c:pt idx="51">
                  <c:v>8183337.5863723708</c:v>
                </c:pt>
                <c:pt idx="52">
                  <c:v>8312264.3294410715</c:v>
                </c:pt>
                <c:pt idx="53">
                  <c:v>8595692.9989207722</c:v>
                </c:pt>
                <c:pt idx="54">
                  <c:v>10219490.189801874</c:v>
                </c:pt>
                <c:pt idx="55">
                  <c:v>10586850.475766674</c:v>
                </c:pt>
                <c:pt idx="56">
                  <c:v>8524200.2556404732</c:v>
                </c:pt>
                <c:pt idx="57">
                  <c:v>7901315.6122177718</c:v>
                </c:pt>
                <c:pt idx="58">
                  <c:v>7994603.2368015721</c:v>
                </c:pt>
                <c:pt idx="59">
                  <c:v>9430061.9246487729</c:v>
                </c:pt>
                <c:pt idx="60">
                  <c:v>9394536.1409439929</c:v>
                </c:pt>
                <c:pt idx="61">
                  <c:v>8205817.9846679755</c:v>
                </c:pt>
                <c:pt idx="62">
                  <c:v>8991014.4320844971</c:v>
                </c:pt>
                <c:pt idx="63">
                  <c:v>7628637.7486069882</c:v>
                </c:pt>
                <c:pt idx="64">
                  <c:v>7802364.6196940765</c:v>
                </c:pt>
                <c:pt idx="65">
                  <c:v>8568018.6844583936</c:v>
                </c:pt>
                <c:pt idx="66">
                  <c:v>9396094.8214159403</c:v>
                </c:pt>
                <c:pt idx="67">
                  <c:v>9013385.7733225636</c:v>
                </c:pt>
                <c:pt idx="68">
                  <c:v>8245914.4193014568</c:v>
                </c:pt>
                <c:pt idx="69">
                  <c:v>7746325.4601202719</c:v>
                </c:pt>
                <c:pt idx="70">
                  <c:v>8373365.6037009042</c:v>
                </c:pt>
                <c:pt idx="71">
                  <c:v>9299039.0866151359</c:v>
                </c:pt>
                <c:pt idx="72">
                  <c:v>9887375.4825748149</c:v>
                </c:pt>
                <c:pt idx="73">
                  <c:v>8512331.4271643814</c:v>
                </c:pt>
                <c:pt idx="74">
                  <c:v>8970271.9821998216</c:v>
                </c:pt>
                <c:pt idx="75">
                  <c:v>8297636.6351806959</c:v>
                </c:pt>
                <c:pt idx="76">
                  <c:v>8249231.8735396629</c:v>
                </c:pt>
                <c:pt idx="77">
                  <c:v>8373888.3241558662</c:v>
                </c:pt>
                <c:pt idx="78">
                  <c:v>9741782.1239099316</c:v>
                </c:pt>
                <c:pt idx="79">
                  <c:v>9820589.6786198616</c:v>
                </c:pt>
                <c:pt idx="80">
                  <c:v>8296767.5050907237</c:v>
                </c:pt>
                <c:pt idx="81">
                  <c:v>7823378.1220731037</c:v>
                </c:pt>
                <c:pt idx="82">
                  <c:v>8565433.8271822594</c:v>
                </c:pt>
                <c:pt idx="83">
                  <c:v>8828754.4656966105</c:v>
                </c:pt>
                <c:pt idx="84">
                  <c:v>9605510.1381623745</c:v>
                </c:pt>
                <c:pt idx="85">
                  <c:v>9040925.1381623745</c:v>
                </c:pt>
                <c:pt idx="86">
                  <c:v>9197067.1381623745</c:v>
                </c:pt>
                <c:pt idx="87">
                  <c:v>8127529.1381623745</c:v>
                </c:pt>
                <c:pt idx="88">
                  <c:v>7917097.1381623745</c:v>
                </c:pt>
                <c:pt idx="89">
                  <c:v>8152023.1381623745</c:v>
                </c:pt>
                <c:pt idx="90">
                  <c:v>10489533.138162374</c:v>
                </c:pt>
                <c:pt idx="91">
                  <c:v>9622269.1381623745</c:v>
                </c:pt>
                <c:pt idx="92">
                  <c:v>8273598.1381623745</c:v>
                </c:pt>
                <c:pt idx="93">
                  <c:v>7800425.1381623745</c:v>
                </c:pt>
                <c:pt idx="94">
                  <c:v>8616007.1381623745</c:v>
                </c:pt>
                <c:pt idx="95">
                  <c:v>9248236.1381623745</c:v>
                </c:pt>
                <c:pt idx="96">
                  <c:v>9374978.422756426</c:v>
                </c:pt>
                <c:pt idx="97">
                  <c:v>8821961.5697564259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E7-49FB-A454-B55BCBBC4DA1}"/>
            </c:ext>
          </c:extLst>
        </c:ser>
        <c:ser>
          <c:idx val="1"/>
          <c:order val="1"/>
          <c:tx>
            <c:v>GS &lt;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Weather!$DQ$256:$DQ$277</c:f>
              <c:numCache>
                <c:formatCode>_(* #,##0_);_(* \(#,##0\);_(* "-"??_);_(@_)</c:formatCode>
                <c:ptCount val="22"/>
                <c:pt idx="0">
                  <c:v>8206844.4992564246</c:v>
                </c:pt>
                <c:pt idx="1">
                  <c:v>6776050.0758564249</c:v>
                </c:pt>
                <c:pt idx="2">
                  <c:v>6981050.1180564258</c:v>
                </c:pt>
                <c:pt idx="3">
                  <c:v>7938603.4933564244</c:v>
                </c:pt>
                <c:pt idx="4">
                  <c:v>9807070.2790564243</c:v>
                </c:pt>
                <c:pt idx="5">
                  <c:v>9120086.2182564251</c:v>
                </c:pt>
                <c:pt idx="6">
                  <c:v>7766243.024256425</c:v>
                </c:pt>
                <c:pt idx="7">
                  <c:v>7704166.380056425</c:v>
                </c:pt>
                <c:pt idx="8">
                  <c:v>8129284.6763564246</c:v>
                </c:pt>
                <c:pt idx="9">
                  <c:v>9024138.0849564262</c:v>
                </c:pt>
                <c:pt idx="10">
                  <c:v>8980228.7675743923</c:v>
                </c:pt>
                <c:pt idx="11">
                  <c:v>8656506.8509763945</c:v>
                </c:pt>
                <c:pt idx="12">
                  <c:v>8547610.3388163969</c:v>
                </c:pt>
                <c:pt idx="13">
                  <c:v>7437605.7805074044</c:v>
                </c:pt>
                <c:pt idx="14">
                  <c:v>7624172.4321373999</c:v>
                </c:pt>
                <c:pt idx="15">
                  <c:v>8939305.3996103965</c:v>
                </c:pt>
                <c:pt idx="16">
                  <c:v>9619348.627058398</c:v>
                </c:pt>
                <c:pt idx="17">
                  <c:v>10353279.138714399</c:v>
                </c:pt>
                <c:pt idx="18">
                  <c:v>8403763.8862593919</c:v>
                </c:pt>
                <c:pt idx="19">
                  <c:v>8109369.5811114041</c:v>
                </c:pt>
                <c:pt idx="20">
                  <c:v>8522239.7704183962</c:v>
                </c:pt>
                <c:pt idx="21">
                  <c:v>9116150.4407464005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E7-49FB-A454-B55BCBBC4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Intermediate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Intermediate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Weather!$DS$158:$DS$255</c:f>
              <c:numCache>
                <c:formatCode>_(* #,##0_);_(* \(#,##0\);_(* "-"??_);_(@_)</c:formatCode>
                <c:ptCount val="98"/>
                <c:pt idx="0">
                  <c:v>10184292.424999999</c:v>
                </c:pt>
                <c:pt idx="1">
                  <c:v>9898478.9196000006</c:v>
                </c:pt>
                <c:pt idx="2">
                  <c:v>10528549.533600001</c:v>
                </c:pt>
                <c:pt idx="3">
                  <c:v>9746760.0995999984</c:v>
                </c:pt>
                <c:pt idx="4">
                  <c:v>10887684.005600002</c:v>
                </c:pt>
                <c:pt idx="5">
                  <c:v>10627934.568399996</c:v>
                </c:pt>
                <c:pt idx="6">
                  <c:v>11037123.910399999</c:v>
                </c:pt>
                <c:pt idx="7">
                  <c:v>11333527.0392</c:v>
                </c:pt>
                <c:pt idx="8">
                  <c:v>10531471.440000001</c:v>
                </c:pt>
                <c:pt idx="9">
                  <c:v>11053422.9202</c:v>
                </c:pt>
                <c:pt idx="10">
                  <c:v>11096947.746599998</c:v>
                </c:pt>
                <c:pt idx="11">
                  <c:v>9973850.2603999972</c:v>
                </c:pt>
                <c:pt idx="12">
                  <c:v>11037124.507985253</c:v>
                </c:pt>
                <c:pt idx="13">
                  <c:v>9768520.7657852564</c:v>
                </c:pt>
                <c:pt idx="14">
                  <c:v>10703251.362785257</c:v>
                </c:pt>
                <c:pt idx="15">
                  <c:v>10644159.995785259</c:v>
                </c:pt>
                <c:pt idx="16">
                  <c:v>11574045.029185256</c:v>
                </c:pt>
                <c:pt idx="17">
                  <c:v>11274594.937385254</c:v>
                </c:pt>
                <c:pt idx="18">
                  <c:v>11333699.280185258</c:v>
                </c:pt>
                <c:pt idx="19">
                  <c:v>11733516.672385257</c:v>
                </c:pt>
                <c:pt idx="20">
                  <c:v>11218710.709385253</c:v>
                </c:pt>
                <c:pt idx="21">
                  <c:v>11555487.475785257</c:v>
                </c:pt>
                <c:pt idx="22">
                  <c:v>10890261.64758526</c:v>
                </c:pt>
                <c:pt idx="23">
                  <c:v>10629075.920985257</c:v>
                </c:pt>
                <c:pt idx="24">
                  <c:v>11182147.167236708</c:v>
                </c:pt>
                <c:pt idx="25">
                  <c:v>9859051.9018367045</c:v>
                </c:pt>
                <c:pt idx="26">
                  <c:v>11209000.420836706</c:v>
                </c:pt>
                <c:pt idx="27">
                  <c:v>11171833.209036704</c:v>
                </c:pt>
                <c:pt idx="28">
                  <c:v>11807010.636436705</c:v>
                </c:pt>
                <c:pt idx="29">
                  <c:v>11080200.331636708</c:v>
                </c:pt>
                <c:pt idx="30">
                  <c:v>11727828.839436704</c:v>
                </c:pt>
                <c:pt idx="31">
                  <c:v>12013680.450836707</c:v>
                </c:pt>
                <c:pt idx="32">
                  <c:v>10309268.427036706</c:v>
                </c:pt>
                <c:pt idx="33">
                  <c:v>10614411.401836708</c:v>
                </c:pt>
                <c:pt idx="34">
                  <c:v>9874923.1360367052</c:v>
                </c:pt>
                <c:pt idx="35">
                  <c:v>10271194.814436708</c:v>
                </c:pt>
                <c:pt idx="36">
                  <c:v>10703737.427634416</c:v>
                </c:pt>
                <c:pt idx="37">
                  <c:v>9934619.3988344166</c:v>
                </c:pt>
                <c:pt idx="38">
                  <c:v>10564470.086034419</c:v>
                </c:pt>
                <c:pt idx="39">
                  <c:v>10250089.431834416</c:v>
                </c:pt>
                <c:pt idx="40">
                  <c:v>11332533.677434418</c:v>
                </c:pt>
                <c:pt idx="41">
                  <c:v>10405616.441234417</c:v>
                </c:pt>
                <c:pt idx="42">
                  <c:v>10670202.756834416</c:v>
                </c:pt>
                <c:pt idx="43">
                  <c:v>11177484.646834416</c:v>
                </c:pt>
                <c:pt idx="44">
                  <c:v>11304598.170634419</c:v>
                </c:pt>
                <c:pt idx="45">
                  <c:v>10943657.302834416</c:v>
                </c:pt>
                <c:pt idx="46">
                  <c:v>11055950.328034418</c:v>
                </c:pt>
                <c:pt idx="47">
                  <c:v>10386598.003834419</c:v>
                </c:pt>
                <c:pt idx="48">
                  <c:v>10928461.398332786</c:v>
                </c:pt>
                <c:pt idx="49">
                  <c:v>10208865.756532786</c:v>
                </c:pt>
                <c:pt idx="50">
                  <c:v>11012974.092732787</c:v>
                </c:pt>
                <c:pt idx="51">
                  <c:v>10383710.915132785</c:v>
                </c:pt>
                <c:pt idx="52">
                  <c:v>11123234.901132789</c:v>
                </c:pt>
                <c:pt idx="53">
                  <c:v>9791929.087932786</c:v>
                </c:pt>
                <c:pt idx="54">
                  <c:v>10797079.981132787</c:v>
                </c:pt>
                <c:pt idx="55">
                  <c:v>10973992.038532788</c:v>
                </c:pt>
                <c:pt idx="56">
                  <c:v>10286117.250332788</c:v>
                </c:pt>
                <c:pt idx="57">
                  <c:v>10353933.551132789</c:v>
                </c:pt>
                <c:pt idx="58">
                  <c:v>10009720.752132788</c:v>
                </c:pt>
                <c:pt idx="59">
                  <c:v>9627014.5981327891</c:v>
                </c:pt>
                <c:pt idx="60">
                  <c:v>9591765.3648723848</c:v>
                </c:pt>
                <c:pt idx="61">
                  <c:v>9108161.2460723836</c:v>
                </c:pt>
                <c:pt idx="62">
                  <c:v>10666257.661872383</c:v>
                </c:pt>
                <c:pt idx="63">
                  <c:v>9877999.4840723816</c:v>
                </c:pt>
                <c:pt idx="64">
                  <c:v>10238197.053872384</c:v>
                </c:pt>
                <c:pt idx="65">
                  <c:v>10531905.199872384</c:v>
                </c:pt>
                <c:pt idx="66">
                  <c:v>10960999.166472385</c:v>
                </c:pt>
                <c:pt idx="67">
                  <c:v>11556821.517472384</c:v>
                </c:pt>
                <c:pt idx="68">
                  <c:v>10202301.272072384</c:v>
                </c:pt>
                <c:pt idx="69">
                  <c:v>10935420.474472385</c:v>
                </c:pt>
                <c:pt idx="70">
                  <c:v>10844267.199072385</c:v>
                </c:pt>
                <c:pt idx="71">
                  <c:v>10244707.849472385</c:v>
                </c:pt>
                <c:pt idx="72">
                  <c:v>10220507.912220106</c:v>
                </c:pt>
                <c:pt idx="73">
                  <c:v>9550053.2290201057</c:v>
                </c:pt>
                <c:pt idx="74">
                  <c:v>10495231.318020105</c:v>
                </c:pt>
                <c:pt idx="75">
                  <c:v>9247887.7546201069</c:v>
                </c:pt>
                <c:pt idx="76">
                  <c:v>9898713.6104201023</c:v>
                </c:pt>
                <c:pt idx="77">
                  <c:v>10266712.966820106</c:v>
                </c:pt>
                <c:pt idx="78">
                  <c:v>10897159.829020105</c:v>
                </c:pt>
                <c:pt idx="79">
                  <c:v>11401005.786220107</c:v>
                </c:pt>
                <c:pt idx="80">
                  <c:v>10821083.914820107</c:v>
                </c:pt>
                <c:pt idx="81">
                  <c:v>10464975.140420105</c:v>
                </c:pt>
                <c:pt idx="82">
                  <c:v>10468682.646420106</c:v>
                </c:pt>
                <c:pt idx="83">
                  <c:v>9918059.8559201062</c:v>
                </c:pt>
                <c:pt idx="84">
                  <c:v>10580549.646441238</c:v>
                </c:pt>
                <c:pt idx="85">
                  <c:v>9087897.3551412392</c:v>
                </c:pt>
                <c:pt idx="86">
                  <c:v>10442893.534841239</c:v>
                </c:pt>
                <c:pt idx="87">
                  <c:v>9711950.3278412391</c:v>
                </c:pt>
                <c:pt idx="88">
                  <c:v>10564339.08304124</c:v>
                </c:pt>
                <c:pt idx="89">
                  <c:v>10143892.84824124</c:v>
                </c:pt>
                <c:pt idx="90">
                  <c:v>11027370.031341238</c:v>
                </c:pt>
                <c:pt idx="91">
                  <c:v>11094807.338341238</c:v>
                </c:pt>
                <c:pt idx="92">
                  <c:v>10437974.525241239</c:v>
                </c:pt>
                <c:pt idx="93">
                  <c:v>9493542.1670412384</c:v>
                </c:pt>
                <c:pt idx="94">
                  <c:v>10128962.257941239</c:v>
                </c:pt>
                <c:pt idx="95">
                  <c:v>9547978.0903412383</c:v>
                </c:pt>
                <c:pt idx="96">
                  <c:v>9921631.7113578096</c:v>
                </c:pt>
                <c:pt idx="97">
                  <c:v>9277118.9465578087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35-4846-BC23-D2B0BBB40646}"/>
            </c:ext>
          </c:extLst>
        </c:ser>
        <c:ser>
          <c:idx val="1"/>
          <c:order val="1"/>
          <c:tx>
            <c:v>Intermediate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Weather!$DS$256:$DS$277</c:f>
              <c:numCache>
                <c:formatCode>_(* #,##0_);_(* \(#,##0\);_(* "-"??_);_(@_)</c:formatCode>
                <c:ptCount val="22"/>
                <c:pt idx="0">
                  <c:v>9069482.4465578087</c:v>
                </c:pt>
                <c:pt idx="1">
                  <c:v>6993046.1341578094</c:v>
                </c:pt>
                <c:pt idx="2">
                  <c:v>7888313.4887578087</c:v>
                </c:pt>
                <c:pt idx="3">
                  <c:v>9866092.8563578092</c:v>
                </c:pt>
                <c:pt idx="4">
                  <c:v>10920252.898157809</c:v>
                </c:pt>
                <c:pt idx="5">
                  <c:v>11090449.078957809</c:v>
                </c:pt>
                <c:pt idx="6">
                  <c:v>10920681.765957808</c:v>
                </c:pt>
                <c:pt idx="7">
                  <c:v>9775097.1195578109</c:v>
                </c:pt>
                <c:pt idx="8">
                  <c:v>10268568.615157809</c:v>
                </c:pt>
                <c:pt idx="9">
                  <c:v>9963288.0091578104</c:v>
                </c:pt>
                <c:pt idx="10">
                  <c:v>10258419.893261282</c:v>
                </c:pt>
                <c:pt idx="11">
                  <c:v>9618403.2892612815</c:v>
                </c:pt>
                <c:pt idx="12">
                  <c:v>10859846.942061283</c:v>
                </c:pt>
                <c:pt idx="13">
                  <c:v>10749494.304861283</c:v>
                </c:pt>
                <c:pt idx="14">
                  <c:v>11206373.627261283</c:v>
                </c:pt>
                <c:pt idx="15">
                  <c:v>11333835.153261282</c:v>
                </c:pt>
                <c:pt idx="16">
                  <c:v>11110234.05786128</c:v>
                </c:pt>
                <c:pt idx="17">
                  <c:v>10734245.950061282</c:v>
                </c:pt>
                <c:pt idx="18">
                  <c:v>9403642.5300612804</c:v>
                </c:pt>
                <c:pt idx="19">
                  <c:v>10267183.503861282</c:v>
                </c:pt>
                <c:pt idx="20">
                  <c:v>10762440.759261284</c:v>
                </c:pt>
                <c:pt idx="21">
                  <c:v>9572434.2618612833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35-4846-BC23-D2B0BBB40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Large Use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Large Use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Weather!$DT$158:$DT$255</c:f>
              <c:numCache>
                <c:formatCode>_(* #,##0_);_(* \(#,##0\);_(* "-"??_);_(@_)</c:formatCode>
                <c:ptCount val="98"/>
                <c:pt idx="0">
                  <c:v>23834836.064902499</c:v>
                </c:pt>
                <c:pt idx="1">
                  <c:v>20937848.494860001</c:v>
                </c:pt>
                <c:pt idx="2">
                  <c:v>23746994.903362501</c:v>
                </c:pt>
                <c:pt idx="3">
                  <c:v>23562709.501567502</c:v>
                </c:pt>
                <c:pt idx="4">
                  <c:v>21444338.7360675</c:v>
                </c:pt>
                <c:pt idx="5">
                  <c:v>21848126.405985001</c:v>
                </c:pt>
                <c:pt idx="6">
                  <c:v>23009052.228524998</c:v>
                </c:pt>
                <c:pt idx="7">
                  <c:v>24714359.7245325</c:v>
                </c:pt>
                <c:pt idx="8">
                  <c:v>23088125.301615</c:v>
                </c:pt>
                <c:pt idx="9">
                  <c:v>21735263.339707501</c:v>
                </c:pt>
                <c:pt idx="10">
                  <c:v>21728354.336369999</c:v>
                </c:pt>
                <c:pt idx="11">
                  <c:v>22981434.2358975</c:v>
                </c:pt>
                <c:pt idx="12">
                  <c:v>22069532.846835185</c:v>
                </c:pt>
                <c:pt idx="13">
                  <c:v>21742510.084312685</c:v>
                </c:pt>
                <c:pt idx="14">
                  <c:v>24101552.512170181</c:v>
                </c:pt>
                <c:pt idx="15">
                  <c:v>20152519.055752683</c:v>
                </c:pt>
                <c:pt idx="16">
                  <c:v>22491203.862150185</c:v>
                </c:pt>
                <c:pt idx="17">
                  <c:v>22144008.17900268</c:v>
                </c:pt>
                <c:pt idx="18">
                  <c:v>23094323.983215183</c:v>
                </c:pt>
                <c:pt idx="19">
                  <c:v>23514754.079565186</c:v>
                </c:pt>
                <c:pt idx="20">
                  <c:v>20804434.856415186</c:v>
                </c:pt>
                <c:pt idx="21">
                  <c:v>20100788.139757685</c:v>
                </c:pt>
                <c:pt idx="22">
                  <c:v>21017431.941322684</c:v>
                </c:pt>
                <c:pt idx="23">
                  <c:v>22772246.808757681</c:v>
                </c:pt>
                <c:pt idx="24">
                  <c:v>21430181.628353979</c:v>
                </c:pt>
                <c:pt idx="25">
                  <c:v>20764315.884211477</c:v>
                </c:pt>
                <c:pt idx="26">
                  <c:v>21695725.79207398</c:v>
                </c:pt>
                <c:pt idx="27">
                  <c:v>22089816.404813975</c:v>
                </c:pt>
                <c:pt idx="28">
                  <c:v>22968983.70280648</c:v>
                </c:pt>
                <c:pt idx="29">
                  <c:v>21083571.994763978</c:v>
                </c:pt>
                <c:pt idx="30">
                  <c:v>23324918.981213976</c:v>
                </c:pt>
                <c:pt idx="31">
                  <c:v>24336139.992316477</c:v>
                </c:pt>
                <c:pt idx="32">
                  <c:v>22547663.664271478</c:v>
                </c:pt>
                <c:pt idx="33">
                  <c:v>22511072.692051478</c:v>
                </c:pt>
                <c:pt idx="34">
                  <c:v>23547116.547848981</c:v>
                </c:pt>
                <c:pt idx="35">
                  <c:v>23381738.097991481</c:v>
                </c:pt>
                <c:pt idx="36">
                  <c:v>24102538.286907062</c:v>
                </c:pt>
                <c:pt idx="37">
                  <c:v>21538838.744382061</c:v>
                </c:pt>
                <c:pt idx="38">
                  <c:v>23142749.785999559</c:v>
                </c:pt>
                <c:pt idx="39">
                  <c:v>23822749.551747061</c:v>
                </c:pt>
                <c:pt idx="40">
                  <c:v>22533672.550557058</c:v>
                </c:pt>
                <c:pt idx="41">
                  <c:v>20527783.264002062</c:v>
                </c:pt>
                <c:pt idx="42">
                  <c:v>23358062.947827064</c:v>
                </c:pt>
                <c:pt idx="43">
                  <c:v>23424688.349967062</c:v>
                </c:pt>
                <c:pt idx="44">
                  <c:v>21450872.247109562</c:v>
                </c:pt>
                <c:pt idx="45">
                  <c:v>22318729.746492062</c:v>
                </c:pt>
                <c:pt idx="46">
                  <c:v>21406122.84180456</c:v>
                </c:pt>
                <c:pt idx="47">
                  <c:v>25407499.244344562</c:v>
                </c:pt>
                <c:pt idx="48">
                  <c:v>26240783.849797517</c:v>
                </c:pt>
                <c:pt idx="49">
                  <c:v>24082032.08889002</c:v>
                </c:pt>
                <c:pt idx="50">
                  <c:v>26062036.087005019</c:v>
                </c:pt>
                <c:pt idx="51">
                  <c:v>25460055.473760016</c:v>
                </c:pt>
                <c:pt idx="52">
                  <c:v>25845409.945102524</c:v>
                </c:pt>
                <c:pt idx="53">
                  <c:v>24325056.669645019</c:v>
                </c:pt>
                <c:pt idx="54">
                  <c:v>25934832.953392521</c:v>
                </c:pt>
                <c:pt idx="55">
                  <c:v>24630219.295627519</c:v>
                </c:pt>
                <c:pt idx="56">
                  <c:v>23513442.137730021</c:v>
                </c:pt>
                <c:pt idx="57">
                  <c:v>24810905.696715023</c:v>
                </c:pt>
                <c:pt idx="58">
                  <c:v>24610081.270522524</c:v>
                </c:pt>
                <c:pt idx="59">
                  <c:v>24792434.467537519</c:v>
                </c:pt>
                <c:pt idx="60">
                  <c:v>24770287.141291514</c:v>
                </c:pt>
                <c:pt idx="61">
                  <c:v>22961918.206419017</c:v>
                </c:pt>
                <c:pt idx="62">
                  <c:v>26050296.256786522</c:v>
                </c:pt>
                <c:pt idx="63">
                  <c:v>24840158.954896517</c:v>
                </c:pt>
                <c:pt idx="64">
                  <c:v>26058283.385469019</c:v>
                </c:pt>
                <c:pt idx="65">
                  <c:v>22007168.552071519</c:v>
                </c:pt>
                <c:pt idx="66">
                  <c:v>25182895.508754019</c:v>
                </c:pt>
                <c:pt idx="67">
                  <c:v>25921413.410716515</c:v>
                </c:pt>
                <c:pt idx="68">
                  <c:v>23182666.180404019</c:v>
                </c:pt>
                <c:pt idx="69">
                  <c:v>21714170.522626519</c:v>
                </c:pt>
                <c:pt idx="70">
                  <c:v>22766018.494636517</c:v>
                </c:pt>
                <c:pt idx="71">
                  <c:v>24333332.109729018</c:v>
                </c:pt>
                <c:pt idx="72">
                  <c:v>24009161.497997802</c:v>
                </c:pt>
                <c:pt idx="73">
                  <c:v>23586264.422380298</c:v>
                </c:pt>
                <c:pt idx="74">
                  <c:v>24162940.202252798</c:v>
                </c:pt>
                <c:pt idx="75">
                  <c:v>20425443.915497798</c:v>
                </c:pt>
                <c:pt idx="76">
                  <c:v>20445732.092170302</c:v>
                </c:pt>
                <c:pt idx="77">
                  <c:v>23092492.308985304</c:v>
                </c:pt>
                <c:pt idx="78">
                  <c:v>24107494.645877801</c:v>
                </c:pt>
                <c:pt idx="79">
                  <c:v>23092259.140720297</c:v>
                </c:pt>
                <c:pt idx="80">
                  <c:v>25764080.7833203</c:v>
                </c:pt>
                <c:pt idx="81">
                  <c:v>26956878.799262796</c:v>
                </c:pt>
                <c:pt idx="82">
                  <c:v>25481222.583850298</c:v>
                </c:pt>
                <c:pt idx="83">
                  <c:v>26568385.3872278</c:v>
                </c:pt>
                <c:pt idx="84">
                  <c:v>27095699.423947453</c:v>
                </c:pt>
                <c:pt idx="85">
                  <c:v>23366311.423947453</c:v>
                </c:pt>
                <c:pt idx="86">
                  <c:v>26433357.423947453</c:v>
                </c:pt>
                <c:pt idx="87">
                  <c:v>24953186.423947453</c:v>
                </c:pt>
                <c:pt idx="88">
                  <c:v>24792249.423947453</c:v>
                </c:pt>
                <c:pt idx="89">
                  <c:v>24746862.423947453</c:v>
                </c:pt>
                <c:pt idx="90">
                  <c:v>25636772.423947453</c:v>
                </c:pt>
                <c:pt idx="91">
                  <c:v>25778018.423947453</c:v>
                </c:pt>
                <c:pt idx="92">
                  <c:v>20459553.423947453</c:v>
                </c:pt>
                <c:pt idx="93">
                  <c:v>21248121.423947453</c:v>
                </c:pt>
                <c:pt idx="94">
                  <c:v>22378411.423947453</c:v>
                </c:pt>
                <c:pt idx="95">
                  <c:v>24769462.423947453</c:v>
                </c:pt>
                <c:pt idx="96">
                  <c:v>25112841.168255385</c:v>
                </c:pt>
                <c:pt idx="97">
                  <c:v>23530244.275455382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02-4C03-AF1C-8A3B314EF3FF}"/>
            </c:ext>
          </c:extLst>
        </c:ser>
        <c:ser>
          <c:idx val="1"/>
          <c:order val="1"/>
          <c:tx>
            <c:v>Large Use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Weather!$DT$256:$DT$277</c:f>
              <c:numCache>
                <c:formatCode>_(* #,##0_);_(* \(#,##0\);_(* "-"??_);_(@_)</c:formatCode>
                <c:ptCount val="22"/>
                <c:pt idx="0">
                  <c:v>24237469.844340388</c:v>
                </c:pt>
                <c:pt idx="1">
                  <c:v>22307801.542102885</c:v>
                </c:pt>
                <c:pt idx="2">
                  <c:v>24839479.831875384</c:v>
                </c:pt>
                <c:pt idx="3">
                  <c:v>21345473.819647886</c:v>
                </c:pt>
                <c:pt idx="4">
                  <c:v>24662140.072822884</c:v>
                </c:pt>
                <c:pt idx="5">
                  <c:v>23715674.524882883</c:v>
                </c:pt>
                <c:pt idx="6">
                  <c:v>23843500.865970384</c:v>
                </c:pt>
                <c:pt idx="7">
                  <c:v>22110624.798630383</c:v>
                </c:pt>
                <c:pt idx="8">
                  <c:v>23353852.546837885</c:v>
                </c:pt>
                <c:pt idx="9">
                  <c:v>23265923.573287886</c:v>
                </c:pt>
                <c:pt idx="10">
                  <c:v>25384653.183847848</c:v>
                </c:pt>
                <c:pt idx="11">
                  <c:v>21328249.620217849</c:v>
                </c:pt>
                <c:pt idx="12">
                  <c:v>23404918.120717846</c:v>
                </c:pt>
                <c:pt idx="13">
                  <c:v>21679455.17684285</c:v>
                </c:pt>
                <c:pt idx="14">
                  <c:v>22608687.710880347</c:v>
                </c:pt>
                <c:pt idx="15">
                  <c:v>21943041.639570348</c:v>
                </c:pt>
                <c:pt idx="16">
                  <c:v>22108287.928387847</c:v>
                </c:pt>
                <c:pt idx="17">
                  <c:v>18755250.160005346</c:v>
                </c:pt>
                <c:pt idx="18">
                  <c:v>21719546.844750348</c:v>
                </c:pt>
                <c:pt idx="19">
                  <c:v>22961202.968700346</c:v>
                </c:pt>
                <c:pt idx="20">
                  <c:v>23654108.634817846</c:v>
                </c:pt>
                <c:pt idx="21">
                  <c:v>22921700.750257846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02-4C03-AF1C-8A3B314EF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404812</xdr:colOff>
      <xdr:row>138</xdr:row>
      <xdr:rowOff>9525</xdr:rowOff>
    </xdr:from>
    <xdr:to>
      <xdr:col>6</xdr:col>
      <xdr:colOff>61912</xdr:colOff>
      <xdr:row>152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4888BE-58AC-4ED5-B014-608C23C45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295275</xdr:colOff>
      <xdr:row>138</xdr:row>
      <xdr:rowOff>9525</xdr:rowOff>
    </xdr:from>
    <xdr:to>
      <xdr:col>11</xdr:col>
      <xdr:colOff>390525</xdr:colOff>
      <xdr:row>152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641E95-0D75-4B2E-8C1C-D4B5D2285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200024</xdr:colOff>
      <xdr:row>154</xdr:row>
      <xdr:rowOff>57150</xdr:rowOff>
    </xdr:from>
    <xdr:to>
      <xdr:col>15</xdr:col>
      <xdr:colOff>457199</xdr:colOff>
      <xdr:row>168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DEE67F-FEBC-49E8-B8FF-48A5574C4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76200</xdr:colOff>
      <xdr:row>138</xdr:row>
      <xdr:rowOff>0</xdr:rowOff>
    </xdr:from>
    <xdr:to>
      <xdr:col>20</xdr:col>
      <xdr:colOff>0</xdr:colOff>
      <xdr:row>152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F69E57-0514-45DB-A3FC-7C52654C3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0</xdr:colOff>
      <xdr:row>138</xdr:row>
      <xdr:rowOff>0</xdr:rowOff>
    </xdr:from>
    <xdr:to>
      <xdr:col>25</xdr:col>
      <xdr:colOff>171450</xdr:colOff>
      <xdr:row>152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F8B058-DD83-49B8-B803-F2FA2973B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95249</xdr:colOff>
      <xdr:row>18</xdr:row>
      <xdr:rowOff>161925</xdr:rowOff>
    </xdr:from>
    <xdr:to>
      <xdr:col>29</xdr:col>
      <xdr:colOff>85725</xdr:colOff>
      <xdr:row>38</xdr:row>
      <xdr:rowOff>185058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1EDD04-CB2C-4F27-AA12-7D8096A45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238124</xdr:colOff>
      <xdr:row>21</xdr:row>
      <xdr:rowOff>47625</xdr:rowOff>
    </xdr:from>
    <xdr:to>
      <xdr:col>32</xdr:col>
      <xdr:colOff>9525</xdr:colOff>
      <xdr:row>41</xdr:row>
      <xdr:rowOff>70758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CA86BA-62C2-40D1-8BA2-A559E329F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190499</xdr:colOff>
      <xdr:row>21</xdr:row>
      <xdr:rowOff>66675</xdr:rowOff>
    </xdr:from>
    <xdr:to>
      <xdr:col>31</xdr:col>
      <xdr:colOff>571500</xdr:colOff>
      <xdr:row>41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8BDB17-23FF-4A41-852E-0CECD1395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552449</xdr:colOff>
      <xdr:row>19</xdr:row>
      <xdr:rowOff>66675</xdr:rowOff>
    </xdr:from>
    <xdr:to>
      <xdr:col>25</xdr:col>
      <xdr:colOff>323850</xdr:colOff>
      <xdr:row>39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60D7E6-CCAD-4D40-86EE-E53E556B2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7</xdr:col>
      <xdr:colOff>714375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A3FBD4-907C-493A-A768-07A616C4B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17</xdr:col>
      <xdr:colOff>704850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CFDE93-AD9F-43B2-A1B0-724DCFC19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523875</xdr:colOff>
      <xdr:row>17</xdr:row>
      <xdr:rowOff>19050</xdr:rowOff>
    </xdr:from>
    <xdr:to>
      <xdr:col>26</xdr:col>
      <xdr:colOff>333375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0815CF-30AB-4323-925E-95FFFA064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17</xdr:row>
      <xdr:rowOff>0</xdr:rowOff>
    </xdr:from>
    <xdr:to>
      <xdr:col>34</xdr:col>
      <xdr:colOff>647700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6F828-2AA1-4407-B507-4CDBBDF8E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17</xdr:row>
      <xdr:rowOff>0</xdr:rowOff>
    </xdr:from>
    <xdr:to>
      <xdr:col>44</xdr:col>
      <xdr:colOff>123825</xdr:colOff>
      <xdr:row>37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C077A47-90E2-442B-865F-70BB3A9B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381000</xdr:colOff>
      <xdr:row>16</xdr:row>
      <xdr:rowOff>161925</xdr:rowOff>
    </xdr:from>
    <xdr:to>
      <xdr:col>51</xdr:col>
      <xdr:colOff>257175</xdr:colOff>
      <xdr:row>35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6112F6-2CAA-4D29-BA39-DBA9827F1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45</xdr:col>
      <xdr:colOff>400050</xdr:colOff>
      <xdr:row>36</xdr:row>
      <xdr:rowOff>133350</xdr:rowOff>
    </xdr:from>
    <xdr:to>
      <xdr:col>51</xdr:col>
      <xdr:colOff>228600</xdr:colOff>
      <xdr:row>50</xdr:row>
      <xdr:rowOff>161924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A95F89-D2E0-4705-8453-84EC9ADA2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52</xdr:col>
      <xdr:colOff>38100</xdr:colOff>
      <xdr:row>16</xdr:row>
      <xdr:rowOff>133350</xdr:rowOff>
    </xdr:from>
    <xdr:to>
      <xdr:col>57</xdr:col>
      <xdr:colOff>323850</xdr:colOff>
      <xdr:row>36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874AC6-9361-47B8-8346-19F615F8C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52</xdr:col>
      <xdr:colOff>47625</xdr:colOff>
      <xdr:row>37</xdr:row>
      <xdr:rowOff>38099</xdr:rowOff>
    </xdr:from>
    <xdr:to>
      <xdr:col>57</xdr:col>
      <xdr:colOff>304800</xdr:colOff>
      <xdr:row>51</xdr:row>
      <xdr:rowOff>85724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3DEF8E-1445-42E0-BF79-7FB98243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58</xdr:col>
      <xdr:colOff>0</xdr:colOff>
      <xdr:row>17</xdr:row>
      <xdr:rowOff>0</xdr:rowOff>
    </xdr:from>
    <xdr:to>
      <xdr:col>67</xdr:col>
      <xdr:colOff>266700</xdr:colOff>
      <xdr:row>36</xdr:row>
      <xdr:rowOff>161925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6A03E27-B330-458D-BA1D-16656710C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58</xdr:col>
      <xdr:colOff>9525</xdr:colOff>
      <xdr:row>37</xdr:row>
      <xdr:rowOff>95249</xdr:rowOff>
    </xdr:from>
    <xdr:to>
      <xdr:col>65</xdr:col>
      <xdr:colOff>457200</xdr:colOff>
      <xdr:row>51</xdr:row>
      <xdr:rowOff>142874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B250DB3-6FA6-4F79-B784-90FC35E93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200025</xdr:colOff>
      <xdr:row>1</xdr:row>
      <xdr:rowOff>176211</xdr:rowOff>
    </xdr:from>
    <xdr:to>
      <xdr:col>41</xdr:col>
      <xdr:colOff>504825</xdr:colOff>
      <xdr:row>30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BC5E5-1BCC-4BA3-96F5-1C91BD86C1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19050</xdr:colOff>
      <xdr:row>30</xdr:row>
      <xdr:rowOff>171450</xdr:rowOff>
    </xdr:from>
    <xdr:to>
      <xdr:col>49</xdr:col>
      <xdr:colOff>323850</xdr:colOff>
      <xdr:row>50</xdr:row>
      <xdr:rowOff>61913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2927DA-9055-4312-886A-39EF3B98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161925</xdr:colOff>
      <xdr:row>30</xdr:row>
      <xdr:rowOff>142875</xdr:rowOff>
    </xdr:from>
    <xdr:to>
      <xdr:col>41</xdr:col>
      <xdr:colOff>466725</xdr:colOff>
      <xdr:row>50</xdr:row>
      <xdr:rowOff>33338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402659-3E44-4587-8F64-091B4235F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0</xdr:colOff>
      <xdr:row>2</xdr:row>
      <xdr:rowOff>0</xdr:rowOff>
    </xdr:from>
    <xdr:to>
      <xdr:col>49</xdr:col>
      <xdr:colOff>304800</xdr:colOff>
      <xdr:row>30</xdr:row>
      <xdr:rowOff>80963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B97EF7-9108-4B0D-B135-3C578160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49</xdr:col>
      <xdr:colOff>409575</xdr:colOff>
      <xdr:row>30</xdr:row>
      <xdr:rowOff>142875</xdr:rowOff>
    </xdr:from>
    <xdr:to>
      <xdr:col>57</xdr:col>
      <xdr:colOff>104775</xdr:colOff>
      <xdr:row>50</xdr:row>
      <xdr:rowOff>33338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46BB11-A188-4426-B5D9-7FE9047E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409575</xdr:colOff>
      <xdr:row>1</xdr:row>
      <xdr:rowOff>180975</xdr:rowOff>
    </xdr:from>
    <xdr:to>
      <xdr:col>57</xdr:col>
      <xdr:colOff>104775</xdr:colOff>
      <xdr:row>30</xdr:row>
      <xdr:rowOff>71438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5C98EA-46DC-4E6D-BAC2-D51A4D0A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126</xdr:col>
      <xdr:colOff>0</xdr:colOff>
      <xdr:row>159</xdr:row>
      <xdr:rowOff>0</xdr:rowOff>
    </xdr:from>
    <xdr:to>
      <xdr:col>137</xdr:col>
      <xdr:colOff>342900</xdr:colOff>
      <xdr:row>177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D65813-11DB-4AD6-B7FB-72015CF52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126</xdr:col>
      <xdr:colOff>0</xdr:colOff>
      <xdr:row>179</xdr:row>
      <xdr:rowOff>0</xdr:rowOff>
    </xdr:from>
    <xdr:to>
      <xdr:col>137</xdr:col>
      <xdr:colOff>342900</xdr:colOff>
      <xdr:row>197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2334DC-23E8-4D76-954C-60C6EE94A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126</xdr:col>
      <xdr:colOff>0</xdr:colOff>
      <xdr:row>217</xdr:row>
      <xdr:rowOff>0</xdr:rowOff>
    </xdr:from>
    <xdr:to>
      <xdr:col>137</xdr:col>
      <xdr:colOff>342900</xdr:colOff>
      <xdr:row>235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C02E6C-4BA6-4981-B5DA-EE464B4ED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126</xdr:col>
      <xdr:colOff>0</xdr:colOff>
      <xdr:row>237</xdr:row>
      <xdr:rowOff>0</xdr:rowOff>
    </xdr:from>
    <xdr:to>
      <xdr:col>137</xdr:col>
      <xdr:colOff>342900</xdr:colOff>
      <xdr:row>255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D7ADB03-DEE8-45D0-AD9F-F5378C67E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126</xdr:col>
      <xdr:colOff>0</xdr:colOff>
      <xdr:row>198</xdr:row>
      <xdr:rowOff>0</xdr:rowOff>
    </xdr:from>
    <xdr:to>
      <xdr:col>137</xdr:col>
      <xdr:colOff>342900</xdr:colOff>
      <xdr:row>216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C6542C7-394D-4FD3-A8A7-2C03B644E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466724</xdr:colOff>
      <xdr:row>23</xdr:row>
      <xdr:rowOff>95250</xdr:rowOff>
    </xdr:from>
    <xdr:to>
      <xdr:col>40</xdr:col>
      <xdr:colOff>266699</xdr:colOff>
      <xdr:row>43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64DDC-334D-4F65-8143-32EA363C4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28574</xdr:colOff>
      <xdr:row>19</xdr:row>
      <xdr:rowOff>171450</xdr:rowOff>
    </xdr:from>
    <xdr:to>
      <xdr:col>30</xdr:col>
      <xdr:colOff>19050</xdr:colOff>
      <xdr:row>40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78EA3E-B043-47AB-BDD9-3787A90EB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76199</xdr:colOff>
      <xdr:row>21</xdr:row>
      <xdr:rowOff>38100</xdr:rowOff>
    </xdr:from>
    <xdr:to>
      <xdr:col>37</xdr:col>
      <xdr:colOff>104775</xdr:colOff>
      <xdr:row>41</xdr:row>
      <xdr:rowOff>61233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227F4C-5C97-44AB-B10B-D64D606C1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552449</xdr:colOff>
      <xdr:row>21</xdr:row>
      <xdr:rowOff>66675</xdr:rowOff>
    </xdr:from>
    <xdr:to>
      <xdr:col>32</xdr:col>
      <xdr:colOff>323850</xdr:colOff>
      <xdr:row>41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6688CC-BB66-4082-8A2A-523C82F54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38099</xdr:colOff>
      <xdr:row>19</xdr:row>
      <xdr:rowOff>104775</xdr:rowOff>
    </xdr:from>
    <xdr:to>
      <xdr:col>27</xdr:col>
      <xdr:colOff>419100</xdr:colOff>
      <xdr:row>39</xdr:row>
      <xdr:rowOff>127908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88D166-AA83-4D72-8D70-3326FE1AC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1143000</xdr:colOff>
      <xdr:row>18</xdr:row>
      <xdr:rowOff>114300</xdr:rowOff>
    </xdr:from>
    <xdr:to>
      <xdr:col>20</xdr:col>
      <xdr:colOff>1323974</xdr:colOff>
      <xdr:row>34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597AB3-21EA-4742-AEC9-55C6AB1C4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1409700</xdr:colOff>
      <xdr:row>18</xdr:row>
      <xdr:rowOff>114300</xdr:rowOff>
    </xdr:from>
    <xdr:to>
      <xdr:col>26</xdr:col>
      <xdr:colOff>238124</xdr:colOff>
      <xdr:row>34</xdr:row>
      <xdr:rowOff>66674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7D6390-7F15-424F-965A-0932880A5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123826</xdr:colOff>
      <xdr:row>18</xdr:row>
      <xdr:rowOff>66676</xdr:rowOff>
    </xdr:from>
    <xdr:to>
      <xdr:col>5</xdr:col>
      <xdr:colOff>638175</xdr:colOff>
      <xdr:row>34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D02F87-5B0E-4D00-A22C-73142F184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342901</xdr:colOff>
      <xdr:row>89</xdr:row>
      <xdr:rowOff>19051</xdr:rowOff>
    </xdr:from>
    <xdr:to>
      <xdr:col>5</xdr:col>
      <xdr:colOff>857250</xdr:colOff>
      <xdr:row>104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78EDBC4-BB68-4D81-9922-D612FFE35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781050</xdr:colOff>
      <xdr:row>18</xdr:row>
      <xdr:rowOff>85726</xdr:rowOff>
    </xdr:from>
    <xdr:to>
      <xdr:col>10</xdr:col>
      <xdr:colOff>695325</xdr:colOff>
      <xdr:row>34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5AB80E-5AB8-443E-8C7D-C074E25C5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1009650</xdr:colOff>
      <xdr:row>88</xdr:row>
      <xdr:rowOff>180976</xdr:rowOff>
    </xdr:from>
    <xdr:to>
      <xdr:col>10</xdr:col>
      <xdr:colOff>923925</xdr:colOff>
      <xdr:row>104</xdr:row>
      <xdr:rowOff>133350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B60E458-9E4F-4AA1-8B88-4A1AE1B3D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800101</xdr:colOff>
      <xdr:row>18</xdr:row>
      <xdr:rowOff>114300</xdr:rowOff>
    </xdr:from>
    <xdr:to>
      <xdr:col>15</xdr:col>
      <xdr:colOff>1019175</xdr:colOff>
      <xdr:row>34</xdr:row>
      <xdr:rowOff>66674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C70419-6E93-49FF-B807-157BA300D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790574</xdr:colOff>
      <xdr:row>23</xdr:row>
      <xdr:rowOff>19050</xdr:rowOff>
    </xdr:from>
    <xdr:to>
      <xdr:col>36</xdr:col>
      <xdr:colOff>514349</xdr:colOff>
      <xdr:row>43</xdr:row>
      <xdr:rowOff>42183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450F0B-C4BE-44BE-A5FF-2CC312182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Richmond%20Hill\Year%20End\RHH96YE_%20MEA%20Statistic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rajovicr\Local%20Settings\Temporary%20Internet%20Files\Content.Outlook\HAF9ATEP\Dummy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ennant\Return%20on%20Equity%20and%20WC\RateMak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DC%20FTY%20-%20LF\CostAllocat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91282D\Exhibit%203%20Distribution%20Revenue%20Throughputs%20-%20Blan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15-2020%20Programs\IESO%20Monthly%20Reports\2019_01_Jan_BWP_LDC%20Report%20Template%20v9.2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bacon\My%20Documents\Orillia\2010%20Rates\2010%20Rate%20File%20-%20July%202,%202009\Documents%20and%20Settings\phurley\Desktop\Lakeland%20Rate%20App\LPDL_2009%20Revenue%20Requir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</row>
        <row r="250">
          <cell r="B250" t="str">
            <v xml:space="preserve">   Average for medium size utilities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1.Admin"/>
      <sheetName val="A2.HistoricalBalances"/>
      <sheetName val="A3.CustomerClasses"/>
      <sheetName val="B1.GrossCapital"/>
      <sheetName val="B2.CapitalAmortization"/>
      <sheetName val="B3.NetCapital"/>
      <sheetName val="B4.OMA"/>
      <sheetName val="B5.DeferralBalances"/>
      <sheetName val="C1.LoadForecast"/>
      <sheetName val="C2.PassthruRates"/>
      <sheetName val="C3.DistRates"/>
      <sheetName val="C4.DistRevenue"/>
      <sheetName val="C5.ApprovedRecovery"/>
      <sheetName val="C6.ProposedRecoveries"/>
      <sheetName val="C7.RateRiders"/>
      <sheetName val="C8.ServiceRevenues"/>
      <sheetName val="C9.RevenueOffsets"/>
      <sheetName val="D1.RateBase"/>
      <sheetName val="D2.Debt"/>
      <sheetName val="D3.CapitalStructure"/>
      <sheetName val="E1.BridgeYrPL"/>
      <sheetName val="E2.TestYrPL"/>
      <sheetName val="E3.CapitalInfo"/>
      <sheetName val="E4.PILsResults"/>
      <sheetName val="F1.RevRequirement"/>
      <sheetName val="F2.DirectRevenues"/>
      <sheetName val="F3.CostAllocation"/>
      <sheetName val="F4.RevenueAllocation"/>
      <sheetName val="F5.RateDesign"/>
      <sheetName val="F6.RatesCheck"/>
      <sheetName val="F7.FinalRates"/>
      <sheetName val="F8.BillImpacts"/>
      <sheetName val="G1.BridgeYrProForma"/>
      <sheetName val="G2.TestYrProForma"/>
      <sheetName val="G3.TestYrNewRates"/>
      <sheetName val="G4.VarBS"/>
      <sheetName val="G5.VarPL"/>
      <sheetName val="G6.VarRateBase"/>
      <sheetName val="G7.VarSuffDef"/>
      <sheetName val="X11.RatesSched"/>
      <sheetName val="X12.PLtrend"/>
      <sheetName val="X13.PLvariances"/>
      <sheetName val="X14.BStrend"/>
      <sheetName val="X15.BSvariances"/>
      <sheetName val="X21.CapitalCont"/>
      <sheetName val="X22.RBtrend"/>
      <sheetName val="X23.RBvariances"/>
      <sheetName val="X71.RevSuffDef"/>
      <sheetName val="X72.RevenueReq"/>
      <sheetName val="Y1.PrescribedRates"/>
      <sheetName val="Y2.ChartOfAccts"/>
      <sheetName val="Y3.AmortAccts"/>
      <sheetName val="Y4.PassthruAccts"/>
      <sheetName val="Y5.DistRateAccts"/>
      <sheetName val="Y6.ServiceRevAccts"/>
      <sheetName val="Y7.RPPrates"/>
      <sheetName val="Y8.VarianceThresholds"/>
      <sheetName val="Z1.ModelVariables"/>
      <sheetName val="Z2.ModelTables"/>
      <sheetName val="Z0.Disclaimer"/>
    </sheetNames>
    <sheetDataSet>
      <sheetData sheetId="0" refreshError="1"/>
      <sheetData sheetId="1" refreshError="1">
        <row r="13">
          <cell r="C1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10">
          <cell r="C10" t="str">
            <v xml:space="preserve">_x000D_
</v>
          </cell>
        </row>
        <row r="12">
          <cell r="C12" t="str">
            <v>2006 EDR Approved</v>
          </cell>
        </row>
        <row r="14">
          <cell r="C14" t="str">
            <v> </v>
          </cell>
        </row>
      </sheetData>
      <sheetData sheetId="59" refreshError="1"/>
      <sheetData sheetId="6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lassRevenues"/>
      <sheetName val="ExistingRatesDetails"/>
      <sheetName val="ExistingRatesSummary"/>
      <sheetName val="LoadForecastDetails"/>
      <sheetName val="LoadForecastSummary"/>
      <sheetName val="Refs"/>
    </sheetNames>
    <sheetDataSet>
      <sheetData sheetId="0" refreshError="1">
        <row r="8">
          <cell r="C8" t="str">
            <v>C:\Documents and Settings\jcochrane.ERA-INC\My Documents\2008EDR\FTYv1.3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Horizon_Utilities_Corporation_Detailed_CA_model_Run2.xls</v>
          </cell>
        </row>
        <row r="3">
          <cell r="B3" t="str">
            <v>'[Horizon_Utilities_Corporation_Detailed_CA_model_Run2.xls]I2 LDC class'!$C:$G</v>
          </cell>
        </row>
        <row r="4">
          <cell r="B4" t="str">
            <v>'[Horizon_Utilities_Corporation_Detailed_CA_model_Run2.xls]O1 Revenue to cost|RR'!$D$17:$W$17</v>
          </cell>
        </row>
        <row r="5">
          <cell r="B5" t="str">
            <v>Revenue Requirement (includes NI)</v>
          </cell>
        </row>
        <row r="6">
          <cell r="B6">
            <v>92033309.222477198</v>
          </cell>
        </row>
        <row r="7">
          <cell r="B7" t="str">
            <v>'[Horizon_Utilities_Corporation_Detailed_CA_model_Run2.xls]O1 Revenue to cost|RR'!$B:$W</v>
          </cell>
        </row>
        <row r="8">
          <cell r="B8">
            <v>498976676.05552793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ofit Instructions"/>
      <sheetName val="Program Activity Information"/>
      <sheetName val="Program Activity Measures EE"/>
      <sheetName val="Program Administration Costs"/>
      <sheetName val="LDC Settlement Summary"/>
      <sheetName val="LDC Settlement Summary (2)"/>
      <sheetName val="NEW Duplication Check"/>
      <sheetName val="Data Dictionary"/>
      <sheetName val="Common Issues"/>
      <sheetName val="Lookup"/>
      <sheetName val="App Status Ref"/>
      <sheetName val="Measure Table"/>
      <sheetName val="HAP Measures"/>
      <sheetName val="JUNK Data"/>
      <sheetName val="Sheet1"/>
      <sheetName val="Sheet2"/>
      <sheetName val="Version 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Alectra Utilities Corporation</v>
          </cell>
        </row>
        <row r="3">
          <cell r="A3" t="str">
            <v>Algoma Power Inc.</v>
          </cell>
        </row>
        <row r="4">
          <cell r="A4" t="str">
            <v>Atikokan Hydro Inc.</v>
          </cell>
        </row>
        <row r="5">
          <cell r="A5" t="str">
            <v>Attawapiskat Power Corporation</v>
          </cell>
        </row>
        <row r="6">
          <cell r="A6" t="str">
            <v>Bluewater Power Distribution Corporation</v>
          </cell>
        </row>
        <row r="7">
          <cell r="A7" t="str">
            <v>Brantford Power Inc.</v>
          </cell>
        </row>
        <row r="8">
          <cell r="A8" t="str">
            <v>Burlington Hydro Inc.</v>
          </cell>
        </row>
        <row r="9">
          <cell r="A9" t="str">
            <v>Canadian Niagara Power Inc.</v>
          </cell>
        </row>
        <row r="10">
          <cell r="A10" t="str">
            <v>Centre Wellington Hydro Ltd.</v>
          </cell>
        </row>
        <row r="11">
          <cell r="A11" t="str">
            <v>Chapleau Public Utilities Corporation</v>
          </cell>
        </row>
        <row r="12">
          <cell r="A12" t="str">
            <v>COLLUS PowerStream Corp.</v>
          </cell>
        </row>
        <row r="13">
          <cell r="A13" t="str">
            <v>Cooperative Hydro Embrun Inc.</v>
          </cell>
        </row>
        <row r="14">
          <cell r="A14" t="str">
            <v>E.L.K. Energy Inc.</v>
          </cell>
        </row>
        <row r="15">
          <cell r="A15" t="str">
            <v>Energy+ Inc.</v>
          </cell>
        </row>
        <row r="16">
          <cell r="A16" t="str">
            <v>Enersource Hydro Mississauga Inc.</v>
          </cell>
        </row>
        <row r="17">
          <cell r="A17" t="str">
            <v>Entegrus Powerlines Inc.</v>
          </cell>
        </row>
        <row r="18">
          <cell r="A18" t="str">
            <v>EnWin Utilities Ltd.</v>
          </cell>
        </row>
        <row r="19">
          <cell r="A19" t="str">
            <v>Erie Thames Powerlines Corporation</v>
          </cell>
        </row>
        <row r="20">
          <cell r="A20" t="str">
            <v>Espanola Regional Hydro Distribution Corporation</v>
          </cell>
        </row>
        <row r="21">
          <cell r="A21" t="str">
            <v>Essex Powerlines Corporation</v>
          </cell>
        </row>
        <row r="22">
          <cell r="A22" t="str">
            <v>Festival Hydro Inc.</v>
          </cell>
        </row>
        <row r="23">
          <cell r="A23" t="str">
            <v>Fort Albany Power Corporation</v>
          </cell>
        </row>
        <row r="24">
          <cell r="A24" t="str">
            <v>Fort Frances Power Corporation</v>
          </cell>
        </row>
        <row r="25">
          <cell r="A25" t="str">
            <v>Greater Sudbury Hydro Inc.</v>
          </cell>
        </row>
        <row r="26">
          <cell r="A26" t="str">
            <v>Grimsby Power Incorporated</v>
          </cell>
        </row>
        <row r="27">
          <cell r="A27" t="str">
            <v>Guelph Hydro Electric Systems Inc.</v>
          </cell>
        </row>
        <row r="28">
          <cell r="A28" t="str">
            <v>Halton Hills Hydro Inc.</v>
          </cell>
        </row>
        <row r="29">
          <cell r="A29" t="str">
            <v>Hearst Power Distribution Company Limited</v>
          </cell>
        </row>
        <row r="30">
          <cell r="A30" t="str">
            <v>Horizon Utilities Corporation</v>
          </cell>
        </row>
        <row r="31">
          <cell r="A31" t="str">
            <v>Hydro 2000 Inc.</v>
          </cell>
        </row>
        <row r="32">
          <cell r="A32" t="str">
            <v>Hydro Hawkesbury Inc.</v>
          </cell>
        </row>
        <row r="33">
          <cell r="A33" t="str">
            <v>Hydro One Brampton Networks Inc.</v>
          </cell>
        </row>
        <row r="34">
          <cell r="A34" t="str">
            <v>Hydro One Networks Inc.</v>
          </cell>
        </row>
        <row r="35">
          <cell r="A35" t="str">
            <v>Hydro Ottawa Limited</v>
          </cell>
        </row>
        <row r="36">
          <cell r="A36" t="str">
            <v>InnPower Corporation</v>
          </cell>
        </row>
        <row r="37">
          <cell r="A37" t="str">
            <v>Kashechewan Power Corporation</v>
          </cell>
        </row>
        <row r="38">
          <cell r="A38" t="str">
            <v>Kenora Hydro Electric Corporation Ltd.</v>
          </cell>
        </row>
        <row r="39">
          <cell r="A39" t="str">
            <v>Kingston Hydro Corporation</v>
          </cell>
        </row>
        <row r="40">
          <cell r="A40" t="str">
            <v>Kitchener-Wilmot Hydro Inc.</v>
          </cell>
        </row>
        <row r="41">
          <cell r="A41" t="str">
            <v>Lakefront Utilities Inc.</v>
          </cell>
        </row>
        <row r="42">
          <cell r="A42" t="str">
            <v>Lakeland Power Distribution Ltd.</v>
          </cell>
        </row>
        <row r="43">
          <cell r="A43" t="str">
            <v>London Hydro Inc.</v>
          </cell>
        </row>
        <row r="44">
          <cell r="A44" t="str">
            <v>Midland Power Utility Corporation</v>
          </cell>
        </row>
        <row r="45">
          <cell r="A45" t="str">
            <v>Milton Hydro Distribution Inc.</v>
          </cell>
        </row>
        <row r="46">
          <cell r="A46" t="str">
            <v>Newmarket-Tay Power Distribution Ltd.</v>
          </cell>
        </row>
        <row r="47">
          <cell r="A47" t="str">
            <v>Niagara Peninsula Energy Inc.</v>
          </cell>
        </row>
        <row r="48">
          <cell r="A48" t="str">
            <v>Niagara-on-the-Lake Hydro Inc.</v>
          </cell>
        </row>
        <row r="49">
          <cell r="A49" t="str">
            <v>North Bay Hydro Distribution Limited</v>
          </cell>
        </row>
        <row r="50">
          <cell r="A50" t="str">
            <v>Northern Ontario Wires Inc.</v>
          </cell>
        </row>
        <row r="51">
          <cell r="A51" t="str">
            <v>Oakville Hydro Electricity Distribution Inc.</v>
          </cell>
        </row>
        <row r="52">
          <cell r="A52" t="str">
            <v>Orangeville Hydro Limited</v>
          </cell>
        </row>
        <row r="53">
          <cell r="A53" t="str">
            <v>Orillia Power Distribution Corporation</v>
          </cell>
        </row>
        <row r="54">
          <cell r="A54" t="str">
            <v>Oshawa PUC Networks Inc.</v>
          </cell>
        </row>
        <row r="55">
          <cell r="A55" t="str">
            <v>Ottawa River Power Corporation</v>
          </cell>
        </row>
        <row r="56">
          <cell r="A56" t="str">
            <v>Peterborough Distribution Incorporated</v>
          </cell>
        </row>
        <row r="57">
          <cell r="A57" t="str">
            <v>PowerStream Inc.</v>
          </cell>
        </row>
        <row r="58">
          <cell r="A58" t="str">
            <v>PUC Distribution Inc.</v>
          </cell>
        </row>
        <row r="59">
          <cell r="A59" t="str">
            <v>Renfrew Hydro Inc.</v>
          </cell>
        </row>
        <row r="60">
          <cell r="A60" t="str">
            <v>Rideau St. Lawrence Distribution Inc.</v>
          </cell>
        </row>
        <row r="61">
          <cell r="A61" t="str">
            <v>Sioux Lookout Hydro Inc.</v>
          </cell>
        </row>
        <row r="62">
          <cell r="A62" t="str">
            <v>St. Thomas Energy Inc.</v>
          </cell>
        </row>
        <row r="63">
          <cell r="A63" t="str">
            <v>Thunder Bay Hydro Electricity Distribution Inc.</v>
          </cell>
        </row>
        <row r="64">
          <cell r="A64" t="str">
            <v>Tillsonburg Hydro Inc.</v>
          </cell>
        </row>
        <row r="65">
          <cell r="A65" t="str">
            <v>Toronto Hydro-Electric System Limited</v>
          </cell>
        </row>
        <row r="66">
          <cell r="A66" t="str">
            <v>Veridian Connections Inc.</v>
          </cell>
        </row>
        <row r="67">
          <cell r="A67" t="str">
            <v>Wasaga Distribution Inc.</v>
          </cell>
        </row>
        <row r="68">
          <cell r="A68" t="str">
            <v>Waterloo North Hydro Inc.</v>
          </cell>
        </row>
        <row r="69">
          <cell r="A69" t="str">
            <v>Welland Hydro-Electric System Corp.</v>
          </cell>
        </row>
        <row r="70">
          <cell r="A70" t="str">
            <v>Wellington North Power Inc.</v>
          </cell>
        </row>
        <row r="71">
          <cell r="A71" t="str">
            <v>West Coast Huron Energy Inc.</v>
          </cell>
        </row>
        <row r="72">
          <cell r="A72" t="str">
            <v>Westario Power Inc.</v>
          </cell>
        </row>
        <row r="73">
          <cell r="A73" t="str">
            <v>Whitby Hydro Electric Corporation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A Continuity 2006"/>
      <sheetName val="FA Continuity 2007"/>
      <sheetName val="FA Continuity 2008"/>
      <sheetName val="FA Continuity 2009"/>
      <sheetName val="Trial Balance"/>
      <sheetName val="2006 Balance Sheet"/>
      <sheetName val="2006 Income Statement"/>
      <sheetName val="2007 Balance Sheet"/>
      <sheetName val="2007 Income Statement"/>
      <sheetName val="2008 Balance Sheet"/>
      <sheetName val="2008 Income Statement"/>
      <sheetName val="2009 Balance Sheet"/>
      <sheetName val="2009 Income Statement"/>
      <sheetName val="IS Comparison"/>
      <sheetName val="Debt &amp; Capital Structure"/>
      <sheetName val="Return on Capital"/>
      <sheetName val="Tax rates"/>
      <sheetName val="CCA Continuity 2008"/>
      <sheetName val="CCA Continuity 2009"/>
      <sheetName val="Reserves Continuity"/>
      <sheetName val="Corporation Loss Continuity"/>
      <sheetName val="Interest Schedule"/>
      <sheetName val="Tax Adjustments 2008"/>
      <sheetName val="Tax Adjustments 2009"/>
      <sheetName val="2009 Rev Deficiency"/>
      <sheetName val="Capital Tax &amp; Expense Schedules"/>
      <sheetName val="Revenue Requir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0">
          <cell r="B10" t="str">
            <v>Service Revenue Requirement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EF140"/>
  <sheetViews>
    <sheetView zoomScaleNormal="100" workbookViewId="0">
      <pane xSplit="1" ySplit="1" topLeftCell="H2" activePane="bottomRight" state="frozen"/>
      <selection activeCell="AE18" sqref="AE18"/>
      <selection pane="topRight" activeCell="AE18" sqref="AE18"/>
      <selection pane="bottomLeft" activeCell="AE18" sqref="AE18"/>
      <selection pane="bottomRight" activeCell="X5" sqref="X5"/>
    </sheetView>
  </sheetViews>
  <sheetFormatPr defaultRowHeight="15"/>
  <cols>
    <col min="1" max="2" width="14.42578125" customWidth="1"/>
    <col min="3" max="3" width="13.85546875" style="6" customWidth="1"/>
    <col min="4" max="4" width="15.140625" style="6" bestFit="1" customWidth="1"/>
    <col min="5" max="6" width="15.140625" style="6" customWidth="1"/>
    <col min="7" max="7" width="10.85546875" style="6" bestFit="1" customWidth="1"/>
    <col min="8" max="8" width="15.140625" style="6" bestFit="1" customWidth="1"/>
    <col min="9" max="10" width="15.140625" style="6" customWidth="1"/>
    <col min="11" max="11" width="10.85546875" style="6" bestFit="1" customWidth="1"/>
    <col min="12" max="12" width="15" style="6" bestFit="1" customWidth="1"/>
    <col min="13" max="14" width="15" style="6" customWidth="1"/>
    <col min="15" max="15" width="11.5703125" style="6" bestFit="1" customWidth="1"/>
    <col min="16" max="16" width="10.85546875" style="6" bestFit="1" customWidth="1"/>
    <col min="17" max="19" width="15" style="6" customWidth="1"/>
    <col min="20" max="20" width="11.28515625" style="6" bestFit="1" customWidth="1"/>
    <col min="21" max="21" width="10.85546875" style="6" bestFit="1" customWidth="1"/>
    <col min="22" max="22" width="14.28515625" style="6" bestFit="1" customWidth="1"/>
    <col min="23" max="24" width="14.28515625" style="6" customWidth="1"/>
    <col min="25" max="25" width="14.28515625" style="6" bestFit="1" customWidth="1"/>
    <col min="26" max="26" width="10.7109375" style="6" customWidth="1"/>
    <col min="27" max="27" width="12.85546875" style="6" bestFit="1" customWidth="1"/>
    <col min="28" max="28" width="13.42578125" style="6" bestFit="1" customWidth="1"/>
    <col min="29" max="29" width="10.85546875" style="6" bestFit="1" customWidth="1"/>
    <col min="30" max="30" width="11.28515625" style="6" bestFit="1" customWidth="1"/>
    <col min="31" max="31" width="9.42578125" style="6" bestFit="1" customWidth="1"/>
    <col min="32" max="32" width="10.85546875" style="6" bestFit="1" customWidth="1"/>
    <col min="33" max="33" width="12.85546875" style="6" bestFit="1" customWidth="1"/>
    <col min="34" max="34" width="10.85546875" bestFit="1" customWidth="1"/>
    <col min="50" max="50" width="10.28515625" bestFit="1" customWidth="1"/>
    <col min="51" max="53" width="10.140625" customWidth="1"/>
    <col min="54" max="54" width="10.5703125" bestFit="1" customWidth="1"/>
    <col min="55" max="65" width="10.5703125" customWidth="1"/>
    <col min="67" max="67" width="9.140625" style="116"/>
    <col min="85" max="85" width="11.140625" customWidth="1"/>
    <col min="86" max="86" width="8.140625" bestFit="1" customWidth="1"/>
    <col min="87" max="88" width="12.140625" bestFit="1" customWidth="1"/>
    <col min="89" max="102" width="9.85546875" customWidth="1"/>
    <col min="103" max="103" width="9.42578125" bestFit="1" customWidth="1"/>
    <col min="104" max="104" width="12.28515625" bestFit="1" customWidth="1"/>
    <col min="105" max="105" width="14.28515625" bestFit="1" customWidth="1"/>
    <col min="106" max="106" width="10.5703125" bestFit="1" customWidth="1"/>
    <col min="107" max="107" width="10.28515625" bestFit="1" customWidth="1"/>
    <col min="108" max="108" width="14.85546875" bestFit="1" customWidth="1"/>
    <col min="109" max="110" width="12" bestFit="1" customWidth="1"/>
    <col min="111" max="111" width="15.140625" bestFit="1" customWidth="1"/>
    <col min="112" max="112" width="17.7109375" bestFit="1" customWidth="1"/>
    <col min="113" max="113" width="18.140625" bestFit="1" customWidth="1"/>
    <col min="120" max="120" width="13.28515625" bestFit="1" customWidth="1"/>
    <col min="121" max="121" width="14.28515625" bestFit="1" customWidth="1"/>
    <col min="122" max="122" width="10.5703125" bestFit="1" customWidth="1"/>
    <col min="123" max="123" width="9.28515625" bestFit="1" customWidth="1"/>
    <col min="124" max="124" width="14.28515625" bestFit="1" customWidth="1"/>
    <col min="125" max="125" width="11.5703125" bestFit="1" customWidth="1"/>
    <col min="126" max="126" width="14.28515625" bestFit="1" customWidth="1"/>
    <col min="127" max="127" width="10.5703125" bestFit="1" customWidth="1"/>
    <col min="128" max="128" width="9.28515625" bestFit="1" customWidth="1"/>
    <col min="131" max="131" width="10.140625" bestFit="1" customWidth="1"/>
    <col min="135" max="135" width="11.5703125" bestFit="1" customWidth="1"/>
  </cols>
  <sheetData>
    <row r="1" spans="1:115">
      <c r="A1" s="1" t="s">
        <v>0</v>
      </c>
      <c r="B1" s="1" t="s">
        <v>53</v>
      </c>
      <c r="C1" s="5" t="s">
        <v>1</v>
      </c>
      <c r="D1" s="2" t="s">
        <v>2</v>
      </c>
      <c r="E1" s="5" t="s">
        <v>76</v>
      </c>
      <c r="F1" s="5" t="s">
        <v>75</v>
      </c>
      <c r="G1" s="5" t="s">
        <v>3</v>
      </c>
      <c r="H1" s="5" t="s">
        <v>4</v>
      </c>
      <c r="I1" s="5" t="s">
        <v>77</v>
      </c>
      <c r="J1" s="5" t="s">
        <v>78</v>
      </c>
      <c r="K1" s="5" t="s">
        <v>5</v>
      </c>
      <c r="L1" s="5" t="s">
        <v>6</v>
      </c>
      <c r="M1" s="5" t="s">
        <v>79</v>
      </c>
      <c r="N1" s="5" t="s">
        <v>80</v>
      </c>
      <c r="O1" s="5" t="s">
        <v>7</v>
      </c>
      <c r="P1" s="5" t="s">
        <v>8</v>
      </c>
      <c r="Q1" s="222" t="s">
        <v>9</v>
      </c>
      <c r="R1" s="222" t="s">
        <v>81</v>
      </c>
      <c r="S1" s="222" t="s">
        <v>82</v>
      </c>
      <c r="T1" s="222" t="s">
        <v>10</v>
      </c>
      <c r="U1" s="5" t="s">
        <v>11</v>
      </c>
      <c r="V1" s="5" t="s">
        <v>12</v>
      </c>
      <c r="W1" s="5" t="s">
        <v>83</v>
      </c>
      <c r="X1" s="5" t="s">
        <v>84</v>
      </c>
      <c r="Y1" s="5" t="s">
        <v>13</v>
      </c>
      <c r="Z1" s="5" t="s">
        <v>14</v>
      </c>
      <c r="AA1" s="5" t="s">
        <v>15</v>
      </c>
      <c r="AB1" s="5" t="s">
        <v>16</v>
      </c>
      <c r="AC1" s="5" t="s">
        <v>17</v>
      </c>
      <c r="AD1" s="5" t="s">
        <v>18</v>
      </c>
      <c r="AE1" s="5" t="s">
        <v>19</v>
      </c>
      <c r="AF1" s="5" t="s">
        <v>20</v>
      </c>
      <c r="AG1" s="5" t="s">
        <v>21</v>
      </c>
      <c r="AH1" s="1" t="s">
        <v>22</v>
      </c>
      <c r="AI1" t="str">
        <f>Weather!C1</f>
        <v>HDD20</v>
      </c>
      <c r="AJ1" t="str">
        <f>Weather!D1</f>
        <v>CDD20</v>
      </c>
      <c r="AK1" t="str">
        <f>Weather!E1</f>
        <v>HDD18</v>
      </c>
      <c r="AL1" t="str">
        <f>Weather!F1</f>
        <v>CDD18</v>
      </c>
      <c r="AM1" t="str">
        <f>Weather!G1</f>
        <v>HDD16</v>
      </c>
      <c r="AN1" t="str">
        <f>Weather!H1</f>
        <v>CDD16</v>
      </c>
      <c r="AO1" t="str">
        <f>Weather!I1</f>
        <v>HDD14</v>
      </c>
      <c r="AP1" t="str">
        <f>Weather!J1</f>
        <v>CDD14</v>
      </c>
      <c r="AQ1" t="str">
        <f>Weather!K1</f>
        <v>HDD12</v>
      </c>
      <c r="AR1" t="str">
        <f>Weather!L1</f>
        <v>CDD12</v>
      </c>
      <c r="AS1" t="str">
        <f>Weather!M1</f>
        <v>HDD10</v>
      </c>
      <c r="AT1" t="str">
        <f>Weather!N1</f>
        <v>CDD10</v>
      </c>
      <c r="AU1" t="str">
        <f>Weather!O1</f>
        <v>HDD8</v>
      </c>
      <c r="AV1" t="str">
        <f>Weather!P1</f>
        <v>CDD8</v>
      </c>
      <c r="AW1" t="str">
        <f>Weather!Q1</f>
        <v>Avg. Temp</v>
      </c>
      <c r="AX1" s="77" t="s">
        <v>60</v>
      </c>
      <c r="AY1" s="77" t="s">
        <v>187</v>
      </c>
      <c r="AZ1" s="77" t="s">
        <v>116</v>
      </c>
      <c r="BA1" s="77" t="s">
        <v>186</v>
      </c>
      <c r="BB1" s="77" t="s">
        <v>59</v>
      </c>
      <c r="BC1" t="s">
        <v>209</v>
      </c>
      <c r="BD1" t="s">
        <v>210</v>
      </c>
      <c r="BE1" t="s">
        <v>211</v>
      </c>
      <c r="BF1" t="s">
        <v>212</v>
      </c>
      <c r="BG1" t="s">
        <v>213</v>
      </c>
      <c r="BH1" t="s">
        <v>214</v>
      </c>
      <c r="BI1" t="s">
        <v>215</v>
      </c>
      <c r="BJ1" s="5" t="s">
        <v>274</v>
      </c>
      <c r="BK1" s="5" t="s">
        <v>275</v>
      </c>
      <c r="BL1" s="5" t="s">
        <v>276</v>
      </c>
      <c r="BM1" s="5" t="s">
        <v>277</v>
      </c>
      <c r="BN1" s="5" t="s">
        <v>61</v>
      </c>
      <c r="BO1" s="80" t="s">
        <v>194</v>
      </c>
      <c r="BP1" s="5" t="s">
        <v>193</v>
      </c>
      <c r="BQ1" s="5" t="s">
        <v>50</v>
      </c>
      <c r="BR1" s="5" t="s">
        <v>49</v>
      </c>
      <c r="BS1" s="5" t="s">
        <v>48</v>
      </c>
      <c r="BT1" s="5" t="s">
        <v>47</v>
      </c>
      <c r="BU1" s="5" t="s">
        <v>36</v>
      </c>
      <c r="BV1" s="5" t="s">
        <v>62</v>
      </c>
      <c r="BW1" s="5" t="s">
        <v>63</v>
      </c>
      <c r="BX1" s="5" t="s">
        <v>64</v>
      </c>
      <c r="BY1" s="5" t="s">
        <v>46</v>
      </c>
      <c r="BZ1" s="5" t="s">
        <v>45</v>
      </c>
      <c r="CA1" s="5" t="s">
        <v>44</v>
      </c>
      <c r="CB1" s="5" t="s">
        <v>43</v>
      </c>
      <c r="CC1" s="5" t="s">
        <v>65</v>
      </c>
      <c r="CD1" s="5" t="s">
        <v>66</v>
      </c>
      <c r="CE1" s="5" t="s">
        <v>67</v>
      </c>
      <c r="CF1" s="5" t="s">
        <v>68</v>
      </c>
      <c r="CG1" s="5" t="s">
        <v>69</v>
      </c>
      <c r="CH1" s="5" t="s">
        <v>278</v>
      </c>
      <c r="CI1" s="5" t="s">
        <v>279</v>
      </c>
      <c r="CJ1" s="5" t="s">
        <v>280</v>
      </c>
      <c r="CK1" s="5" t="s">
        <v>325</v>
      </c>
      <c r="CL1" s="5" t="s">
        <v>326</v>
      </c>
      <c r="CM1" s="5" t="s">
        <v>327</v>
      </c>
      <c r="CN1" s="5" t="s">
        <v>328</v>
      </c>
      <c r="CO1" s="5" t="s">
        <v>329</v>
      </c>
      <c r="CP1" s="5" t="s">
        <v>330</v>
      </c>
      <c r="CQ1" s="5" t="s">
        <v>331</v>
      </c>
      <c r="CR1" s="5" t="s">
        <v>332</v>
      </c>
      <c r="CS1" s="5" t="s">
        <v>333</v>
      </c>
      <c r="CT1" s="5" t="s">
        <v>334</v>
      </c>
      <c r="CU1" s="5" t="s">
        <v>335</v>
      </c>
      <c r="CV1" s="5" t="s">
        <v>336</v>
      </c>
      <c r="CW1" s="5" t="s">
        <v>337</v>
      </c>
      <c r="CX1" s="5" t="s">
        <v>338</v>
      </c>
      <c r="CY1" s="5" t="s">
        <v>188</v>
      </c>
      <c r="CZ1" s="5" t="s">
        <v>189</v>
      </c>
      <c r="DA1" s="5" t="s">
        <v>216</v>
      </c>
      <c r="DB1" s="5" t="s">
        <v>217</v>
      </c>
      <c r="DC1" s="5" t="s">
        <v>218</v>
      </c>
      <c r="DD1" s="5" t="s">
        <v>219</v>
      </c>
      <c r="DE1" s="5" t="s">
        <v>220</v>
      </c>
      <c r="DF1" s="5" t="s">
        <v>221</v>
      </c>
      <c r="DG1" s="5" t="s">
        <v>247</v>
      </c>
      <c r="DH1" s="5" t="s">
        <v>248</v>
      </c>
      <c r="DI1" s="5" t="s">
        <v>249</v>
      </c>
      <c r="DJ1" s="5" t="s">
        <v>250</v>
      </c>
      <c r="DK1" s="5" t="s">
        <v>251</v>
      </c>
    </row>
    <row r="2" spans="1:115">
      <c r="A2" s="3">
        <v>40909</v>
      </c>
      <c r="B2">
        <f t="shared" ref="B2:B21" si="0">YEAR(A2)</f>
        <v>2012</v>
      </c>
      <c r="C2" s="2">
        <v>91641182.464749992</v>
      </c>
      <c r="D2" s="2">
        <v>22803049.9605955</v>
      </c>
      <c r="E2" s="2">
        <v>137392.11493033657</v>
      </c>
      <c r="F2" s="2">
        <v>22940442.075525835</v>
      </c>
      <c r="G2" s="2">
        <v>31862</v>
      </c>
      <c r="H2" s="2">
        <v>9643111.4742741007</v>
      </c>
      <c r="I2" s="2">
        <v>72034.962064851003</v>
      </c>
      <c r="J2" s="2">
        <v>9715146.4363389518</v>
      </c>
      <c r="K2" s="2">
        <v>3500</v>
      </c>
      <c r="L2" s="2">
        <v>21248609.572732702</v>
      </c>
      <c r="M2" s="2">
        <v>408282.75017556688</v>
      </c>
      <c r="N2" s="2">
        <v>21656892.322908267</v>
      </c>
      <c r="O2" s="2">
        <v>56358.91604589839</v>
      </c>
      <c r="P2" s="2">
        <v>434</v>
      </c>
      <c r="Q2" s="2">
        <v>10183947.424999999</v>
      </c>
      <c r="R2" s="2">
        <v>345</v>
      </c>
      <c r="S2" s="2">
        <v>10184292.424999999</v>
      </c>
      <c r="T2" s="2">
        <v>19114.421854101609</v>
      </c>
      <c r="U2" s="2">
        <v>8</v>
      </c>
      <c r="V2" s="2">
        <v>23834836.064902499</v>
      </c>
      <c r="W2" s="2">
        <f>VLOOKUP('Monthly Data'!B2,'Historic CDM'!$B$111:$J$122,9,FALSE)/12+VLOOKUP('Monthly Data'!B2,'Historic CDM'!$N$111:$V$122,9,FALSE)/12</f>
        <v>0</v>
      </c>
      <c r="X2" s="2">
        <f t="shared" ref="X2:X65" si="1">V2+W2</f>
        <v>23834836.064902499</v>
      </c>
      <c r="Y2" s="2">
        <v>39736.595300000001</v>
      </c>
      <c r="Z2" s="2">
        <v>4</v>
      </c>
      <c r="AA2" s="2">
        <v>939729.67456960003</v>
      </c>
      <c r="AB2" s="2">
        <v>2007.192</v>
      </c>
      <c r="AC2" s="2">
        <v>9994</v>
      </c>
      <c r="AD2" s="2">
        <v>48608.016000000003</v>
      </c>
      <c r="AE2" s="2">
        <v>174.458</v>
      </c>
      <c r="AF2" s="2">
        <v>458</v>
      </c>
      <c r="AG2" s="2">
        <v>190479.717848</v>
      </c>
      <c r="AH2" s="2">
        <v>263</v>
      </c>
      <c r="AI2">
        <f>Weather!C158</f>
        <v>674.6</v>
      </c>
      <c r="AJ2">
        <f>Weather!D158</f>
        <v>0</v>
      </c>
      <c r="AK2">
        <f>Weather!E158</f>
        <v>612.59999999999991</v>
      </c>
      <c r="AL2">
        <f>Weather!F158</f>
        <v>0</v>
      </c>
      <c r="AM2">
        <f>Weather!G158</f>
        <v>550.59999999999991</v>
      </c>
      <c r="AN2">
        <f>Weather!H158</f>
        <v>0</v>
      </c>
      <c r="AO2">
        <f>Weather!I158</f>
        <v>488.59999999999997</v>
      </c>
      <c r="AP2">
        <f>Weather!J158</f>
        <v>0</v>
      </c>
      <c r="AQ2">
        <f>Weather!K158</f>
        <v>426.59999999999991</v>
      </c>
      <c r="AR2">
        <f>Weather!L158</f>
        <v>0</v>
      </c>
      <c r="AS2">
        <f>Weather!M158</f>
        <v>364.59999999999991</v>
      </c>
      <c r="AT2">
        <f>Weather!N158</f>
        <v>0</v>
      </c>
      <c r="AU2">
        <f>Weather!O158</f>
        <v>302.60000000000002</v>
      </c>
      <c r="AV2">
        <f>Weather!P158</f>
        <v>0</v>
      </c>
      <c r="AW2" s="7">
        <f>Weather!Q158</f>
        <v>-1.7612903225806451</v>
      </c>
      <c r="AX2" s="5">
        <f>'Economic Variables'!D112</f>
        <v>6662.5</v>
      </c>
      <c r="AY2" s="5">
        <f>'Economic Variables'!E112</f>
        <v>6626</v>
      </c>
      <c r="AZ2" s="5">
        <f>'Economic Variables'!F112</f>
        <v>235.4</v>
      </c>
      <c r="BA2" s="5">
        <f>'Economic Variables'!G112</f>
        <v>234.6</v>
      </c>
      <c r="BB2" s="5">
        <f>'Economic Variables'!H112</f>
        <v>634944.30000000005</v>
      </c>
      <c r="BC2" s="5">
        <f>'Economic Variables'!I112</f>
        <v>6527</v>
      </c>
      <c r="BD2" s="5">
        <f>'Economic Variables'!J112</f>
        <v>5663.5</v>
      </c>
      <c r="BE2" s="5">
        <f>'Economic Variables'!K112</f>
        <v>468.8</v>
      </c>
      <c r="BF2" s="5">
        <f>'Economic Variables'!L112</f>
        <v>7404.1</v>
      </c>
      <c r="BG2" s="5">
        <f>'Economic Variables'!M112</f>
        <v>38.299999999999997</v>
      </c>
      <c r="BH2" s="5">
        <f>'Economic Variables'!N112</f>
        <v>1677.5</v>
      </c>
      <c r="BI2" s="5">
        <f t="shared" ref="BI2:BI42" si="2">BC2+BF2</f>
        <v>13931.1</v>
      </c>
      <c r="BJ2" s="5">
        <f>'Economic Variables'!P112</f>
        <v>634323</v>
      </c>
      <c r="BK2" s="5">
        <f>'Economic Variables'!Q112</f>
        <v>6479</v>
      </c>
      <c r="BL2" s="5">
        <f>'Economic Variables'!R112</f>
        <v>7359</v>
      </c>
      <c r="BM2" s="5">
        <f>'Economic Variables'!S112</f>
        <v>3294</v>
      </c>
      <c r="BN2" s="5">
        <v>1</v>
      </c>
      <c r="BO2" s="80">
        <f t="shared" ref="BO2:BO42" si="3">LOG(BN2)</f>
        <v>0</v>
      </c>
      <c r="BP2" s="5">
        <f t="shared" ref="BP2:BP42" si="4">BN2^2</f>
        <v>1</v>
      </c>
      <c r="BQ2">
        <v>1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f t="shared" ref="CE2:CE42" si="5">CC2+CD2</f>
        <v>0</v>
      </c>
      <c r="CF2">
        <v>31</v>
      </c>
      <c r="CG2">
        <v>21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 s="80">
        <f t="shared" ref="CY2:CY9" si="6">F2/$CF2/G2</f>
        <v>23.22560606681418</v>
      </c>
      <c r="CZ2" s="78">
        <f t="shared" ref="CZ2:CZ9" si="7">J2/$CF2/K2</f>
        <v>89.54052015058943</v>
      </c>
      <c r="DA2" s="5">
        <f t="shared" ref="DA2:DA9" si="8">N2/$CG2/P2</f>
        <v>2376.2225502422939</v>
      </c>
      <c r="DB2" s="5">
        <f t="shared" ref="DB2:DB9" si="9">S2/$CG2/U2</f>
        <v>60620.78824404761</v>
      </c>
      <c r="DC2" s="5">
        <f t="shared" ref="DC2:DC9" si="10">X2/$CG2/Z2</f>
        <v>283748.04839169641</v>
      </c>
      <c r="DD2">
        <f t="shared" ref="DD2:DD42" si="11">N2/$CF2/P2</f>
        <v>1609.6991469383281</v>
      </c>
      <c r="DE2">
        <f t="shared" ref="DE2:DE9" si="12">S2/$CF2/U2</f>
        <v>41065.695262096771</v>
      </c>
      <c r="DF2">
        <f t="shared" ref="DF2:DF9" si="13">X2/$CF2/Z2</f>
        <v>192216.41987824597</v>
      </c>
      <c r="DG2" s="19">
        <v>31862</v>
      </c>
      <c r="DH2" s="19">
        <v>3500</v>
      </c>
      <c r="DI2" s="19">
        <v>431</v>
      </c>
      <c r="DJ2" s="19">
        <v>13</v>
      </c>
      <c r="DK2" s="19">
        <v>3</v>
      </c>
    </row>
    <row r="3" spans="1:115" s="2" customFormat="1">
      <c r="A3" s="3">
        <v>40940</v>
      </c>
      <c r="B3">
        <f t="shared" si="0"/>
        <v>2012</v>
      </c>
      <c r="C3" s="2">
        <v>83494797.354000002</v>
      </c>
      <c r="D3" s="2">
        <v>19612790.488591101</v>
      </c>
      <c r="E3" s="2">
        <v>137392.11493033657</v>
      </c>
      <c r="F3" s="2">
        <v>19750182.603521436</v>
      </c>
      <c r="G3" s="2">
        <v>31865</v>
      </c>
      <c r="H3" s="2">
        <v>8686000.2653289996</v>
      </c>
      <c r="I3" s="2">
        <v>72034.962064851003</v>
      </c>
      <c r="J3" s="2">
        <v>8758035.2273938507</v>
      </c>
      <c r="K3" s="2">
        <v>3500</v>
      </c>
      <c r="L3" s="2">
        <v>18862610.026746798</v>
      </c>
      <c r="M3" s="2">
        <f>VLOOKUP('Monthly Data'!B3,'Historic CDM'!$B$111:$J$122,4,FALSE)/12+VLOOKUP('Monthly Data'!B3,'Historic CDM'!$N$111:$V$122,4,FALSE)/12</f>
        <v>408282.75017556688</v>
      </c>
      <c r="N3" s="2">
        <f t="shared" ref="N3:N66" si="14">L3+M3</f>
        <v>19270892.776922364</v>
      </c>
      <c r="O3" s="2">
        <v>47947.430139538723</v>
      </c>
      <c r="P3" s="2">
        <v>436</v>
      </c>
      <c r="Q3" s="2">
        <v>9898133.9196000006</v>
      </c>
      <c r="R3" s="2">
        <v>345</v>
      </c>
      <c r="S3" s="2">
        <v>9898478.9196000006</v>
      </c>
      <c r="T3" s="2">
        <v>19865.011260461273</v>
      </c>
      <c r="U3" s="2">
        <v>8</v>
      </c>
      <c r="V3" s="2">
        <v>20937848.494860001</v>
      </c>
      <c r="W3" s="2">
        <f>VLOOKUP('Monthly Data'!B3,'Historic CDM'!$B$111:$J$122,9,FALSE)/12+VLOOKUP('Monthly Data'!B3,'Historic CDM'!$N$111:$V$122,9,FALSE)/12</f>
        <v>0</v>
      </c>
      <c r="X3" s="2">
        <f t="shared" si="1"/>
        <v>20937848.494860001</v>
      </c>
      <c r="Y3" s="2">
        <v>38315.6057</v>
      </c>
      <c r="Z3" s="2">
        <v>4</v>
      </c>
      <c r="AA3" s="2">
        <v>825552.45458020002</v>
      </c>
      <c r="AB3" s="2">
        <v>2007.6669999999999</v>
      </c>
      <c r="AC3" s="2">
        <v>10002</v>
      </c>
      <c r="AD3" s="2">
        <v>45524.483999999997</v>
      </c>
      <c r="AE3" s="2">
        <v>60.664999999999999</v>
      </c>
      <c r="AF3" s="2">
        <v>458</v>
      </c>
      <c r="AG3" s="2">
        <v>176759.37863200001</v>
      </c>
      <c r="AH3" s="2">
        <v>263</v>
      </c>
      <c r="AI3">
        <f>Weather!C159</f>
        <v>579.99999999999989</v>
      </c>
      <c r="AJ3">
        <f>Weather!D159</f>
        <v>0</v>
      </c>
      <c r="AK3">
        <f>Weather!E159</f>
        <v>521.99999999999989</v>
      </c>
      <c r="AL3">
        <f>Weather!F159</f>
        <v>0</v>
      </c>
      <c r="AM3">
        <f>Weather!G159</f>
        <v>463.99999999999983</v>
      </c>
      <c r="AN3">
        <f>Weather!H159</f>
        <v>0</v>
      </c>
      <c r="AO3">
        <f>Weather!I159</f>
        <v>405.99999999999994</v>
      </c>
      <c r="AP3">
        <f>Weather!J159</f>
        <v>0</v>
      </c>
      <c r="AQ3">
        <f>Weather!K159</f>
        <v>348</v>
      </c>
      <c r="AR3">
        <f>Weather!L159</f>
        <v>0</v>
      </c>
      <c r="AS3">
        <f>Weather!M159</f>
        <v>289.99999999999994</v>
      </c>
      <c r="AT3">
        <f>Weather!N159</f>
        <v>0</v>
      </c>
      <c r="AU3">
        <f>Weather!O159</f>
        <v>232</v>
      </c>
      <c r="AV3">
        <f>Weather!P159</f>
        <v>0</v>
      </c>
      <c r="AW3" s="7">
        <f>Weather!Q159</f>
        <v>6.1253684117250015E-17</v>
      </c>
      <c r="AX3" s="5">
        <f>'Economic Variables'!D113</f>
        <v>6656.6</v>
      </c>
      <c r="AY3" s="5">
        <f>'Economic Variables'!E113</f>
        <v>6581.8</v>
      </c>
      <c r="AZ3" s="5">
        <f>'Economic Variables'!F113</f>
        <v>236</v>
      </c>
      <c r="BA3" s="5">
        <f>'Economic Variables'!G113</f>
        <v>232.7</v>
      </c>
      <c r="BB3" s="5">
        <f>'Economic Variables'!H113</f>
        <v>634944.30000000005</v>
      </c>
      <c r="BC3" s="5">
        <f>'Economic Variables'!I113</f>
        <v>6527</v>
      </c>
      <c r="BD3" s="5">
        <f>'Economic Variables'!J113</f>
        <v>5663.5</v>
      </c>
      <c r="BE3" s="5">
        <f>'Economic Variables'!K113</f>
        <v>468.8</v>
      </c>
      <c r="BF3" s="5">
        <f>'Economic Variables'!L113</f>
        <v>7404.1</v>
      </c>
      <c r="BG3" s="5">
        <f>'Economic Variables'!M113</f>
        <v>38.299999999999997</v>
      </c>
      <c r="BH3" s="5">
        <f>'Economic Variables'!N113</f>
        <v>1677.5</v>
      </c>
      <c r="BI3" s="5">
        <f t="shared" si="2"/>
        <v>13931.1</v>
      </c>
      <c r="BJ3" s="5">
        <f>'Economic Variables'!P113</f>
        <v>634323</v>
      </c>
      <c r="BK3" s="5">
        <f>'Economic Variables'!Q113</f>
        <v>6479</v>
      </c>
      <c r="BL3" s="5">
        <f>'Economic Variables'!R113</f>
        <v>7359</v>
      </c>
      <c r="BM3" s="5">
        <f>'Economic Variables'!S113</f>
        <v>3294</v>
      </c>
      <c r="BN3" s="5">
        <f t="shared" ref="BN3:BN42" si="15">BN2+1</f>
        <v>2</v>
      </c>
      <c r="BO3" s="80">
        <f t="shared" si="3"/>
        <v>0.3010299956639812</v>
      </c>
      <c r="BP3" s="5">
        <f t="shared" si="4"/>
        <v>4</v>
      </c>
      <c r="BQ3">
        <v>0</v>
      </c>
      <c r="BR3">
        <v>1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f t="shared" si="5"/>
        <v>0</v>
      </c>
      <c r="CF3">
        <v>29</v>
      </c>
      <c r="CG3">
        <v>20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 s="80">
        <f t="shared" si="6"/>
        <v>21.372690394846185</v>
      </c>
      <c r="CZ3" s="78">
        <f t="shared" si="7"/>
        <v>86.286061353633997</v>
      </c>
      <c r="DA3" s="5">
        <f t="shared" si="8"/>
        <v>2209.9647679956838</v>
      </c>
      <c r="DB3" s="5">
        <f t="shared" si="9"/>
        <v>61865.493247500002</v>
      </c>
      <c r="DC3" s="5">
        <f t="shared" si="10"/>
        <v>261723.10618575002</v>
      </c>
      <c r="DD3">
        <f t="shared" si="11"/>
        <v>1524.1136331004716</v>
      </c>
      <c r="DE3">
        <f t="shared" si="12"/>
        <v>42665.857412068966</v>
      </c>
      <c r="DF3">
        <f t="shared" si="13"/>
        <v>180498.6939212069</v>
      </c>
      <c r="DG3" s="19">
        <v>31865</v>
      </c>
      <c r="DH3" s="19">
        <v>3500</v>
      </c>
      <c r="DI3" s="19">
        <v>433</v>
      </c>
      <c r="DJ3" s="19">
        <v>13</v>
      </c>
      <c r="DK3" s="19">
        <v>3</v>
      </c>
    </row>
    <row r="4" spans="1:115" s="2" customFormat="1">
      <c r="A4" s="3">
        <v>40969</v>
      </c>
      <c r="B4">
        <f t="shared" si="0"/>
        <v>2012</v>
      </c>
      <c r="C4" s="2">
        <v>84857348.018749997</v>
      </c>
      <c r="D4" s="2">
        <v>18530140.369437203</v>
      </c>
      <c r="E4" s="2">
        <v>137392.11493033657</v>
      </c>
      <c r="F4" s="2">
        <v>18667532.484367538</v>
      </c>
      <c r="G4" s="2">
        <v>31868</v>
      </c>
      <c r="H4" s="2">
        <v>8450091.5742395986</v>
      </c>
      <c r="I4" s="2">
        <v>72034.962064851003</v>
      </c>
      <c r="J4" s="2">
        <v>8522126.5363044497</v>
      </c>
      <c r="K4" s="2">
        <v>3503</v>
      </c>
      <c r="L4" s="2">
        <v>19648535.131503496</v>
      </c>
      <c r="M4" s="2">
        <f>VLOOKUP('Monthly Data'!B4,'Historic CDM'!$B$111:$J$122,4,FALSE)/12+VLOOKUP('Monthly Data'!B4,'Historic CDM'!$N$111:$V$122,4,FALSE)/12</f>
        <v>408282.75017556688</v>
      </c>
      <c r="N4" s="2">
        <f t="shared" si="14"/>
        <v>20056817.881679062</v>
      </c>
      <c r="O4" s="2">
        <v>60624.789530127782</v>
      </c>
      <c r="P4" s="2">
        <v>436</v>
      </c>
      <c r="Q4" s="2">
        <v>10528204.533600001</v>
      </c>
      <c r="R4" s="2">
        <v>345</v>
      </c>
      <c r="S4" s="2">
        <v>10528549.533600001</v>
      </c>
      <c r="T4" s="2">
        <v>19596.867869872214</v>
      </c>
      <c r="U4" s="2">
        <v>8</v>
      </c>
      <c r="V4" s="2">
        <v>23746994.903362501</v>
      </c>
      <c r="W4" s="2">
        <f>VLOOKUP('Monthly Data'!B4,'Historic CDM'!$B$111:$J$122,9,FALSE)/12+VLOOKUP('Monthly Data'!B4,'Historic CDM'!$N$111:$V$122,9,FALSE)/12</f>
        <v>0</v>
      </c>
      <c r="X4" s="2">
        <f t="shared" si="1"/>
        <v>23746994.903362501</v>
      </c>
      <c r="Y4" s="2">
        <v>37431.374300000003</v>
      </c>
      <c r="Z4" s="2">
        <v>4</v>
      </c>
      <c r="AA4" s="2">
        <v>775613.10807940003</v>
      </c>
      <c r="AB4" s="2">
        <v>2040.7370000000001</v>
      </c>
      <c r="AC4" s="2">
        <v>10006</v>
      </c>
      <c r="AD4" s="2">
        <v>48423.396000000001</v>
      </c>
      <c r="AE4" s="2">
        <v>172.71800000000002</v>
      </c>
      <c r="AF4" s="2">
        <v>458</v>
      </c>
      <c r="AG4" s="2">
        <v>187786.07784800002</v>
      </c>
      <c r="AH4" s="2">
        <v>263</v>
      </c>
      <c r="AI4">
        <f>Weather!C160</f>
        <v>374.19999999999993</v>
      </c>
      <c r="AJ4">
        <f>Weather!D160</f>
        <v>0.69999999999999929</v>
      </c>
      <c r="AK4">
        <f>Weather!E160</f>
        <v>316</v>
      </c>
      <c r="AL4">
        <f>Weather!F160</f>
        <v>4.5</v>
      </c>
      <c r="AM4">
        <f>Weather!G160</f>
        <v>262.8</v>
      </c>
      <c r="AN4">
        <f>Weather!H160</f>
        <v>13.300000000000004</v>
      </c>
      <c r="AO4">
        <f>Weather!I160</f>
        <v>216.19999999999996</v>
      </c>
      <c r="AP4">
        <f>Weather!J160</f>
        <v>28.700000000000003</v>
      </c>
      <c r="AQ4">
        <f>Weather!K160</f>
        <v>170.2</v>
      </c>
      <c r="AR4">
        <f>Weather!L160</f>
        <v>44.70000000000001</v>
      </c>
      <c r="AS4">
        <f>Weather!M160</f>
        <v>128.4</v>
      </c>
      <c r="AT4">
        <f>Weather!N160</f>
        <v>64.900000000000006</v>
      </c>
      <c r="AU4">
        <f>Weather!O160</f>
        <v>97.3</v>
      </c>
      <c r="AV4">
        <f>Weather!P160</f>
        <v>95.800000000000026</v>
      </c>
      <c r="AW4" s="7">
        <f>Weather!Q160</f>
        <v>7.9516129032258061</v>
      </c>
      <c r="AX4" s="5">
        <f>'Economic Variables'!D114</f>
        <v>6667.9</v>
      </c>
      <c r="AY4" s="5">
        <f>'Economic Variables'!E114</f>
        <v>6559.2</v>
      </c>
      <c r="AZ4" s="5">
        <f>'Economic Variables'!F114</f>
        <v>236.6</v>
      </c>
      <c r="BA4" s="5">
        <f>'Economic Variables'!G114</f>
        <v>231.5</v>
      </c>
      <c r="BB4" s="5">
        <f>'Economic Variables'!H114</f>
        <v>634944.30000000005</v>
      </c>
      <c r="BC4" s="5">
        <f>'Economic Variables'!I114</f>
        <v>6527</v>
      </c>
      <c r="BD4" s="5">
        <f>'Economic Variables'!J114</f>
        <v>5663.5</v>
      </c>
      <c r="BE4" s="5">
        <f>'Economic Variables'!K114</f>
        <v>468.8</v>
      </c>
      <c r="BF4" s="5">
        <f>'Economic Variables'!L114</f>
        <v>7404.1</v>
      </c>
      <c r="BG4" s="5">
        <f>'Economic Variables'!M114</f>
        <v>38.299999999999997</v>
      </c>
      <c r="BH4" s="5">
        <f>'Economic Variables'!N114</f>
        <v>1677.5</v>
      </c>
      <c r="BI4" s="5">
        <f t="shared" si="2"/>
        <v>13931.1</v>
      </c>
      <c r="BJ4" s="5">
        <f>'Economic Variables'!P114</f>
        <v>634323</v>
      </c>
      <c r="BK4" s="5">
        <f>'Economic Variables'!Q114</f>
        <v>6479</v>
      </c>
      <c r="BL4" s="5">
        <f>'Economic Variables'!R114</f>
        <v>7359</v>
      </c>
      <c r="BM4" s="5">
        <f>'Economic Variables'!S114</f>
        <v>3294</v>
      </c>
      <c r="BN4" s="5">
        <f t="shared" si="15"/>
        <v>3</v>
      </c>
      <c r="BO4" s="80">
        <f t="shared" si="3"/>
        <v>0.47712125471966244</v>
      </c>
      <c r="BP4" s="5">
        <f t="shared" si="4"/>
        <v>9</v>
      </c>
      <c r="BQ4">
        <v>0</v>
      </c>
      <c r="BR4">
        <v>0</v>
      </c>
      <c r="BS4">
        <v>1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1</v>
      </c>
      <c r="CD4">
        <v>0</v>
      </c>
      <c r="CE4">
        <f t="shared" si="5"/>
        <v>1</v>
      </c>
      <c r="CF4">
        <v>31</v>
      </c>
      <c r="CG4">
        <v>22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 s="80">
        <f t="shared" si="6"/>
        <v>18.896023196864018</v>
      </c>
      <c r="CZ4" s="78">
        <f t="shared" si="7"/>
        <v>78.477678453532448</v>
      </c>
      <c r="DA4" s="5">
        <f t="shared" si="8"/>
        <v>2090.9943579732135</v>
      </c>
      <c r="DB4" s="5">
        <f t="shared" si="9"/>
        <v>59821.304168181821</v>
      </c>
      <c r="DC4" s="5">
        <f t="shared" si="10"/>
        <v>269852.21481093753</v>
      </c>
      <c r="DD4">
        <f t="shared" si="11"/>
        <v>1483.9314798519576</v>
      </c>
      <c r="DE4">
        <f t="shared" si="12"/>
        <v>42453.828764516133</v>
      </c>
      <c r="DF4">
        <f t="shared" si="13"/>
        <v>191508.02341421373</v>
      </c>
      <c r="DG4" s="19">
        <v>31868</v>
      </c>
      <c r="DH4" s="19">
        <v>3503</v>
      </c>
      <c r="DI4" s="19">
        <v>433</v>
      </c>
      <c r="DJ4" s="19">
        <v>13</v>
      </c>
      <c r="DK4" s="19">
        <v>3</v>
      </c>
    </row>
    <row r="5" spans="1:115" s="2" customFormat="1">
      <c r="A5" s="3">
        <v>41000</v>
      </c>
      <c r="B5">
        <f t="shared" si="0"/>
        <v>2012</v>
      </c>
      <c r="C5" s="2">
        <v>79437335.348250002</v>
      </c>
      <c r="D5" s="2">
        <v>17048540.134032</v>
      </c>
      <c r="E5" s="2">
        <v>137392.11493033657</v>
      </c>
      <c r="F5" s="2">
        <v>17185932.248962335</v>
      </c>
      <c r="G5" s="2">
        <v>31869</v>
      </c>
      <c r="H5" s="2">
        <v>7667040.6690311003</v>
      </c>
      <c r="I5" s="2">
        <v>72034.962064851003</v>
      </c>
      <c r="J5" s="2">
        <v>7739075.6310959514</v>
      </c>
      <c r="K5" s="2">
        <v>3494</v>
      </c>
      <c r="L5" s="2">
        <v>18451801.3080578</v>
      </c>
      <c r="M5" s="2">
        <f>VLOOKUP('Monthly Data'!B5,'Historic CDM'!$B$111:$J$122,4,FALSE)/12+VLOOKUP('Monthly Data'!B5,'Historic CDM'!$N$111:$V$122,4,FALSE)/12</f>
        <v>408282.75017556688</v>
      </c>
      <c r="N5" s="2">
        <f t="shared" si="14"/>
        <v>18860084.058233365</v>
      </c>
      <c r="O5" s="2">
        <v>46951.269347814457</v>
      </c>
      <c r="P5" s="2">
        <v>436</v>
      </c>
      <c r="Q5" s="2">
        <v>9746415.0995999984</v>
      </c>
      <c r="R5" s="2">
        <v>345</v>
      </c>
      <c r="S5" s="2">
        <v>9746760.0995999984</v>
      </c>
      <c r="T5" s="2">
        <v>20287.30145218554</v>
      </c>
      <c r="U5" s="2">
        <v>8</v>
      </c>
      <c r="V5" s="2">
        <v>23562709.501567502</v>
      </c>
      <c r="W5" s="2">
        <f>VLOOKUP('Monthly Data'!B5,'Historic CDM'!$B$111:$J$122,9,FALSE)/12+VLOOKUP('Monthly Data'!B5,'Historic CDM'!$N$111:$V$122,9,FALSE)/12</f>
        <v>0</v>
      </c>
      <c r="X5" s="2">
        <f t="shared" si="1"/>
        <v>23562709.501567502</v>
      </c>
      <c r="Y5" s="2">
        <v>38100.253000000004</v>
      </c>
      <c r="Z5" s="2">
        <v>4</v>
      </c>
      <c r="AA5" s="2">
        <v>657040.7574002</v>
      </c>
      <c r="AB5" s="2">
        <v>2008.287</v>
      </c>
      <c r="AC5" s="2">
        <v>10010</v>
      </c>
      <c r="AD5" s="2">
        <v>46452</v>
      </c>
      <c r="AE5" s="2">
        <v>59.715000000000003</v>
      </c>
      <c r="AF5" s="2">
        <v>458</v>
      </c>
      <c r="AG5" s="2">
        <v>181668.88824</v>
      </c>
      <c r="AH5" s="2">
        <v>263</v>
      </c>
      <c r="AI5">
        <f>Weather!C161</f>
        <v>398.99999999999994</v>
      </c>
      <c r="AJ5">
        <f>Weather!D161</f>
        <v>0</v>
      </c>
      <c r="AK5">
        <f>Weather!E161</f>
        <v>338.99999999999989</v>
      </c>
      <c r="AL5">
        <f>Weather!F161</f>
        <v>0</v>
      </c>
      <c r="AM5">
        <f>Weather!G161</f>
        <v>280.99999999999994</v>
      </c>
      <c r="AN5">
        <f>Weather!H161</f>
        <v>2</v>
      </c>
      <c r="AO5">
        <f>Weather!I161</f>
        <v>223.79999999999995</v>
      </c>
      <c r="AP5">
        <f>Weather!J161</f>
        <v>4.8000000000000007</v>
      </c>
      <c r="AQ5">
        <f>Weather!K161</f>
        <v>168.1</v>
      </c>
      <c r="AR5">
        <f>Weather!L161</f>
        <v>9.1000000000000014</v>
      </c>
      <c r="AS5">
        <f>Weather!M161</f>
        <v>115.7</v>
      </c>
      <c r="AT5">
        <f>Weather!N161</f>
        <v>16.700000000000003</v>
      </c>
      <c r="AU5">
        <f>Weather!O161</f>
        <v>67.100000000000023</v>
      </c>
      <c r="AV5">
        <f>Weather!P161</f>
        <v>28.1</v>
      </c>
      <c r="AW5" s="7">
        <f>Weather!Q161</f>
        <v>6.700000000000002</v>
      </c>
      <c r="AX5" s="5">
        <f>'Economic Variables'!D115</f>
        <v>6681</v>
      </c>
      <c r="AY5" s="5">
        <f>'Economic Variables'!E115</f>
        <v>6594.3</v>
      </c>
      <c r="AZ5" s="5">
        <f>'Economic Variables'!F115</f>
        <v>240.5</v>
      </c>
      <c r="BA5" s="5">
        <f>'Economic Variables'!G115</f>
        <v>236.5</v>
      </c>
      <c r="BB5" s="5">
        <f>'Economic Variables'!H115</f>
        <v>634944.30000000005</v>
      </c>
      <c r="BC5" s="5">
        <f>'Economic Variables'!I115</f>
        <v>6527</v>
      </c>
      <c r="BD5" s="5">
        <f>'Economic Variables'!J115</f>
        <v>5663.5</v>
      </c>
      <c r="BE5" s="5">
        <f>'Economic Variables'!K115</f>
        <v>468.8</v>
      </c>
      <c r="BF5" s="5">
        <f>'Economic Variables'!L115</f>
        <v>7404.1</v>
      </c>
      <c r="BG5" s="5">
        <f>'Economic Variables'!M115</f>
        <v>38.299999999999997</v>
      </c>
      <c r="BH5" s="5">
        <f>'Economic Variables'!N115</f>
        <v>1677.5</v>
      </c>
      <c r="BI5" s="5">
        <f t="shared" si="2"/>
        <v>13931.1</v>
      </c>
      <c r="BJ5" s="5">
        <f>'Economic Variables'!P115</f>
        <v>635240</v>
      </c>
      <c r="BK5" s="5">
        <f>'Economic Variables'!Q115</f>
        <v>6610</v>
      </c>
      <c r="BL5" s="5">
        <f>'Economic Variables'!R115</f>
        <v>7627</v>
      </c>
      <c r="BM5" s="5">
        <f>'Economic Variables'!S115</f>
        <v>3334</v>
      </c>
      <c r="BN5" s="5">
        <f t="shared" si="15"/>
        <v>4</v>
      </c>
      <c r="BO5" s="80">
        <f t="shared" si="3"/>
        <v>0.6020599913279624</v>
      </c>
      <c r="BP5" s="5">
        <f t="shared" si="4"/>
        <v>16</v>
      </c>
      <c r="BQ5">
        <v>0</v>
      </c>
      <c r="BR5">
        <v>0</v>
      </c>
      <c r="BS5">
        <v>0</v>
      </c>
      <c r="BT5">
        <v>1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1</v>
      </c>
      <c r="CD5">
        <v>0</v>
      </c>
      <c r="CE5">
        <f t="shared" si="5"/>
        <v>1</v>
      </c>
      <c r="CF5">
        <v>30</v>
      </c>
      <c r="CG5">
        <v>19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 s="80">
        <f t="shared" si="6"/>
        <v>17.975600373364223</v>
      </c>
      <c r="CZ5" s="78">
        <f t="shared" si="7"/>
        <v>73.832051431940002</v>
      </c>
      <c r="DA5" s="5">
        <f t="shared" si="8"/>
        <v>2276.6880804241146</v>
      </c>
      <c r="DB5" s="5">
        <f t="shared" si="9"/>
        <v>64123.421707894726</v>
      </c>
      <c r="DC5" s="5">
        <f t="shared" si="10"/>
        <v>310035.65133641451</v>
      </c>
      <c r="DD5">
        <f t="shared" si="11"/>
        <v>1441.9024509352728</v>
      </c>
      <c r="DE5">
        <f t="shared" si="12"/>
        <v>40611.500414999995</v>
      </c>
      <c r="DF5">
        <f t="shared" si="13"/>
        <v>196355.9125130625</v>
      </c>
      <c r="DG5" s="19">
        <v>31869</v>
      </c>
      <c r="DH5" s="19">
        <v>3494</v>
      </c>
      <c r="DI5" s="19">
        <v>433</v>
      </c>
      <c r="DJ5" s="19">
        <v>13</v>
      </c>
      <c r="DK5" s="19">
        <v>3</v>
      </c>
    </row>
    <row r="6" spans="1:115" s="2" customFormat="1">
      <c r="A6" s="3">
        <v>41030</v>
      </c>
      <c r="B6">
        <f t="shared" si="0"/>
        <v>2012</v>
      </c>
      <c r="C6" s="2">
        <v>81009399.418249995</v>
      </c>
      <c r="D6" s="2">
        <v>18704846.446923502</v>
      </c>
      <c r="E6" s="2">
        <v>137392.11493033657</v>
      </c>
      <c r="F6" s="2">
        <v>18842238.561853837</v>
      </c>
      <c r="G6" s="2">
        <v>31858</v>
      </c>
      <c r="H6" s="2">
        <v>7870651.8101324001</v>
      </c>
      <c r="I6" s="2">
        <v>72034.962064851003</v>
      </c>
      <c r="J6" s="2">
        <v>7942686.7721972512</v>
      </c>
      <c r="K6" s="2">
        <v>3484</v>
      </c>
      <c r="L6" s="2">
        <v>18232927.666482098</v>
      </c>
      <c r="M6" s="2">
        <f>VLOOKUP('Monthly Data'!B6,'Historic CDM'!$B$111:$J$122,4,FALSE)/12+VLOOKUP('Monthly Data'!B6,'Historic CDM'!$N$111:$V$122,4,FALSE)/12</f>
        <v>408282.75017556688</v>
      </c>
      <c r="N6" s="2">
        <f t="shared" si="14"/>
        <v>18641210.416657664</v>
      </c>
      <c r="O6" s="2">
        <v>53250.377775140434</v>
      </c>
      <c r="P6" s="2">
        <v>429</v>
      </c>
      <c r="Q6" s="2">
        <v>10887339.005600002</v>
      </c>
      <c r="R6" s="2">
        <v>345</v>
      </c>
      <c r="S6" s="2">
        <v>10887684.005600002</v>
      </c>
      <c r="T6" s="2">
        <v>20354.457224859565</v>
      </c>
      <c r="U6" s="2">
        <v>8</v>
      </c>
      <c r="V6" s="2">
        <v>21444338.7360675</v>
      </c>
      <c r="W6" s="2">
        <f>VLOOKUP('Monthly Data'!B6,'Historic CDM'!$B$111:$J$122,9,FALSE)/12+VLOOKUP('Monthly Data'!B6,'Historic CDM'!$N$111:$V$122,9,FALSE)/12</f>
        <v>0</v>
      </c>
      <c r="X6" s="2">
        <f t="shared" si="1"/>
        <v>21444338.7360675</v>
      </c>
      <c r="Y6" s="2">
        <v>36984.318100000004</v>
      </c>
      <c r="Z6" s="2">
        <v>4</v>
      </c>
      <c r="AA6" s="2">
        <v>598863.96471019997</v>
      </c>
      <c r="AB6" s="2">
        <v>2008.402</v>
      </c>
      <c r="AC6" s="2">
        <v>10009</v>
      </c>
      <c r="AD6" s="2">
        <v>47909.436000000002</v>
      </c>
      <c r="AE6" s="2">
        <v>117.465</v>
      </c>
      <c r="AF6" s="2">
        <v>458</v>
      </c>
      <c r="AG6" s="2">
        <v>187724.51784800002</v>
      </c>
      <c r="AH6" s="2">
        <v>263</v>
      </c>
      <c r="AI6">
        <f>Weather!C162</f>
        <v>154.60000000000002</v>
      </c>
      <c r="AJ6">
        <f>Weather!D162</f>
        <v>13.099999999999998</v>
      </c>
      <c r="AK6">
        <f>Weather!E162</f>
        <v>106.2</v>
      </c>
      <c r="AL6">
        <f>Weather!F162</f>
        <v>26.699999999999996</v>
      </c>
      <c r="AM6">
        <f>Weather!G162</f>
        <v>64.599999999999994</v>
      </c>
      <c r="AN6">
        <f>Weather!H162</f>
        <v>47.099999999999994</v>
      </c>
      <c r="AO6">
        <f>Weather!I162</f>
        <v>33.5</v>
      </c>
      <c r="AP6">
        <f>Weather!J162</f>
        <v>77.999999999999986</v>
      </c>
      <c r="AQ6">
        <f>Weather!K162</f>
        <v>12.9</v>
      </c>
      <c r="AR6">
        <f>Weather!L162</f>
        <v>119.39999999999999</v>
      </c>
      <c r="AS6">
        <f>Weather!M162</f>
        <v>3.4000000000000004</v>
      </c>
      <c r="AT6">
        <f>Weather!N162</f>
        <v>171.9</v>
      </c>
      <c r="AU6">
        <f>Weather!O162</f>
        <v>0</v>
      </c>
      <c r="AV6">
        <f>Weather!P162</f>
        <v>230.49999999999997</v>
      </c>
      <c r="AW6" s="7">
        <f>Weather!Q162</f>
        <v>15.435483870967738</v>
      </c>
      <c r="AX6" s="5">
        <f>'Economic Variables'!D116</f>
        <v>6690.2</v>
      </c>
      <c r="AY6" s="5">
        <f>'Economic Variables'!E116</f>
        <v>6657.6</v>
      </c>
      <c r="AZ6" s="5">
        <f>'Economic Variables'!F116</f>
        <v>243.3</v>
      </c>
      <c r="BA6" s="5">
        <f>'Economic Variables'!G116</f>
        <v>242.2</v>
      </c>
      <c r="BB6" s="5">
        <f>'Economic Variables'!H116</f>
        <v>634944.30000000005</v>
      </c>
      <c r="BC6" s="5">
        <f>'Economic Variables'!I116</f>
        <v>6527</v>
      </c>
      <c r="BD6" s="5">
        <f>'Economic Variables'!J116</f>
        <v>5663.5</v>
      </c>
      <c r="BE6" s="5">
        <f>'Economic Variables'!K116</f>
        <v>468.8</v>
      </c>
      <c r="BF6" s="5">
        <f>'Economic Variables'!L116</f>
        <v>7404.1</v>
      </c>
      <c r="BG6" s="5">
        <f>'Economic Variables'!M116</f>
        <v>38.299999999999997</v>
      </c>
      <c r="BH6" s="5">
        <f>'Economic Variables'!N116</f>
        <v>1677.5</v>
      </c>
      <c r="BI6" s="5">
        <f t="shared" si="2"/>
        <v>13931.1</v>
      </c>
      <c r="BJ6" s="5">
        <f>'Economic Variables'!P116</f>
        <v>635240</v>
      </c>
      <c r="BK6" s="5">
        <f>'Economic Variables'!Q116</f>
        <v>6610</v>
      </c>
      <c r="BL6" s="5">
        <f>'Economic Variables'!R116</f>
        <v>7627</v>
      </c>
      <c r="BM6" s="5">
        <f>'Economic Variables'!S116</f>
        <v>3334</v>
      </c>
      <c r="BN6" s="5">
        <f t="shared" si="15"/>
        <v>5</v>
      </c>
      <c r="BO6" s="80">
        <f t="shared" si="3"/>
        <v>0.69897000433601886</v>
      </c>
      <c r="BP6" s="5">
        <f t="shared" si="4"/>
        <v>25</v>
      </c>
      <c r="BQ6">
        <v>0</v>
      </c>
      <c r="BR6">
        <v>0</v>
      </c>
      <c r="BS6">
        <v>0</v>
      </c>
      <c r="BT6">
        <v>0</v>
      </c>
      <c r="BU6">
        <v>1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1</v>
      </c>
      <c r="CD6">
        <v>0</v>
      </c>
      <c r="CE6">
        <f t="shared" si="5"/>
        <v>1</v>
      </c>
      <c r="CF6">
        <v>31</v>
      </c>
      <c r="CG6">
        <v>22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 s="80">
        <f t="shared" si="6"/>
        <v>19.078854515555758</v>
      </c>
      <c r="CZ6" s="78">
        <f t="shared" si="7"/>
        <v>73.540672310259353</v>
      </c>
      <c r="DA6" s="5">
        <f t="shared" si="8"/>
        <v>1975.1229515424523</v>
      </c>
      <c r="DB6" s="5">
        <f t="shared" si="9"/>
        <v>61861.840940909104</v>
      </c>
      <c r="DC6" s="5">
        <f t="shared" si="10"/>
        <v>243685.6674553125</v>
      </c>
      <c r="DD6">
        <f t="shared" si="11"/>
        <v>1401.7001591591595</v>
      </c>
      <c r="DE6">
        <f t="shared" si="12"/>
        <v>43901.951635483878</v>
      </c>
      <c r="DF6">
        <f t="shared" si="13"/>
        <v>172938.21561344757</v>
      </c>
      <c r="DG6" s="19">
        <v>31858</v>
      </c>
      <c r="DH6" s="19">
        <v>3484</v>
      </c>
      <c r="DI6" s="19">
        <v>426</v>
      </c>
      <c r="DJ6" s="19">
        <v>13</v>
      </c>
      <c r="DK6" s="19">
        <v>3</v>
      </c>
    </row>
    <row r="7" spans="1:115" s="2" customFormat="1">
      <c r="A7" s="3">
        <v>41061</v>
      </c>
      <c r="B7">
        <f t="shared" si="0"/>
        <v>2012</v>
      </c>
      <c r="C7" s="2">
        <v>89655518.911500007</v>
      </c>
      <c r="D7" s="2">
        <v>24193571.970356502</v>
      </c>
      <c r="E7" s="2">
        <v>137392.11493033657</v>
      </c>
      <c r="F7" s="2">
        <v>24330964.085286837</v>
      </c>
      <c r="G7" s="2">
        <v>31900</v>
      </c>
      <c r="H7" s="2">
        <v>8872418.9886039998</v>
      </c>
      <c r="I7" s="2">
        <v>72034.962064851003</v>
      </c>
      <c r="J7" s="2">
        <v>8944453.9506688509</v>
      </c>
      <c r="K7" s="2">
        <v>3480</v>
      </c>
      <c r="L7" s="2">
        <v>18965161.219339199</v>
      </c>
      <c r="M7" s="2">
        <f>VLOOKUP('Monthly Data'!B7,'Historic CDM'!$B$111:$J$122,4,FALSE)/12+VLOOKUP('Monthly Data'!B7,'Historic CDM'!$N$111:$V$122,4,FALSE)/12</f>
        <v>408282.75017556688</v>
      </c>
      <c r="N7" s="2">
        <f t="shared" si="14"/>
        <v>19373443.969514765</v>
      </c>
      <c r="O7" s="2">
        <v>54704.337760736627</v>
      </c>
      <c r="P7" s="2">
        <v>430</v>
      </c>
      <c r="Q7" s="2">
        <v>10627589.568399996</v>
      </c>
      <c r="R7" s="2">
        <v>345</v>
      </c>
      <c r="S7" s="2">
        <v>10627934.568399996</v>
      </c>
      <c r="T7" s="2">
        <v>19732.048339263369</v>
      </c>
      <c r="U7" s="2">
        <v>8</v>
      </c>
      <c r="V7" s="2">
        <v>21848126.405985001</v>
      </c>
      <c r="W7" s="2">
        <f>VLOOKUP('Monthly Data'!B7,'Historic CDM'!$B$111:$J$122,9,FALSE)/12+VLOOKUP('Monthly Data'!B7,'Historic CDM'!$N$111:$V$122,9,FALSE)/12</f>
        <v>0</v>
      </c>
      <c r="X7" s="2">
        <f t="shared" si="1"/>
        <v>21848126.405985001</v>
      </c>
      <c r="Y7" s="2">
        <v>39581.711499999998</v>
      </c>
      <c r="Z7" s="2">
        <v>4</v>
      </c>
      <c r="AA7" s="2">
        <v>539723.72039969999</v>
      </c>
      <c r="AB7" s="2">
        <v>2048.0120000000002</v>
      </c>
      <c r="AC7" s="2">
        <v>10019</v>
      </c>
      <c r="AD7" s="2">
        <v>46561.824000000001</v>
      </c>
      <c r="AE7" s="2">
        <v>106.251</v>
      </c>
      <c r="AF7" s="2">
        <v>445</v>
      </c>
      <c r="AG7" s="2">
        <v>181668.88824</v>
      </c>
      <c r="AH7" s="2">
        <v>263</v>
      </c>
      <c r="AI7">
        <f>Weather!C163</f>
        <v>54.70000000000001</v>
      </c>
      <c r="AJ7">
        <f>Weather!D163</f>
        <v>61.999999999999993</v>
      </c>
      <c r="AK7">
        <f>Weather!E163</f>
        <v>30.299999999999997</v>
      </c>
      <c r="AL7">
        <f>Weather!F163</f>
        <v>97.600000000000023</v>
      </c>
      <c r="AM7">
        <f>Weather!G163</f>
        <v>12.1</v>
      </c>
      <c r="AN7">
        <f>Weather!H163</f>
        <v>139.40000000000003</v>
      </c>
      <c r="AO7">
        <f>Weather!I163</f>
        <v>2.7999999999999989</v>
      </c>
      <c r="AP7">
        <f>Weather!J163</f>
        <v>190.1</v>
      </c>
      <c r="AQ7">
        <f>Weather!K163</f>
        <v>0</v>
      </c>
      <c r="AR7">
        <f>Weather!L163</f>
        <v>247.29999999999995</v>
      </c>
      <c r="AS7">
        <f>Weather!M163</f>
        <v>0</v>
      </c>
      <c r="AT7">
        <f>Weather!N163</f>
        <v>307.29999999999995</v>
      </c>
      <c r="AU7">
        <f>Weather!O163</f>
        <v>0</v>
      </c>
      <c r="AV7">
        <f>Weather!P163</f>
        <v>367.30000000000007</v>
      </c>
      <c r="AW7" s="7">
        <f>Weather!Q163</f>
        <v>20.243333333333336</v>
      </c>
      <c r="AX7" s="5">
        <f>'Economic Variables'!D117</f>
        <v>6685.4</v>
      </c>
      <c r="AY7" s="5">
        <f>'Economic Variables'!E117</f>
        <v>6727.5</v>
      </c>
      <c r="AZ7" s="5">
        <f>'Economic Variables'!F117</f>
        <v>244.2</v>
      </c>
      <c r="BA7" s="5">
        <f>'Economic Variables'!G117</f>
        <v>246.2</v>
      </c>
      <c r="BB7" s="5">
        <f>'Economic Variables'!H117</f>
        <v>634944.30000000005</v>
      </c>
      <c r="BC7" s="5">
        <f>'Economic Variables'!I117</f>
        <v>6527</v>
      </c>
      <c r="BD7" s="5">
        <f>'Economic Variables'!J117</f>
        <v>5663.5</v>
      </c>
      <c r="BE7" s="5">
        <f>'Economic Variables'!K117</f>
        <v>468.8</v>
      </c>
      <c r="BF7" s="5">
        <f>'Economic Variables'!L117</f>
        <v>7404.1</v>
      </c>
      <c r="BG7" s="5">
        <f>'Economic Variables'!M117</f>
        <v>38.299999999999997</v>
      </c>
      <c r="BH7" s="5">
        <f>'Economic Variables'!N117</f>
        <v>1677.5</v>
      </c>
      <c r="BI7" s="5">
        <f t="shared" si="2"/>
        <v>13931.1</v>
      </c>
      <c r="BJ7" s="5">
        <f>'Economic Variables'!P117</f>
        <v>635240</v>
      </c>
      <c r="BK7" s="5">
        <f>'Economic Variables'!Q117</f>
        <v>6610</v>
      </c>
      <c r="BL7" s="5">
        <f>'Economic Variables'!R117</f>
        <v>7627</v>
      </c>
      <c r="BM7" s="5">
        <f>'Economic Variables'!S117</f>
        <v>3334</v>
      </c>
      <c r="BN7" s="5">
        <f t="shared" si="15"/>
        <v>6</v>
      </c>
      <c r="BO7" s="80">
        <f t="shared" si="3"/>
        <v>0.77815125038364363</v>
      </c>
      <c r="BP7" s="5">
        <f t="shared" si="4"/>
        <v>36</v>
      </c>
      <c r="BQ7">
        <v>0</v>
      </c>
      <c r="BR7">
        <v>0</v>
      </c>
      <c r="BS7">
        <v>0</v>
      </c>
      <c r="BT7">
        <v>0</v>
      </c>
      <c r="BU7">
        <v>0</v>
      </c>
      <c r="BV7">
        <v>1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f t="shared" si="5"/>
        <v>0</v>
      </c>
      <c r="CF7">
        <v>30</v>
      </c>
      <c r="CG7">
        <v>21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 s="80">
        <f t="shared" si="6"/>
        <v>25.424204895806518</v>
      </c>
      <c r="CZ7" s="78">
        <f t="shared" si="7"/>
        <v>85.674846270774424</v>
      </c>
      <c r="DA7" s="5">
        <f t="shared" si="8"/>
        <v>2145.4533742541271</v>
      </c>
      <c r="DB7" s="5">
        <f t="shared" si="9"/>
        <v>63261.515288095208</v>
      </c>
      <c r="DC7" s="5">
        <f t="shared" si="10"/>
        <v>260096.74292839286</v>
      </c>
      <c r="DD7">
        <f t="shared" si="11"/>
        <v>1501.8173619778886</v>
      </c>
      <c r="DE7">
        <f t="shared" si="12"/>
        <v>44283.060701666647</v>
      </c>
      <c r="DF7">
        <f t="shared" si="13"/>
        <v>182067.720049875</v>
      </c>
      <c r="DG7" s="19">
        <v>31900</v>
      </c>
      <c r="DH7" s="19">
        <v>3480</v>
      </c>
      <c r="DI7" s="19">
        <v>427</v>
      </c>
      <c r="DJ7" s="19">
        <v>13</v>
      </c>
      <c r="DK7" s="19">
        <v>3</v>
      </c>
    </row>
    <row r="8" spans="1:115" s="2" customFormat="1">
      <c r="A8" s="3">
        <v>41091</v>
      </c>
      <c r="B8">
        <f t="shared" si="0"/>
        <v>2012</v>
      </c>
      <c r="C8" s="2">
        <v>102375138.77075</v>
      </c>
      <c r="D8" s="2">
        <v>30348306.649748202</v>
      </c>
      <c r="E8" s="2">
        <v>137392.11493033657</v>
      </c>
      <c r="F8" s="2">
        <v>30485698.764678538</v>
      </c>
      <c r="G8" s="2">
        <v>31909</v>
      </c>
      <c r="H8" s="2">
        <v>10326721.875617899</v>
      </c>
      <c r="I8" s="2">
        <v>72034.962064851003</v>
      </c>
      <c r="J8" s="2">
        <v>10398756.83768275</v>
      </c>
      <c r="K8" s="2">
        <v>3474</v>
      </c>
      <c r="L8" s="2">
        <v>23138183.984137699</v>
      </c>
      <c r="M8" s="2">
        <f>VLOOKUP('Monthly Data'!B8,'Historic CDM'!$B$111:$J$122,4,FALSE)/12+VLOOKUP('Monthly Data'!B8,'Historic CDM'!$N$111:$V$122,4,FALSE)/12</f>
        <v>408282.75017556688</v>
      </c>
      <c r="N8" s="2">
        <f t="shared" si="14"/>
        <v>23546466.734313264</v>
      </c>
      <c r="O8" s="2">
        <v>63283.497340423186</v>
      </c>
      <c r="P8" s="2">
        <v>431</v>
      </c>
      <c r="Q8" s="2">
        <v>11036778.910399999</v>
      </c>
      <c r="R8" s="2">
        <v>345</v>
      </c>
      <c r="S8" s="2">
        <v>11037123.910399999</v>
      </c>
      <c r="T8" s="2">
        <v>21126.12235957681</v>
      </c>
      <c r="U8" s="2">
        <v>8</v>
      </c>
      <c r="V8" s="2">
        <v>23009052.228524998</v>
      </c>
      <c r="W8" s="2">
        <f>VLOOKUP('Monthly Data'!B8,'Historic CDM'!$B$111:$J$122,9,FALSE)/12+VLOOKUP('Monthly Data'!B8,'Historic CDM'!$N$111:$V$122,9,FALSE)/12</f>
        <v>0</v>
      </c>
      <c r="X8" s="2">
        <f t="shared" si="1"/>
        <v>23009052.228524998</v>
      </c>
      <c r="Y8" s="2">
        <v>38999.651100000003</v>
      </c>
      <c r="Z8" s="2">
        <v>4</v>
      </c>
      <c r="AA8" s="2">
        <v>583622.56360929995</v>
      </c>
      <c r="AB8" s="2">
        <v>2010.6869999999999</v>
      </c>
      <c r="AC8" s="2">
        <v>10033</v>
      </c>
      <c r="AD8" s="2">
        <v>48067.08</v>
      </c>
      <c r="AE8" s="2">
        <v>163.08700000000002</v>
      </c>
      <c r="AF8" s="2">
        <v>443</v>
      </c>
      <c r="AG8" s="2">
        <v>187724.51784800002</v>
      </c>
      <c r="AH8" s="2">
        <v>263</v>
      </c>
      <c r="AI8">
        <f>Weather!C164</f>
        <v>2.8999999999999986</v>
      </c>
      <c r="AJ8">
        <f>Weather!D164</f>
        <v>94.799999999999983</v>
      </c>
      <c r="AK8">
        <f>Weather!E164</f>
        <v>0</v>
      </c>
      <c r="AL8">
        <f>Weather!F164</f>
        <v>153.89999999999995</v>
      </c>
      <c r="AM8">
        <f>Weather!G164</f>
        <v>0</v>
      </c>
      <c r="AN8">
        <f>Weather!H164</f>
        <v>215.9</v>
      </c>
      <c r="AO8">
        <f>Weather!I164</f>
        <v>0</v>
      </c>
      <c r="AP8">
        <f>Weather!J164</f>
        <v>277.90000000000003</v>
      </c>
      <c r="AQ8">
        <f>Weather!K164</f>
        <v>0</v>
      </c>
      <c r="AR8">
        <f>Weather!L164</f>
        <v>339.90000000000003</v>
      </c>
      <c r="AS8">
        <f>Weather!M164</f>
        <v>0</v>
      </c>
      <c r="AT8">
        <f>Weather!N164</f>
        <v>401.90000000000009</v>
      </c>
      <c r="AU8">
        <f>Weather!O164</f>
        <v>0</v>
      </c>
      <c r="AV8">
        <f>Weather!P164</f>
        <v>463.90000000000009</v>
      </c>
      <c r="AW8" s="7">
        <f>Weather!Q164</f>
        <v>22.964516129032258</v>
      </c>
      <c r="AX8" s="5">
        <f>'Economic Variables'!D118</f>
        <v>6687.7</v>
      </c>
      <c r="AY8" s="5">
        <f>'Economic Variables'!E118</f>
        <v>6772.9</v>
      </c>
      <c r="AZ8" s="5">
        <f>'Economic Variables'!F118</f>
        <v>243.8</v>
      </c>
      <c r="BA8" s="5">
        <f>'Economic Variables'!G118</f>
        <v>247.9</v>
      </c>
      <c r="BB8" s="5">
        <f>'Economic Variables'!H118</f>
        <v>634944.30000000005</v>
      </c>
      <c r="BC8" s="5">
        <f>'Economic Variables'!I118</f>
        <v>6527</v>
      </c>
      <c r="BD8" s="5">
        <f>'Economic Variables'!J118</f>
        <v>5663.5</v>
      </c>
      <c r="BE8" s="5">
        <f>'Economic Variables'!K118</f>
        <v>468.8</v>
      </c>
      <c r="BF8" s="5">
        <f>'Economic Variables'!L118</f>
        <v>7404.1</v>
      </c>
      <c r="BG8" s="5">
        <f>'Economic Variables'!M118</f>
        <v>38.299999999999997</v>
      </c>
      <c r="BH8" s="5">
        <f>'Economic Variables'!N118</f>
        <v>1677.5</v>
      </c>
      <c r="BI8" s="5">
        <f t="shared" si="2"/>
        <v>13931.1</v>
      </c>
      <c r="BJ8" s="5">
        <f>'Economic Variables'!P118</f>
        <v>635111</v>
      </c>
      <c r="BK8" s="5">
        <f>'Economic Variables'!Q118</f>
        <v>6513</v>
      </c>
      <c r="BL8" s="5">
        <f>'Economic Variables'!R118</f>
        <v>7240</v>
      </c>
      <c r="BM8" s="5">
        <f>'Economic Variables'!S118</f>
        <v>3376</v>
      </c>
      <c r="BN8" s="5">
        <f t="shared" si="15"/>
        <v>7</v>
      </c>
      <c r="BO8" s="80">
        <f t="shared" si="3"/>
        <v>0.84509804001425681</v>
      </c>
      <c r="BP8" s="5">
        <f t="shared" si="4"/>
        <v>49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1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f t="shared" si="5"/>
        <v>0</v>
      </c>
      <c r="CF8">
        <v>31</v>
      </c>
      <c r="CG8">
        <v>21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 s="80">
        <f t="shared" si="6"/>
        <v>30.819193254889701</v>
      </c>
      <c r="CZ8" s="78">
        <f t="shared" si="7"/>
        <v>96.558367575563636</v>
      </c>
      <c r="DA8" s="5">
        <f t="shared" si="8"/>
        <v>2601.5320665465988</v>
      </c>
      <c r="DB8" s="5">
        <f t="shared" si="9"/>
        <v>65697.166133333332</v>
      </c>
      <c r="DC8" s="5">
        <f t="shared" si="10"/>
        <v>273917.28843482141</v>
      </c>
      <c r="DD8">
        <f t="shared" si="11"/>
        <v>1762.3281741122121</v>
      </c>
      <c r="DE8">
        <f t="shared" si="12"/>
        <v>44504.531896774191</v>
      </c>
      <c r="DF8">
        <f t="shared" si="13"/>
        <v>185556.87281068545</v>
      </c>
      <c r="DG8" s="19">
        <v>31909</v>
      </c>
      <c r="DH8" s="19">
        <v>3474</v>
      </c>
      <c r="DI8" s="19">
        <v>428</v>
      </c>
      <c r="DJ8" s="19">
        <v>13</v>
      </c>
      <c r="DK8" s="19">
        <v>3</v>
      </c>
    </row>
    <row r="9" spans="1:115" s="2" customFormat="1">
      <c r="A9" s="3">
        <v>41122</v>
      </c>
      <c r="B9">
        <f t="shared" si="0"/>
        <v>2012</v>
      </c>
      <c r="C9" s="2">
        <v>96528231.643250003</v>
      </c>
      <c r="D9" s="2">
        <v>25692183.853312198</v>
      </c>
      <c r="E9" s="2">
        <v>137392.11493033657</v>
      </c>
      <c r="F9" s="2">
        <v>25829575.968242534</v>
      </c>
      <c r="G9" s="2">
        <v>31911</v>
      </c>
      <c r="H9" s="2">
        <v>9289924.3803041</v>
      </c>
      <c r="I9" s="2">
        <v>72034.962064851003</v>
      </c>
      <c r="J9" s="2">
        <v>9361959.3423689511</v>
      </c>
      <c r="K9" s="2">
        <v>3476</v>
      </c>
      <c r="L9" s="2">
        <v>21391186.602286898</v>
      </c>
      <c r="M9" s="2">
        <f>VLOOKUP('Monthly Data'!B9,'Historic CDM'!$B$111:$J$122,4,FALSE)/12+VLOOKUP('Monthly Data'!B9,'Historic CDM'!$N$111:$V$122,4,FALSE)/12</f>
        <v>408282.75017556688</v>
      </c>
      <c r="N9" s="2">
        <f t="shared" si="14"/>
        <v>21799469.352462463</v>
      </c>
      <c r="O9" s="2">
        <v>64458.018517194556</v>
      </c>
      <c r="P9" s="2">
        <v>429</v>
      </c>
      <c r="Q9" s="2">
        <v>11333182.0392</v>
      </c>
      <c r="R9" s="2">
        <f>VLOOKUP('Monthly Data'!B9,'Historic CDM'!$B$111:$J$122,5,FALSE)/12+VLOOKUP('Monthly Data'!B9,'Historic CDM'!$N$111:$V$122,5,FALSE)/12</f>
        <v>345</v>
      </c>
      <c r="S9" s="2">
        <f t="shared" ref="S9:S72" si="16">Q9+R9</f>
        <v>11333527.0392</v>
      </c>
      <c r="T9" s="2">
        <v>22355.161482805452</v>
      </c>
      <c r="U9" s="2">
        <v>8</v>
      </c>
      <c r="V9" s="2">
        <v>24714359.7245325</v>
      </c>
      <c r="W9" s="2">
        <f>VLOOKUP('Monthly Data'!B9,'Historic CDM'!$B$111:$J$122,9,FALSE)/12+VLOOKUP('Monthly Data'!B9,'Historic CDM'!$N$111:$V$122,9,FALSE)/12</f>
        <v>0</v>
      </c>
      <c r="X9" s="2">
        <f t="shared" si="1"/>
        <v>24714359.7245325</v>
      </c>
      <c r="Y9" s="2">
        <v>38577.1201</v>
      </c>
      <c r="Z9" s="2">
        <v>4</v>
      </c>
      <c r="AA9" s="2">
        <v>655389.58604950004</v>
      </c>
      <c r="AB9" s="2">
        <v>2013.2170000000001</v>
      </c>
      <c r="AC9" s="2">
        <v>10033</v>
      </c>
      <c r="AD9" s="2">
        <v>47897.16</v>
      </c>
      <c r="AE9" s="2">
        <v>108.25</v>
      </c>
      <c r="AF9" s="2">
        <v>439</v>
      </c>
      <c r="AG9" s="2">
        <v>191871.1260704</v>
      </c>
      <c r="AH9" s="2">
        <v>263</v>
      </c>
      <c r="AI9">
        <f>Weather!C165</f>
        <v>23.599999999999998</v>
      </c>
      <c r="AJ9">
        <f>Weather!D165</f>
        <v>46.79999999999999</v>
      </c>
      <c r="AK9">
        <f>Weather!E165</f>
        <v>5.8999999999999986</v>
      </c>
      <c r="AL9">
        <f>Weather!F165</f>
        <v>91.1</v>
      </c>
      <c r="AM9">
        <f>Weather!G165</f>
        <v>0.30000000000000071</v>
      </c>
      <c r="AN9">
        <f>Weather!H165</f>
        <v>147.50000000000003</v>
      </c>
      <c r="AO9">
        <f>Weather!I165</f>
        <v>0</v>
      </c>
      <c r="AP9">
        <f>Weather!J165</f>
        <v>209.2</v>
      </c>
      <c r="AQ9">
        <f>Weather!K165</f>
        <v>0</v>
      </c>
      <c r="AR9">
        <f>Weather!L165</f>
        <v>271.19999999999993</v>
      </c>
      <c r="AS9">
        <f>Weather!M165</f>
        <v>0</v>
      </c>
      <c r="AT9">
        <f>Weather!N165</f>
        <v>333.19999999999987</v>
      </c>
      <c r="AU9">
        <f>Weather!O165</f>
        <v>0</v>
      </c>
      <c r="AV9">
        <f>Weather!P165</f>
        <v>395.19999999999987</v>
      </c>
      <c r="AW9" s="7">
        <f>Weather!Q165</f>
        <v>20.748387096774195</v>
      </c>
      <c r="AX9" s="5">
        <f>'Economic Variables'!D119</f>
        <v>6696.7</v>
      </c>
      <c r="AY9" s="5">
        <f>'Economic Variables'!E119</f>
        <v>6792.8</v>
      </c>
      <c r="AZ9" s="5">
        <f>'Economic Variables'!F119</f>
        <v>244.1</v>
      </c>
      <c r="BA9" s="5">
        <f>'Economic Variables'!G119</f>
        <v>248.9</v>
      </c>
      <c r="BB9" s="5">
        <f>'Economic Variables'!H119</f>
        <v>634944.30000000005</v>
      </c>
      <c r="BC9" s="5">
        <f>'Economic Variables'!I119</f>
        <v>6527</v>
      </c>
      <c r="BD9" s="5">
        <f>'Economic Variables'!J119</f>
        <v>5663.5</v>
      </c>
      <c r="BE9" s="5">
        <f>'Economic Variables'!K119</f>
        <v>468.8</v>
      </c>
      <c r="BF9" s="5">
        <f>'Economic Variables'!L119</f>
        <v>7404.1</v>
      </c>
      <c r="BG9" s="5">
        <f>'Economic Variables'!M119</f>
        <v>38.299999999999997</v>
      </c>
      <c r="BH9" s="5">
        <f>'Economic Variables'!N119</f>
        <v>1677.5</v>
      </c>
      <c r="BI9" s="5">
        <f t="shared" si="2"/>
        <v>13931.1</v>
      </c>
      <c r="BJ9" s="5">
        <f>'Economic Variables'!P119</f>
        <v>635111</v>
      </c>
      <c r="BK9" s="5">
        <f>'Economic Variables'!Q119</f>
        <v>6513</v>
      </c>
      <c r="BL9" s="5">
        <f>'Economic Variables'!R119</f>
        <v>7240</v>
      </c>
      <c r="BM9" s="5">
        <f>'Economic Variables'!S119</f>
        <v>3376</v>
      </c>
      <c r="BN9" s="5">
        <f t="shared" si="15"/>
        <v>8</v>
      </c>
      <c r="BO9" s="80">
        <f t="shared" si="3"/>
        <v>0.90308998699194354</v>
      </c>
      <c r="BP9" s="5">
        <f t="shared" si="4"/>
        <v>64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1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f t="shared" si="5"/>
        <v>0</v>
      </c>
      <c r="CF9">
        <v>31</v>
      </c>
      <c r="CG9">
        <v>22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 s="80">
        <f t="shared" si="6"/>
        <v>26.110498825101807</v>
      </c>
      <c r="CZ9" s="78">
        <f t="shared" si="7"/>
        <v>86.881095645429966</v>
      </c>
      <c r="DA9" s="5">
        <f t="shared" si="8"/>
        <v>2309.7551761456307</v>
      </c>
      <c r="DB9" s="5">
        <f t="shared" si="9"/>
        <v>64395.03999545455</v>
      </c>
      <c r="DC9" s="5">
        <f t="shared" si="10"/>
        <v>280844.99686968751</v>
      </c>
      <c r="DD9">
        <f t="shared" si="11"/>
        <v>1639.1810927485121</v>
      </c>
      <c r="DE9">
        <f t="shared" si="12"/>
        <v>45699.705803225806</v>
      </c>
      <c r="DF9">
        <f t="shared" si="13"/>
        <v>199309.35261719758</v>
      </c>
      <c r="DG9" s="19">
        <v>31911</v>
      </c>
      <c r="DH9" s="19">
        <v>3476</v>
      </c>
      <c r="DI9" s="19">
        <v>426</v>
      </c>
      <c r="DJ9" s="19">
        <v>13</v>
      </c>
      <c r="DK9" s="19">
        <v>3</v>
      </c>
    </row>
    <row r="10" spans="1:115" s="2" customFormat="1">
      <c r="A10" s="3">
        <v>41153</v>
      </c>
      <c r="B10">
        <f t="shared" si="0"/>
        <v>2012</v>
      </c>
      <c r="C10" s="2">
        <v>83651382.479249999</v>
      </c>
      <c r="D10" s="2">
        <v>19600825.754840903</v>
      </c>
      <c r="E10" s="2">
        <v>137392.11493033657</v>
      </c>
      <c r="F10" s="2">
        <v>19738217.869771238</v>
      </c>
      <c r="G10" s="2">
        <v>31882</v>
      </c>
      <c r="H10" s="2">
        <v>7820709.2910686005</v>
      </c>
      <c r="I10" s="2">
        <v>72034.962064851003</v>
      </c>
      <c r="J10" s="2">
        <v>7892744.2531334516</v>
      </c>
      <c r="K10" s="2">
        <v>3470</v>
      </c>
      <c r="L10" s="2">
        <v>17796306.780482501</v>
      </c>
      <c r="M10" s="2">
        <f>VLOOKUP('Monthly Data'!B10,'Historic CDM'!$B$111:$J$122,4,FALSE)/12+VLOOKUP('Monthly Data'!B10,'Historic CDM'!$N$111:$V$122,4,FALSE)/12</f>
        <v>408282.75017556688</v>
      </c>
      <c r="N10" s="2">
        <f t="shared" si="14"/>
        <v>18204589.530658066</v>
      </c>
      <c r="O10" s="2">
        <v>54929.032443820091</v>
      </c>
      <c r="P10" s="2">
        <v>425</v>
      </c>
      <c r="Q10" s="2">
        <v>10531126.440000001</v>
      </c>
      <c r="R10" s="2">
        <f>VLOOKUP('Monthly Data'!B10,'Historic CDM'!$B$111:$J$122,5,FALSE)/12+VLOOKUP('Monthly Data'!B10,'Historic CDM'!$N$111:$V$122,5,FALSE)/12</f>
        <v>345</v>
      </c>
      <c r="S10" s="2">
        <f t="shared" si="16"/>
        <v>10531471.440000001</v>
      </c>
      <c r="T10" s="2">
        <v>20799.918756179912</v>
      </c>
      <c r="U10" s="2">
        <v>8</v>
      </c>
      <c r="V10" s="2">
        <v>23088125.301615</v>
      </c>
      <c r="W10" s="2">
        <f>VLOOKUP('Monthly Data'!B10,'Historic CDM'!$B$111:$J$122,9,FALSE)/12+VLOOKUP('Monthly Data'!B10,'Historic CDM'!$N$111:$V$122,9,FALSE)/12</f>
        <v>0</v>
      </c>
      <c r="X10" s="2">
        <f t="shared" si="1"/>
        <v>23088125.301615</v>
      </c>
      <c r="Y10" s="2">
        <v>38755.006300000001</v>
      </c>
      <c r="Z10" s="2">
        <v>4</v>
      </c>
      <c r="AA10" s="2">
        <v>746104.88940009999</v>
      </c>
      <c r="AB10" s="2">
        <v>2013.297</v>
      </c>
      <c r="AC10" s="2">
        <v>10034</v>
      </c>
      <c r="AD10" s="2">
        <v>48116.88</v>
      </c>
      <c r="AE10" s="2">
        <v>114.54700000000001</v>
      </c>
      <c r="AF10" s="2">
        <v>439</v>
      </c>
      <c r="AG10" s="2">
        <v>185716.76769520002</v>
      </c>
      <c r="AH10" s="2">
        <v>263</v>
      </c>
      <c r="AI10">
        <f>Weather!C166</f>
        <v>130.10000000000002</v>
      </c>
      <c r="AJ10">
        <f>Weather!D166</f>
        <v>9.100000000000005</v>
      </c>
      <c r="AK10">
        <f>Weather!E166</f>
        <v>88.100000000000009</v>
      </c>
      <c r="AL10">
        <f>Weather!F166</f>
        <v>27.100000000000005</v>
      </c>
      <c r="AM10">
        <f>Weather!G166</f>
        <v>53.199999999999996</v>
      </c>
      <c r="AN10">
        <f>Weather!H166</f>
        <v>52.199999999999996</v>
      </c>
      <c r="AO10">
        <f>Weather!I166</f>
        <v>26.4</v>
      </c>
      <c r="AP10">
        <f>Weather!J166</f>
        <v>85.4</v>
      </c>
      <c r="AQ10">
        <f>Weather!K166</f>
        <v>8.8000000000000007</v>
      </c>
      <c r="AR10">
        <f>Weather!L166</f>
        <v>127.8</v>
      </c>
      <c r="AS10">
        <f>Weather!M166</f>
        <v>0.59999999999999964</v>
      </c>
      <c r="AT10">
        <f>Weather!N166</f>
        <v>179.6</v>
      </c>
      <c r="AU10">
        <f>Weather!O166</f>
        <v>0</v>
      </c>
      <c r="AV10">
        <f>Weather!P166</f>
        <v>239.00000000000003</v>
      </c>
      <c r="AW10" s="7">
        <f>Weather!Q166</f>
        <v>15.96666666666667</v>
      </c>
      <c r="AX10" s="5">
        <f>'Economic Variables'!D120</f>
        <v>6714.6</v>
      </c>
      <c r="AY10" s="5">
        <f>'Economic Variables'!E120</f>
        <v>6769.1</v>
      </c>
      <c r="AZ10" s="5">
        <f>'Economic Variables'!F120</f>
        <v>245.4</v>
      </c>
      <c r="BA10" s="5">
        <f>'Economic Variables'!G120</f>
        <v>248.4</v>
      </c>
      <c r="BB10" s="5">
        <f>'Economic Variables'!H120</f>
        <v>634944.30000000005</v>
      </c>
      <c r="BC10" s="5">
        <f>'Economic Variables'!I120</f>
        <v>6527</v>
      </c>
      <c r="BD10" s="5">
        <f>'Economic Variables'!J120</f>
        <v>5663.5</v>
      </c>
      <c r="BE10" s="5">
        <f>'Economic Variables'!K120</f>
        <v>468.8</v>
      </c>
      <c r="BF10" s="5">
        <f>'Economic Variables'!L120</f>
        <v>7404.1</v>
      </c>
      <c r="BG10" s="5">
        <f>'Economic Variables'!M120</f>
        <v>38.299999999999997</v>
      </c>
      <c r="BH10" s="5">
        <f>'Economic Variables'!N120</f>
        <v>1677.5</v>
      </c>
      <c r="BI10" s="5">
        <f t="shared" si="2"/>
        <v>13931.1</v>
      </c>
      <c r="BJ10" s="5">
        <f>'Economic Variables'!P120</f>
        <v>635111</v>
      </c>
      <c r="BK10" s="5">
        <f>'Economic Variables'!Q120</f>
        <v>6513</v>
      </c>
      <c r="BL10" s="5">
        <f>'Economic Variables'!R120</f>
        <v>7240</v>
      </c>
      <c r="BM10" s="5">
        <f>'Economic Variables'!S120</f>
        <v>3376</v>
      </c>
      <c r="BN10" s="5">
        <f t="shared" si="15"/>
        <v>9</v>
      </c>
      <c r="BO10" s="80">
        <f t="shared" si="3"/>
        <v>0.95424250943932487</v>
      </c>
      <c r="BP10" s="5">
        <f t="shared" si="4"/>
        <v>81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1</v>
      </c>
      <c r="BZ10">
        <v>0</v>
      </c>
      <c r="CA10">
        <v>0</v>
      </c>
      <c r="CB10">
        <v>0</v>
      </c>
      <c r="CC10">
        <v>0</v>
      </c>
      <c r="CD10">
        <v>1</v>
      </c>
      <c r="CE10">
        <f t="shared" si="5"/>
        <v>1</v>
      </c>
      <c r="CF10">
        <v>30</v>
      </c>
      <c r="CG10">
        <v>19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 s="80">
        <f t="shared" ref="CY10:CY41" si="17">F10/$CF10/G10</f>
        <v>20.636741598991321</v>
      </c>
      <c r="CZ10" s="78">
        <f t="shared" ref="CZ10:CZ41" si="18">J10/$CF10/K10</f>
        <v>75.818868906181095</v>
      </c>
      <c r="DA10" s="5">
        <f t="shared" ref="DA10:DA41" si="19">N10/$CG10/P10</f>
        <v>2254.4383319700391</v>
      </c>
      <c r="DB10" s="5">
        <f t="shared" ref="DB10:DB41" si="20">S10/$CG10/U10</f>
        <v>69285.996315789482</v>
      </c>
      <c r="DC10" s="5">
        <f t="shared" ref="DC10:DC41" si="21">X10/$CG10/Z10</f>
        <v>303791.12238967104</v>
      </c>
      <c r="DD10">
        <f t="shared" si="11"/>
        <v>1427.8109435810247</v>
      </c>
      <c r="DE10">
        <f t="shared" ref="DE10:DE41" si="22">S10/$CF10/U10</f>
        <v>43881.131000000008</v>
      </c>
      <c r="DF10">
        <f t="shared" ref="DF10:DF41" si="23">X10/$CF10/Z10</f>
        <v>192401.044180125</v>
      </c>
      <c r="DG10" s="19">
        <v>31882</v>
      </c>
      <c r="DH10" s="19">
        <v>3470</v>
      </c>
      <c r="DI10" s="19">
        <v>422</v>
      </c>
      <c r="DJ10" s="19">
        <v>13</v>
      </c>
      <c r="DK10" s="19">
        <v>3</v>
      </c>
    </row>
    <row r="11" spans="1:115" s="2" customFormat="1">
      <c r="A11" s="3">
        <v>41183</v>
      </c>
      <c r="B11">
        <f t="shared" si="0"/>
        <v>2012</v>
      </c>
      <c r="C11" s="2">
        <v>81016774.85374999</v>
      </c>
      <c r="D11" s="2">
        <v>18013485.079964098</v>
      </c>
      <c r="E11" s="2">
        <v>137392.11493033657</v>
      </c>
      <c r="F11" s="2">
        <v>18150877.194894433</v>
      </c>
      <c r="G11" s="2">
        <v>31939</v>
      </c>
      <c r="H11" s="2">
        <v>7711014.2501243996</v>
      </c>
      <c r="I11" s="2">
        <v>72034.962064851003</v>
      </c>
      <c r="J11" s="2">
        <v>7783049.2121892506</v>
      </c>
      <c r="K11" s="2">
        <v>3475</v>
      </c>
      <c r="L11" s="2">
        <v>18242799.787855498</v>
      </c>
      <c r="M11" s="2">
        <f>VLOOKUP('Monthly Data'!B11,'Historic CDM'!$B$111:$J$122,4,FALSE)/12+VLOOKUP('Monthly Data'!B11,'Historic CDM'!$N$111:$V$122,4,FALSE)/12</f>
        <v>408282.75017556688</v>
      </c>
      <c r="N11" s="2">
        <f t="shared" si="14"/>
        <v>18651082.538031064</v>
      </c>
      <c r="O11" s="2">
        <v>61415.612416176889</v>
      </c>
      <c r="P11" s="2">
        <v>430</v>
      </c>
      <c r="Q11" s="2">
        <v>11053077.9202</v>
      </c>
      <c r="R11" s="2">
        <f>VLOOKUP('Monthly Data'!B11,'Historic CDM'!$B$111:$J$122,5,FALSE)/12+VLOOKUP('Monthly Data'!B11,'Historic CDM'!$N$111:$V$122,5,FALSE)/12</f>
        <v>345</v>
      </c>
      <c r="S11" s="2">
        <f t="shared" si="16"/>
        <v>11053422.9202</v>
      </c>
      <c r="T11" s="2">
        <v>20744.129060482228</v>
      </c>
      <c r="U11" s="2">
        <v>8</v>
      </c>
      <c r="V11" s="2">
        <v>21735263.339707501</v>
      </c>
      <c r="W11" s="2">
        <f>VLOOKUP('Monthly Data'!B11,'Historic CDM'!$B$111:$J$122,9,FALSE)/12+VLOOKUP('Monthly Data'!B11,'Historic CDM'!$N$111:$V$122,9,FALSE)/12</f>
        <v>0</v>
      </c>
      <c r="X11" s="2">
        <f t="shared" si="1"/>
        <v>21735263.339707501</v>
      </c>
      <c r="Y11" s="2">
        <v>40223.11432334088</v>
      </c>
      <c r="Z11" s="2">
        <v>4</v>
      </c>
      <c r="AA11" s="2">
        <v>839454.51241940004</v>
      </c>
      <c r="AB11" s="2">
        <v>2013.011</v>
      </c>
      <c r="AC11" s="2">
        <v>10040</v>
      </c>
      <c r="AD11" s="2">
        <v>50843.040000000001</v>
      </c>
      <c r="AE11" s="2">
        <v>107.91</v>
      </c>
      <c r="AF11" s="2">
        <v>439</v>
      </c>
      <c r="AG11" s="2">
        <v>188810.53428720002</v>
      </c>
      <c r="AH11" s="2">
        <v>263</v>
      </c>
      <c r="AI11">
        <f>Weather!C167</f>
        <v>280.89999999999998</v>
      </c>
      <c r="AJ11">
        <f>Weather!D167</f>
        <v>0</v>
      </c>
      <c r="AK11">
        <f>Weather!E167</f>
        <v>220.5</v>
      </c>
      <c r="AL11">
        <f>Weather!F167</f>
        <v>1.6000000000000014</v>
      </c>
      <c r="AM11">
        <f>Weather!G167</f>
        <v>166.7</v>
      </c>
      <c r="AN11">
        <f>Weather!H167</f>
        <v>9.8000000000000007</v>
      </c>
      <c r="AO11">
        <f>Weather!I167</f>
        <v>118.29999999999998</v>
      </c>
      <c r="AP11">
        <f>Weather!J167</f>
        <v>23.4</v>
      </c>
      <c r="AQ11">
        <f>Weather!K167</f>
        <v>75.3</v>
      </c>
      <c r="AR11">
        <f>Weather!L167</f>
        <v>42.4</v>
      </c>
      <c r="AS11">
        <f>Weather!M167</f>
        <v>40.499999999999993</v>
      </c>
      <c r="AT11">
        <f>Weather!N167</f>
        <v>69.599999999999994</v>
      </c>
      <c r="AU11">
        <f>Weather!O167</f>
        <v>14.5</v>
      </c>
      <c r="AV11">
        <f>Weather!P167</f>
        <v>105.60000000000001</v>
      </c>
      <c r="AW11" s="7">
        <f>Weather!Q167</f>
        <v>10.938709677419356</v>
      </c>
      <c r="AX11" s="5">
        <f>'Economic Variables'!D121</f>
        <v>6719.1</v>
      </c>
      <c r="AY11" s="5">
        <f>'Economic Variables'!E121</f>
        <v>6748.7</v>
      </c>
      <c r="AZ11" s="5">
        <f>'Economic Variables'!F121</f>
        <v>242.8</v>
      </c>
      <c r="BA11" s="5">
        <f>'Economic Variables'!G121</f>
        <v>243.5</v>
      </c>
      <c r="BB11" s="5">
        <f>'Economic Variables'!H121</f>
        <v>634944.30000000005</v>
      </c>
      <c r="BC11" s="5">
        <f>'Economic Variables'!I121</f>
        <v>6527</v>
      </c>
      <c r="BD11" s="5">
        <f>'Economic Variables'!J121</f>
        <v>5663.5</v>
      </c>
      <c r="BE11" s="5">
        <f>'Economic Variables'!K121</f>
        <v>468.8</v>
      </c>
      <c r="BF11" s="5">
        <f>'Economic Variables'!L121</f>
        <v>7404.1</v>
      </c>
      <c r="BG11" s="5">
        <f>'Economic Variables'!M121</f>
        <v>38.299999999999997</v>
      </c>
      <c r="BH11" s="5">
        <f>'Economic Variables'!N121</f>
        <v>1677.5</v>
      </c>
      <c r="BI11" s="5">
        <f t="shared" si="2"/>
        <v>13931.1</v>
      </c>
      <c r="BJ11" s="5">
        <f>'Economic Variables'!P121</f>
        <v>635104</v>
      </c>
      <c r="BK11" s="5">
        <f>'Economic Variables'!Q121</f>
        <v>6507</v>
      </c>
      <c r="BL11" s="5">
        <f>'Economic Variables'!R121</f>
        <v>7390</v>
      </c>
      <c r="BM11" s="5">
        <f>'Economic Variables'!S121</f>
        <v>3274</v>
      </c>
      <c r="BN11" s="5">
        <f t="shared" si="15"/>
        <v>10</v>
      </c>
      <c r="BO11" s="80">
        <f t="shared" si="3"/>
        <v>1</v>
      </c>
      <c r="BP11" s="5">
        <f t="shared" si="4"/>
        <v>100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1</v>
      </c>
      <c r="CA11">
        <v>0</v>
      </c>
      <c r="CB11">
        <v>0</v>
      </c>
      <c r="CC11">
        <v>0</v>
      </c>
      <c r="CD11">
        <v>1</v>
      </c>
      <c r="CE11">
        <f t="shared" si="5"/>
        <v>1</v>
      </c>
      <c r="CF11">
        <v>31</v>
      </c>
      <c r="CG11">
        <v>22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 s="80">
        <f t="shared" si="17"/>
        <v>18.332200994935338</v>
      </c>
      <c r="CZ11" s="78">
        <f t="shared" si="18"/>
        <v>72.249238451513122</v>
      </c>
      <c r="DA11" s="5">
        <f t="shared" si="19"/>
        <v>1971.5732069800281</v>
      </c>
      <c r="DB11" s="5">
        <f t="shared" si="20"/>
        <v>62803.539319318181</v>
      </c>
      <c r="DC11" s="5">
        <f t="shared" si="21"/>
        <v>246991.62886031251</v>
      </c>
      <c r="DD11">
        <f t="shared" si="11"/>
        <v>1399.1809855987294</v>
      </c>
      <c r="DE11">
        <f t="shared" si="22"/>
        <v>44570.25371048387</v>
      </c>
      <c r="DF11">
        <f t="shared" si="23"/>
        <v>175284.38177183468</v>
      </c>
      <c r="DG11" s="19">
        <v>31939</v>
      </c>
      <c r="DH11" s="19">
        <v>3475</v>
      </c>
      <c r="DI11" s="19">
        <v>427</v>
      </c>
      <c r="DJ11" s="19">
        <v>13</v>
      </c>
      <c r="DK11" s="19">
        <v>3</v>
      </c>
    </row>
    <row r="12" spans="1:115" s="2" customFormat="1">
      <c r="A12" s="3">
        <v>41214</v>
      </c>
      <c r="B12">
        <f t="shared" si="0"/>
        <v>2012</v>
      </c>
      <c r="C12" s="2">
        <v>83336115.010250002</v>
      </c>
      <c r="D12" s="2">
        <v>19510740.022081397</v>
      </c>
      <c r="E12" s="2">
        <v>137392.11493033657</v>
      </c>
      <c r="F12" s="2">
        <v>19648132.137011733</v>
      </c>
      <c r="G12" s="2">
        <v>31945</v>
      </c>
      <c r="H12" s="2">
        <v>8117367.8777641999</v>
      </c>
      <c r="I12" s="2">
        <v>72034.962064851003</v>
      </c>
      <c r="J12" s="2">
        <v>8189402.8398290509</v>
      </c>
      <c r="K12" s="2">
        <v>3470</v>
      </c>
      <c r="L12" s="2">
        <v>18173966.315549001</v>
      </c>
      <c r="M12" s="2">
        <f>VLOOKUP('Monthly Data'!B12,'Historic CDM'!$B$111:$J$122,4,FALSE)/12+VLOOKUP('Monthly Data'!B12,'Historic CDM'!$N$111:$V$122,4,FALSE)/12</f>
        <v>408282.75017556688</v>
      </c>
      <c r="N12" s="2">
        <f t="shared" si="14"/>
        <v>18582249.065724567</v>
      </c>
      <c r="O12" s="2">
        <v>56137.339897302067</v>
      </c>
      <c r="P12" s="2">
        <v>430</v>
      </c>
      <c r="Q12" s="2">
        <v>11096602.746599998</v>
      </c>
      <c r="R12" s="2">
        <f>VLOOKUP('Monthly Data'!B12,'Historic CDM'!$B$111:$J$122,5,FALSE)/12+VLOOKUP('Monthly Data'!B12,'Historic CDM'!$N$111:$V$122,5,FALSE)/12</f>
        <v>345</v>
      </c>
      <c r="S12" s="2">
        <f t="shared" si="16"/>
        <v>11096947.746599998</v>
      </c>
      <c r="T12" s="2">
        <v>20846.587880910345</v>
      </c>
      <c r="U12" s="2">
        <v>8</v>
      </c>
      <c r="V12" s="2">
        <v>21728354.336369999</v>
      </c>
      <c r="W12" s="2">
        <f>VLOOKUP('Monthly Data'!B12,'Historic CDM'!$B$111:$J$122,9,FALSE)/12+VLOOKUP('Monthly Data'!B12,'Historic CDM'!$N$111:$V$122,9,FALSE)/12</f>
        <v>0</v>
      </c>
      <c r="X12" s="2">
        <f t="shared" si="1"/>
        <v>21728354.336369999</v>
      </c>
      <c r="Y12" s="2">
        <v>37336.593021787587</v>
      </c>
      <c r="Z12" s="2">
        <v>4</v>
      </c>
      <c r="AA12" s="2">
        <v>892347.05189929996</v>
      </c>
      <c r="AB12" s="2">
        <v>2092.9699999999998</v>
      </c>
      <c r="AC12" s="2">
        <v>10031</v>
      </c>
      <c r="AD12" s="2">
        <v>47103.24</v>
      </c>
      <c r="AE12" s="2">
        <v>114.41200000000001</v>
      </c>
      <c r="AF12" s="2">
        <v>434</v>
      </c>
      <c r="AG12" s="2">
        <v>182081.47782930001</v>
      </c>
      <c r="AH12" s="2">
        <v>263</v>
      </c>
      <c r="AI12">
        <f>Weather!C168</f>
        <v>490.4</v>
      </c>
      <c r="AJ12">
        <f>Weather!D168</f>
        <v>0</v>
      </c>
      <c r="AK12">
        <f>Weather!E168</f>
        <v>430.39999999999992</v>
      </c>
      <c r="AL12">
        <f>Weather!F168</f>
        <v>0</v>
      </c>
      <c r="AM12">
        <f>Weather!G168</f>
        <v>370.4</v>
      </c>
      <c r="AN12">
        <f>Weather!H168</f>
        <v>0</v>
      </c>
      <c r="AO12">
        <f>Weather!I168</f>
        <v>310.49999999999994</v>
      </c>
      <c r="AP12">
        <f>Weather!J168</f>
        <v>9.9999999999999645E-2</v>
      </c>
      <c r="AQ12">
        <f>Weather!K168</f>
        <v>252.50000000000003</v>
      </c>
      <c r="AR12">
        <f>Weather!L168</f>
        <v>2.0999999999999996</v>
      </c>
      <c r="AS12">
        <f>Weather!M168</f>
        <v>194.60000000000002</v>
      </c>
      <c r="AT12">
        <f>Weather!N168</f>
        <v>4.1999999999999993</v>
      </c>
      <c r="AU12">
        <f>Weather!O168</f>
        <v>139.90000000000003</v>
      </c>
      <c r="AV12">
        <f>Weather!P168</f>
        <v>9.5</v>
      </c>
      <c r="AW12" s="7">
        <f>Weather!Q168</f>
        <v>3.6533333333333333</v>
      </c>
      <c r="AX12" s="5">
        <f>'Economic Variables'!D122</f>
        <v>6733</v>
      </c>
      <c r="AY12" s="5">
        <f>'Economic Variables'!E122</f>
        <v>6736.2</v>
      </c>
      <c r="AZ12" s="5">
        <f>'Economic Variables'!F122</f>
        <v>242.2</v>
      </c>
      <c r="BA12" s="5">
        <f>'Economic Variables'!G122</f>
        <v>241.1</v>
      </c>
      <c r="BB12" s="5">
        <f>'Economic Variables'!H122</f>
        <v>634944.30000000005</v>
      </c>
      <c r="BC12" s="5">
        <f>'Economic Variables'!I122</f>
        <v>6527</v>
      </c>
      <c r="BD12" s="5">
        <f>'Economic Variables'!J122</f>
        <v>5663.5</v>
      </c>
      <c r="BE12" s="5">
        <f>'Economic Variables'!K122</f>
        <v>468.8</v>
      </c>
      <c r="BF12" s="5">
        <f>'Economic Variables'!L122</f>
        <v>7404.1</v>
      </c>
      <c r="BG12" s="5">
        <f>'Economic Variables'!M122</f>
        <v>38.299999999999997</v>
      </c>
      <c r="BH12" s="5">
        <f>'Economic Variables'!N122</f>
        <v>1677.5</v>
      </c>
      <c r="BI12" s="5">
        <f t="shared" si="2"/>
        <v>13931.1</v>
      </c>
      <c r="BJ12" s="5">
        <f>'Economic Variables'!P122</f>
        <v>635104</v>
      </c>
      <c r="BK12" s="5">
        <f>'Economic Variables'!Q122</f>
        <v>6507</v>
      </c>
      <c r="BL12" s="5">
        <f>'Economic Variables'!R122</f>
        <v>7390</v>
      </c>
      <c r="BM12" s="5">
        <f>'Economic Variables'!S122</f>
        <v>3274</v>
      </c>
      <c r="BN12" s="5">
        <f t="shared" si="15"/>
        <v>11</v>
      </c>
      <c r="BO12" s="80">
        <f t="shared" si="3"/>
        <v>1.0413926851582251</v>
      </c>
      <c r="BP12" s="5">
        <f t="shared" si="4"/>
        <v>121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1</v>
      </c>
      <c r="CB12">
        <v>0</v>
      </c>
      <c r="CC12">
        <v>0</v>
      </c>
      <c r="CD12">
        <v>0</v>
      </c>
      <c r="CE12">
        <f t="shared" si="5"/>
        <v>0</v>
      </c>
      <c r="CF12">
        <v>30</v>
      </c>
      <c r="CG12">
        <v>22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 s="80">
        <f t="shared" si="17"/>
        <v>20.502042194408862</v>
      </c>
      <c r="CZ12" s="78">
        <f t="shared" si="18"/>
        <v>78.668615176071569</v>
      </c>
      <c r="DA12" s="5">
        <f t="shared" si="19"/>
        <v>1964.2969414085167</v>
      </c>
      <c r="DB12" s="5">
        <f t="shared" si="20"/>
        <v>63050.839469318169</v>
      </c>
      <c r="DC12" s="5">
        <f t="shared" si="21"/>
        <v>246913.11745875</v>
      </c>
      <c r="DD12">
        <f t="shared" si="11"/>
        <v>1440.4844236995789</v>
      </c>
      <c r="DE12">
        <f t="shared" si="22"/>
        <v>46237.282277499995</v>
      </c>
      <c r="DF12">
        <f t="shared" si="23"/>
        <v>181069.61946975</v>
      </c>
      <c r="DG12" s="19">
        <v>31945</v>
      </c>
      <c r="DH12" s="19">
        <v>3470</v>
      </c>
      <c r="DI12" s="19">
        <v>427</v>
      </c>
      <c r="DJ12" s="19">
        <v>13</v>
      </c>
      <c r="DK12" s="19">
        <v>3</v>
      </c>
    </row>
    <row r="13" spans="1:115" s="2" customFormat="1">
      <c r="A13" s="3">
        <v>41244</v>
      </c>
      <c r="B13">
        <f t="shared" si="0"/>
        <v>2012</v>
      </c>
      <c r="C13" s="2">
        <v>88790745.432750002</v>
      </c>
      <c r="D13" s="2">
        <v>22162119.974047799</v>
      </c>
      <c r="E13" s="2">
        <v>137392.11493033657</v>
      </c>
      <c r="F13" s="2">
        <v>22299512.088978134</v>
      </c>
      <c r="G13" s="2">
        <v>31948</v>
      </c>
      <c r="H13" s="2">
        <v>8948687.3302158006</v>
      </c>
      <c r="I13" s="2">
        <v>72034.962064851003</v>
      </c>
      <c r="J13" s="2">
        <v>9020722.2922806516</v>
      </c>
      <c r="K13" s="2">
        <v>3430</v>
      </c>
      <c r="L13" s="2">
        <v>20099646.499569401</v>
      </c>
      <c r="M13" s="2">
        <f>VLOOKUP('Monthly Data'!B13,'Historic CDM'!$B$111:$J$122,4,FALSE)/12+VLOOKUP('Monthly Data'!B13,'Historic CDM'!$N$111:$V$122,4,FALSE)/12</f>
        <v>408282.75017556688</v>
      </c>
      <c r="N13" s="2">
        <f t="shared" si="14"/>
        <v>20507929.249744967</v>
      </c>
      <c r="O13" s="2">
        <v>44906.972999632089</v>
      </c>
      <c r="P13" s="2">
        <v>429</v>
      </c>
      <c r="Q13" s="2">
        <v>9973505.2603999972</v>
      </c>
      <c r="R13" s="2">
        <f>VLOOKUP('Monthly Data'!B13,'Historic CDM'!$B$111:$J$122,5,FALSE)/12+VLOOKUP('Monthly Data'!B13,'Historic CDM'!$N$111:$V$122,5,FALSE)/12</f>
        <v>345</v>
      </c>
      <c r="S13" s="2">
        <f t="shared" si="16"/>
        <v>9973850.2603999972</v>
      </c>
      <c r="T13" s="2">
        <v>21003.553413380065</v>
      </c>
      <c r="U13" s="2">
        <v>8</v>
      </c>
      <c r="V13" s="2">
        <v>22981434.2358975</v>
      </c>
      <c r="W13" s="2">
        <f>VLOOKUP('Monthly Data'!B13,'Historic CDM'!$B$111:$J$122,9,FALSE)/12+VLOOKUP('Monthly Data'!B13,'Historic CDM'!$N$111:$V$122,9,FALSE)/12</f>
        <v>0</v>
      </c>
      <c r="X13" s="2">
        <f t="shared" si="1"/>
        <v>22981434.2358975</v>
      </c>
      <c r="Y13" s="2">
        <v>37785.797286987843</v>
      </c>
      <c r="Z13" s="2">
        <v>4</v>
      </c>
      <c r="AA13" s="2">
        <v>966024.6191899</v>
      </c>
      <c r="AB13" s="2">
        <v>2012.7809999999999</v>
      </c>
      <c r="AC13" s="2">
        <v>10021</v>
      </c>
      <c r="AD13" s="2">
        <v>47146.44</v>
      </c>
      <c r="AE13" s="2">
        <v>59.215000000000003</v>
      </c>
      <c r="AF13" s="2">
        <v>432</v>
      </c>
      <c r="AG13" s="2">
        <v>186722.51455970001</v>
      </c>
      <c r="AH13" s="2">
        <v>263</v>
      </c>
      <c r="AI13">
        <f>Weather!C169</f>
        <v>578.70000000000005</v>
      </c>
      <c r="AJ13">
        <f>Weather!D169</f>
        <v>0</v>
      </c>
      <c r="AK13">
        <f>Weather!E169</f>
        <v>516.70000000000005</v>
      </c>
      <c r="AL13">
        <f>Weather!F169</f>
        <v>0</v>
      </c>
      <c r="AM13">
        <f>Weather!G169</f>
        <v>454.70000000000005</v>
      </c>
      <c r="AN13">
        <f>Weather!H169</f>
        <v>0</v>
      </c>
      <c r="AO13">
        <f>Weather!I169</f>
        <v>392.7</v>
      </c>
      <c r="AP13">
        <f>Weather!J169</f>
        <v>0</v>
      </c>
      <c r="AQ13">
        <f>Weather!K169</f>
        <v>330.7</v>
      </c>
      <c r="AR13">
        <f>Weather!L169</f>
        <v>0</v>
      </c>
      <c r="AS13">
        <f>Weather!M169</f>
        <v>268.79999999999995</v>
      </c>
      <c r="AT13">
        <f>Weather!N169</f>
        <v>9.9999999999999645E-2</v>
      </c>
      <c r="AU13">
        <f>Weather!O169</f>
        <v>210.49999999999997</v>
      </c>
      <c r="AV13">
        <f>Weather!P169</f>
        <v>3.8000000000000007</v>
      </c>
      <c r="AW13" s="7">
        <f>Weather!Q169</f>
        <v>1.3322580645161293</v>
      </c>
      <c r="AX13" s="5">
        <f>'Economic Variables'!D123</f>
        <v>6750</v>
      </c>
      <c r="AY13" s="5">
        <f>'Economic Variables'!E123</f>
        <v>6755.9</v>
      </c>
      <c r="AZ13" s="5">
        <f>'Economic Variables'!F123</f>
        <v>240.3</v>
      </c>
      <c r="BA13" s="5">
        <f>'Economic Variables'!G123</f>
        <v>239.7</v>
      </c>
      <c r="BB13" s="5">
        <f>'Economic Variables'!H123</f>
        <v>634944.30000000005</v>
      </c>
      <c r="BC13" s="5">
        <f>'Economic Variables'!I123</f>
        <v>6527</v>
      </c>
      <c r="BD13" s="5">
        <f>'Economic Variables'!J123</f>
        <v>5663.5</v>
      </c>
      <c r="BE13" s="5">
        <f>'Economic Variables'!K123</f>
        <v>468.8</v>
      </c>
      <c r="BF13" s="5">
        <f>'Economic Variables'!L123</f>
        <v>7404.1</v>
      </c>
      <c r="BG13" s="5">
        <f>'Economic Variables'!M123</f>
        <v>38.299999999999997</v>
      </c>
      <c r="BH13" s="5">
        <f>'Economic Variables'!N123</f>
        <v>1677.5</v>
      </c>
      <c r="BI13" s="5">
        <f t="shared" si="2"/>
        <v>13931.1</v>
      </c>
      <c r="BJ13" s="5">
        <f>'Economic Variables'!P123</f>
        <v>635104</v>
      </c>
      <c r="BK13" s="5">
        <f>'Economic Variables'!Q123</f>
        <v>6507</v>
      </c>
      <c r="BL13" s="5">
        <f>'Economic Variables'!R123</f>
        <v>7390</v>
      </c>
      <c r="BM13" s="5">
        <f>'Economic Variables'!S123</f>
        <v>3274</v>
      </c>
      <c r="BN13" s="5">
        <f t="shared" si="15"/>
        <v>12</v>
      </c>
      <c r="BO13" s="80">
        <f t="shared" si="3"/>
        <v>1.0791812460476249</v>
      </c>
      <c r="BP13" s="5">
        <f t="shared" si="4"/>
        <v>144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1</v>
      </c>
      <c r="CC13">
        <v>0</v>
      </c>
      <c r="CD13">
        <v>0</v>
      </c>
      <c r="CE13">
        <f t="shared" si="5"/>
        <v>0</v>
      </c>
      <c r="CF13">
        <v>31</v>
      </c>
      <c r="CG13">
        <v>19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 s="80">
        <f t="shared" si="17"/>
        <v>22.51593525868461</v>
      </c>
      <c r="CZ13" s="78">
        <f t="shared" si="18"/>
        <v>84.837038392557631</v>
      </c>
      <c r="DA13" s="5">
        <f t="shared" si="19"/>
        <v>2516.0016255361265</v>
      </c>
      <c r="DB13" s="5">
        <f t="shared" si="20"/>
        <v>65617.435923684199</v>
      </c>
      <c r="DC13" s="5">
        <f t="shared" si="21"/>
        <v>302387.29257759871</v>
      </c>
      <c r="DD13">
        <f t="shared" si="11"/>
        <v>1542.0655124253676</v>
      </c>
      <c r="DE13">
        <f t="shared" si="22"/>
        <v>40217.138146774181</v>
      </c>
      <c r="DF13">
        <f t="shared" si="23"/>
        <v>185334.14706368951</v>
      </c>
      <c r="DG13" s="19">
        <v>31948</v>
      </c>
      <c r="DH13" s="19">
        <v>3430</v>
      </c>
      <c r="DI13" s="19">
        <v>426</v>
      </c>
      <c r="DJ13" s="19">
        <v>13</v>
      </c>
      <c r="DK13" s="19">
        <v>3</v>
      </c>
    </row>
    <row r="14" spans="1:115" s="2" customFormat="1">
      <c r="A14" s="3">
        <v>41275</v>
      </c>
      <c r="B14">
        <f t="shared" si="0"/>
        <v>2013</v>
      </c>
      <c r="C14" s="2">
        <v>91007256.010250002</v>
      </c>
      <c r="D14" s="2">
        <v>23015853.866306201</v>
      </c>
      <c r="E14" s="2">
        <v>204789.98155829497</v>
      </c>
      <c r="F14" s="2">
        <v>23220643.847864494</v>
      </c>
      <c r="G14" s="2">
        <v>31947</v>
      </c>
      <c r="H14" s="2">
        <v>9393354.1939039994</v>
      </c>
      <c r="I14" s="2">
        <v>140686.21440828397</v>
      </c>
      <c r="J14" s="2">
        <v>9534040.4083122835</v>
      </c>
      <c r="K14" s="2">
        <v>3463</v>
      </c>
      <c r="L14" s="2">
        <v>22012625.4850161</v>
      </c>
      <c r="M14" s="2">
        <f>VLOOKUP('Monthly Data'!B14,'Historic CDM'!$B$111:$J$122,4,FALSE)/12+VLOOKUP('Monthly Data'!B14,'Historic CDM'!$N$111:$V$122,4,FALSE)/12</f>
        <v>562252.85333471454</v>
      </c>
      <c r="N14" s="2">
        <f t="shared" si="14"/>
        <v>22574878.338350814</v>
      </c>
      <c r="O14" s="2">
        <v>45084.870495380899</v>
      </c>
      <c r="P14" s="2">
        <v>432</v>
      </c>
      <c r="Q14" s="2">
        <v>11024514.726999996</v>
      </c>
      <c r="R14" s="2">
        <f>VLOOKUP('Monthly Data'!B14,'Historic CDM'!$B$111:$J$122,5,FALSE)/12+VLOOKUP('Monthly Data'!B14,'Historic CDM'!$N$111:$V$122,5,FALSE)/12</f>
        <v>12609.780985256701</v>
      </c>
      <c r="S14" s="2">
        <f t="shared" si="16"/>
        <v>11037124.507985253</v>
      </c>
      <c r="T14" s="2">
        <v>19991.068684964303</v>
      </c>
      <c r="U14" s="2">
        <v>8</v>
      </c>
      <c r="V14" s="2">
        <v>22069487.790405001</v>
      </c>
      <c r="W14" s="2">
        <f>VLOOKUP('Monthly Data'!B14,'Historic CDM'!$B$111:$J$122,9,FALSE)/12+VLOOKUP('Monthly Data'!B14,'Historic CDM'!$N$111:$V$122,9,FALSE)/12</f>
        <v>45.056430183410413</v>
      </c>
      <c r="X14" s="2">
        <f t="shared" si="1"/>
        <v>22069532.846835185</v>
      </c>
      <c r="Y14" s="2">
        <v>37996.370622306415</v>
      </c>
      <c r="Z14" s="2">
        <v>4</v>
      </c>
      <c r="AA14" s="2">
        <v>957466.40073387406</v>
      </c>
      <c r="AB14" s="2">
        <v>2041.3489999999999</v>
      </c>
      <c r="AC14" s="2">
        <v>10022</v>
      </c>
      <c r="AD14" s="2">
        <v>46656.24</v>
      </c>
      <c r="AE14" s="2">
        <v>55.12</v>
      </c>
      <c r="AF14" s="2">
        <v>432</v>
      </c>
      <c r="AG14" s="2">
        <v>184315.54469480002</v>
      </c>
      <c r="AH14" s="2">
        <v>263</v>
      </c>
      <c r="AI14">
        <f>Weather!C170</f>
        <v>706.10000000000014</v>
      </c>
      <c r="AJ14">
        <f>Weather!D170</f>
        <v>0</v>
      </c>
      <c r="AK14">
        <f>Weather!E170</f>
        <v>644.1</v>
      </c>
      <c r="AL14">
        <f>Weather!F170</f>
        <v>0</v>
      </c>
      <c r="AM14">
        <f>Weather!G170</f>
        <v>582.10000000000014</v>
      </c>
      <c r="AN14">
        <f>Weather!H170</f>
        <v>0</v>
      </c>
      <c r="AO14">
        <f>Weather!I170</f>
        <v>520.09999999999991</v>
      </c>
      <c r="AP14">
        <f>Weather!J170</f>
        <v>0</v>
      </c>
      <c r="AQ14">
        <f>Weather!K170</f>
        <v>458.09999999999997</v>
      </c>
      <c r="AR14">
        <f>Weather!L170</f>
        <v>0</v>
      </c>
      <c r="AS14">
        <f>Weather!M170</f>
        <v>396.09999999999997</v>
      </c>
      <c r="AT14">
        <f>Weather!N170</f>
        <v>0</v>
      </c>
      <c r="AU14">
        <f>Weather!O170</f>
        <v>335.8</v>
      </c>
      <c r="AV14">
        <f>Weather!P170</f>
        <v>1.6999999999999993</v>
      </c>
      <c r="AW14" s="7">
        <f>Weather!Q170</f>
        <v>-2.7774193548387101</v>
      </c>
      <c r="AX14" s="5">
        <f>'Economic Variables'!D124</f>
        <v>6764.2</v>
      </c>
      <c r="AY14" s="5">
        <f>'Economic Variables'!E124</f>
        <v>6730.2</v>
      </c>
      <c r="AZ14" s="5">
        <f>'Economic Variables'!F124</f>
        <v>242.2</v>
      </c>
      <c r="BA14" s="5">
        <f>'Economic Variables'!G124</f>
        <v>240.7</v>
      </c>
      <c r="BB14" s="5">
        <f>'Economic Variables'!H124</f>
        <v>643937</v>
      </c>
      <c r="BC14" s="5">
        <f>'Economic Variables'!I124</f>
        <v>7062</v>
      </c>
      <c r="BD14" s="5">
        <f>'Economic Variables'!J124</f>
        <v>6218.8</v>
      </c>
      <c r="BE14" s="5">
        <f>'Economic Variables'!K124</f>
        <v>480.3</v>
      </c>
      <c r="BF14" s="5">
        <f>'Economic Variables'!L124</f>
        <v>8057.8</v>
      </c>
      <c r="BG14" s="5">
        <f>'Economic Variables'!M124</f>
        <v>27.7</v>
      </c>
      <c r="BH14" s="5">
        <f>'Economic Variables'!N124</f>
        <v>1420.3</v>
      </c>
      <c r="BI14" s="5">
        <f t="shared" si="2"/>
        <v>15119.8</v>
      </c>
      <c r="BJ14" s="5">
        <f>'Economic Variables'!P124</f>
        <v>636934</v>
      </c>
      <c r="BK14" s="5">
        <f>'Economic Variables'!Q124</f>
        <v>6652</v>
      </c>
      <c r="BL14" s="5">
        <f>'Economic Variables'!R124</f>
        <v>8048</v>
      </c>
      <c r="BM14" s="5">
        <f>'Economic Variables'!S124</f>
        <v>3313</v>
      </c>
      <c r="BN14" s="5">
        <f t="shared" si="15"/>
        <v>13</v>
      </c>
      <c r="BO14" s="80">
        <f t="shared" si="3"/>
        <v>1.1139433523068367</v>
      </c>
      <c r="BP14" s="5">
        <f t="shared" si="4"/>
        <v>169</v>
      </c>
      <c r="BQ14">
        <v>1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f t="shared" ref="CC14:CD29" si="24">CC2</f>
        <v>0</v>
      </c>
      <c r="CD14">
        <f t="shared" si="24"/>
        <v>0</v>
      </c>
      <c r="CE14">
        <f t="shared" si="5"/>
        <v>0</v>
      </c>
      <c r="CF14">
        <v>31</v>
      </c>
      <c r="CG14">
        <v>22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 s="80">
        <f t="shared" si="17"/>
        <v>23.446740769100934</v>
      </c>
      <c r="CZ14" s="78">
        <f t="shared" si="18"/>
        <v>88.810190756777018</v>
      </c>
      <c r="DA14" s="5">
        <f t="shared" si="19"/>
        <v>2375.3028554662051</v>
      </c>
      <c r="DB14" s="5">
        <f t="shared" si="20"/>
        <v>62710.934704461666</v>
      </c>
      <c r="DC14" s="5">
        <f t="shared" si="21"/>
        <v>250790.14598676347</v>
      </c>
      <c r="DD14">
        <f t="shared" si="11"/>
        <v>1685.6988006534359</v>
      </c>
      <c r="DE14">
        <f t="shared" si="22"/>
        <v>44504.534306392146</v>
      </c>
      <c r="DF14">
        <f t="shared" si="23"/>
        <v>177980.10360350955</v>
      </c>
      <c r="DG14" s="19">
        <v>31947</v>
      </c>
      <c r="DH14" s="19">
        <v>3463</v>
      </c>
      <c r="DI14" s="19">
        <v>429</v>
      </c>
      <c r="DJ14" s="19">
        <v>13</v>
      </c>
      <c r="DK14" s="19">
        <v>3</v>
      </c>
    </row>
    <row r="15" spans="1:115" s="2" customFormat="1">
      <c r="A15" s="3">
        <v>41306</v>
      </c>
      <c r="B15">
        <f t="shared" si="0"/>
        <v>2013</v>
      </c>
      <c r="C15" s="2">
        <v>84417674.796250001</v>
      </c>
      <c r="D15" s="2">
        <v>20865950.133584201</v>
      </c>
      <c r="E15" s="2">
        <v>204789.98155829497</v>
      </c>
      <c r="F15" s="2">
        <v>21070740.115142494</v>
      </c>
      <c r="G15" s="2">
        <v>31950</v>
      </c>
      <c r="H15" s="2">
        <v>8865957.7282235008</v>
      </c>
      <c r="I15" s="2">
        <v>140686.21440828397</v>
      </c>
      <c r="J15" s="2">
        <v>9006643.9426317848</v>
      </c>
      <c r="K15" s="2">
        <v>3459</v>
      </c>
      <c r="L15" s="2">
        <v>17869529.387555297</v>
      </c>
      <c r="M15" s="2">
        <f>VLOOKUP('Monthly Data'!B15,'Historic CDM'!$B$111:$J$122,4,FALSE)/12+VLOOKUP('Monthly Data'!B15,'Historic CDM'!$N$111:$V$122,4,FALSE)/12</f>
        <v>562252.85333471454</v>
      </c>
      <c r="N15" s="2">
        <f t="shared" si="14"/>
        <v>18431782.240890011</v>
      </c>
      <c r="O15" s="2">
        <v>52051.459704483008</v>
      </c>
      <c r="P15" s="2">
        <v>441</v>
      </c>
      <c r="Q15" s="2">
        <v>9755910.9847999997</v>
      </c>
      <c r="R15" s="2">
        <f>VLOOKUP('Monthly Data'!B15,'Historic CDM'!$B$111:$J$122,5,FALSE)/12+VLOOKUP('Monthly Data'!B15,'Historic CDM'!$N$111:$V$122,5,FALSE)/12</f>
        <v>12609.780985256701</v>
      </c>
      <c r="S15" s="2">
        <f t="shared" si="16"/>
        <v>9768520.7657852564</v>
      </c>
      <c r="T15" s="2">
        <v>19452.99259322149</v>
      </c>
      <c r="U15" s="2">
        <v>8</v>
      </c>
      <c r="V15" s="2">
        <v>21742465.027882501</v>
      </c>
      <c r="W15" s="2">
        <f>VLOOKUP('Monthly Data'!B15,'Historic CDM'!$B$111:$J$122,9,FALSE)/12+VLOOKUP('Monthly Data'!B15,'Historic CDM'!$N$111:$V$122,9,FALSE)/12</f>
        <v>45.056430183410413</v>
      </c>
      <c r="X15" s="2">
        <f t="shared" si="1"/>
        <v>21742510.084312685</v>
      </c>
      <c r="Y15" s="2">
        <v>37796.477603552063</v>
      </c>
      <c r="Z15" s="2">
        <v>4</v>
      </c>
      <c r="AA15" s="2">
        <v>786512.33333333326</v>
      </c>
      <c r="AB15" s="2">
        <v>2008.702</v>
      </c>
      <c r="AC15" s="2">
        <v>10020</v>
      </c>
      <c r="AD15" s="2">
        <v>42141.120000000003</v>
      </c>
      <c r="AE15" s="2">
        <v>114.002</v>
      </c>
      <c r="AF15" s="2">
        <v>432</v>
      </c>
      <c r="AG15" s="2">
        <v>167402.07395240001</v>
      </c>
      <c r="AH15" s="2">
        <v>263</v>
      </c>
      <c r="AI15">
        <f>Weather!C171</f>
        <v>675.20000000000016</v>
      </c>
      <c r="AJ15">
        <f>Weather!D171</f>
        <v>0</v>
      </c>
      <c r="AK15">
        <f>Weather!E171</f>
        <v>619.20000000000016</v>
      </c>
      <c r="AL15">
        <f>Weather!F171</f>
        <v>0</v>
      </c>
      <c r="AM15">
        <f>Weather!G171</f>
        <v>563.20000000000016</v>
      </c>
      <c r="AN15">
        <f>Weather!H171</f>
        <v>0</v>
      </c>
      <c r="AO15">
        <f>Weather!I171</f>
        <v>507.19999999999993</v>
      </c>
      <c r="AP15">
        <f>Weather!J171</f>
        <v>0</v>
      </c>
      <c r="AQ15">
        <f>Weather!K171</f>
        <v>451.19999999999993</v>
      </c>
      <c r="AR15">
        <f>Weather!L171</f>
        <v>0</v>
      </c>
      <c r="AS15">
        <f>Weather!M171</f>
        <v>395.19999999999993</v>
      </c>
      <c r="AT15">
        <f>Weather!N171</f>
        <v>0</v>
      </c>
      <c r="AU15">
        <f>Weather!O171</f>
        <v>339.19999999999993</v>
      </c>
      <c r="AV15">
        <f>Weather!P171</f>
        <v>0</v>
      </c>
      <c r="AW15" s="7">
        <f>Weather!Q171</f>
        <v>-4.1142857142857148</v>
      </c>
      <c r="AX15" s="5">
        <f>'Economic Variables'!D125</f>
        <v>6786.9</v>
      </c>
      <c r="AY15" s="5">
        <f>'Economic Variables'!E125</f>
        <v>6713.2</v>
      </c>
      <c r="AZ15" s="5">
        <f>'Economic Variables'!F125</f>
        <v>241.2</v>
      </c>
      <c r="BA15" s="5">
        <f>'Economic Variables'!G125</f>
        <v>237.8</v>
      </c>
      <c r="BB15" s="5">
        <f>'Economic Variables'!H125</f>
        <v>643937</v>
      </c>
      <c r="BC15" s="5">
        <f>'Economic Variables'!I125</f>
        <v>7062</v>
      </c>
      <c r="BD15" s="5">
        <f>'Economic Variables'!J125</f>
        <v>6218.8</v>
      </c>
      <c r="BE15" s="5">
        <f>'Economic Variables'!K125</f>
        <v>480.3</v>
      </c>
      <c r="BF15" s="5">
        <f>'Economic Variables'!L125</f>
        <v>8057.8</v>
      </c>
      <c r="BG15" s="5">
        <f>'Economic Variables'!M125</f>
        <v>27.7</v>
      </c>
      <c r="BH15" s="5">
        <f>'Economic Variables'!N125</f>
        <v>1420.3</v>
      </c>
      <c r="BI15" s="5">
        <f t="shared" si="2"/>
        <v>15119.8</v>
      </c>
      <c r="BJ15" s="5">
        <f>'Economic Variables'!P125</f>
        <v>636934</v>
      </c>
      <c r="BK15" s="5">
        <f>'Economic Variables'!Q125</f>
        <v>6652</v>
      </c>
      <c r="BL15" s="5">
        <f>'Economic Variables'!R125</f>
        <v>8048</v>
      </c>
      <c r="BM15" s="5">
        <f>'Economic Variables'!S125</f>
        <v>3313</v>
      </c>
      <c r="BN15" s="5">
        <f t="shared" si="15"/>
        <v>14</v>
      </c>
      <c r="BO15" s="80">
        <f t="shared" si="3"/>
        <v>1.146128035678238</v>
      </c>
      <c r="BP15" s="5">
        <f t="shared" si="4"/>
        <v>196</v>
      </c>
      <c r="BQ15">
        <v>0</v>
      </c>
      <c r="BR15">
        <v>1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f t="shared" si="24"/>
        <v>0</v>
      </c>
      <c r="CD15">
        <f t="shared" si="24"/>
        <v>0</v>
      </c>
      <c r="CE15">
        <f t="shared" si="5"/>
        <v>0</v>
      </c>
      <c r="CF15">
        <v>28</v>
      </c>
      <c r="CG15">
        <v>19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 s="80">
        <f t="shared" si="17"/>
        <v>23.553252979144304</v>
      </c>
      <c r="CZ15" s="78">
        <f t="shared" si="18"/>
        <v>92.993886988722849</v>
      </c>
      <c r="DA15" s="5">
        <f t="shared" si="19"/>
        <v>2199.759188553528</v>
      </c>
      <c r="DB15" s="5">
        <f t="shared" si="20"/>
        <v>64266.583985429315</v>
      </c>
      <c r="DC15" s="5">
        <f t="shared" si="21"/>
        <v>286085.65900411428</v>
      </c>
      <c r="DD15">
        <f t="shared" si="11"/>
        <v>1492.6937350898941</v>
      </c>
      <c r="DE15">
        <f t="shared" si="22"/>
        <v>43609.467704398463</v>
      </c>
      <c r="DF15">
        <f t="shared" si="23"/>
        <v>194129.5543242204</v>
      </c>
      <c r="DG15" s="19">
        <v>31950</v>
      </c>
      <c r="DH15" s="19">
        <v>3459</v>
      </c>
      <c r="DI15" s="19">
        <v>438</v>
      </c>
      <c r="DJ15" s="19">
        <v>13</v>
      </c>
      <c r="DK15" s="19">
        <v>3</v>
      </c>
    </row>
    <row r="16" spans="1:115" s="2" customFormat="1">
      <c r="A16" s="3">
        <v>41334</v>
      </c>
      <c r="B16">
        <f t="shared" si="0"/>
        <v>2013</v>
      </c>
      <c r="C16" s="2">
        <v>88724271.15124999</v>
      </c>
      <c r="D16" s="2">
        <v>20885350.013723202</v>
      </c>
      <c r="E16" s="2">
        <v>204789.98155829497</v>
      </c>
      <c r="F16" s="2">
        <v>21090139.995281495</v>
      </c>
      <c r="G16" s="2">
        <v>31940</v>
      </c>
      <c r="H16" s="2">
        <v>9117118.6223109998</v>
      </c>
      <c r="I16" s="2">
        <v>140686.21440828397</v>
      </c>
      <c r="J16" s="2">
        <v>9257804.8367192838</v>
      </c>
      <c r="K16" s="2">
        <v>3469</v>
      </c>
      <c r="L16" s="2">
        <v>19751391.809704799</v>
      </c>
      <c r="M16" s="2">
        <f>VLOOKUP('Monthly Data'!B16,'Historic CDM'!$B$111:$J$122,4,FALSE)/12+VLOOKUP('Monthly Data'!B16,'Historic CDM'!$N$111:$V$122,4,FALSE)/12</f>
        <v>562252.85333471454</v>
      </c>
      <c r="N16" s="2">
        <f t="shared" si="14"/>
        <v>20313644.663039513</v>
      </c>
      <c r="O16" s="2">
        <v>55357.822003671281</v>
      </c>
      <c r="P16" s="2">
        <v>440</v>
      </c>
      <c r="Q16" s="2">
        <v>10690641.581800001</v>
      </c>
      <c r="R16" s="2">
        <f>VLOOKUP('Monthly Data'!B16,'Historic CDM'!$B$111:$J$122,5,FALSE)/12+VLOOKUP('Monthly Data'!B16,'Historic CDM'!$N$111:$V$122,5,FALSE)/12</f>
        <v>12609.780985256701</v>
      </c>
      <c r="S16" s="2">
        <f t="shared" si="16"/>
        <v>10703251.362785257</v>
      </c>
      <c r="T16" s="2">
        <v>19740.701780423842</v>
      </c>
      <c r="U16" s="2">
        <v>8</v>
      </c>
      <c r="V16" s="2">
        <v>24101507.455739997</v>
      </c>
      <c r="W16" s="2">
        <f>VLOOKUP('Monthly Data'!B16,'Historic CDM'!$B$111:$J$122,9,FALSE)/12+VLOOKUP('Monthly Data'!B16,'Historic CDM'!$N$111:$V$122,9,FALSE)/12</f>
        <v>45.056430183410413</v>
      </c>
      <c r="X16" s="2">
        <f t="shared" si="1"/>
        <v>24101552.512170181</v>
      </c>
      <c r="Y16" s="2">
        <v>37632.896342585052</v>
      </c>
      <c r="Z16" s="2">
        <v>4</v>
      </c>
      <c r="AA16" s="2">
        <v>777565.13315952104</v>
      </c>
      <c r="AB16" s="2">
        <v>2008.32</v>
      </c>
      <c r="AC16" s="2">
        <v>10022</v>
      </c>
      <c r="AD16" s="2">
        <v>46656.24</v>
      </c>
      <c r="AE16" s="2">
        <v>149.02500000000001</v>
      </c>
      <c r="AF16" s="2">
        <v>432</v>
      </c>
      <c r="AG16" s="2">
        <v>185338.01044730001</v>
      </c>
      <c r="AH16" s="2">
        <v>263</v>
      </c>
      <c r="AI16">
        <f>Weather!C172</f>
        <v>621.40000000000009</v>
      </c>
      <c r="AJ16">
        <f>Weather!D172</f>
        <v>0</v>
      </c>
      <c r="AK16">
        <f>Weather!E172</f>
        <v>559.4000000000002</v>
      </c>
      <c r="AL16">
        <f>Weather!F172</f>
        <v>0</v>
      </c>
      <c r="AM16">
        <f>Weather!G172</f>
        <v>497.40000000000015</v>
      </c>
      <c r="AN16">
        <f>Weather!H172</f>
        <v>0</v>
      </c>
      <c r="AO16">
        <f>Weather!I172</f>
        <v>435.40000000000015</v>
      </c>
      <c r="AP16">
        <f>Weather!J172</f>
        <v>0</v>
      </c>
      <c r="AQ16">
        <f>Weather!K172</f>
        <v>373.40000000000015</v>
      </c>
      <c r="AR16">
        <f>Weather!L172</f>
        <v>0</v>
      </c>
      <c r="AS16">
        <f>Weather!M172</f>
        <v>311.40000000000015</v>
      </c>
      <c r="AT16">
        <f>Weather!N172</f>
        <v>0</v>
      </c>
      <c r="AU16">
        <f>Weather!O172</f>
        <v>251.40000000000003</v>
      </c>
      <c r="AV16">
        <f>Weather!P172</f>
        <v>2</v>
      </c>
      <c r="AW16" s="7">
        <f>Weather!Q172</f>
        <v>-4.5161290322580656E-2</v>
      </c>
      <c r="AX16" s="5">
        <f>'Economic Variables'!D126</f>
        <v>6786.1</v>
      </c>
      <c r="AY16" s="5">
        <f>'Economic Variables'!E126</f>
        <v>6677.7</v>
      </c>
      <c r="AZ16" s="5">
        <f>'Economic Variables'!F126</f>
        <v>242.1</v>
      </c>
      <c r="BA16" s="5">
        <f>'Economic Variables'!G126</f>
        <v>236.6</v>
      </c>
      <c r="BB16" s="5">
        <f>'Economic Variables'!H126</f>
        <v>643937</v>
      </c>
      <c r="BC16" s="5">
        <f>'Economic Variables'!I126</f>
        <v>7062</v>
      </c>
      <c r="BD16" s="5">
        <f>'Economic Variables'!J126</f>
        <v>6218.8</v>
      </c>
      <c r="BE16" s="5">
        <f>'Economic Variables'!K126</f>
        <v>480.3</v>
      </c>
      <c r="BF16" s="5">
        <f>'Economic Variables'!L126</f>
        <v>8057.8</v>
      </c>
      <c r="BG16" s="5">
        <f>'Economic Variables'!M126</f>
        <v>27.7</v>
      </c>
      <c r="BH16" s="5">
        <f>'Economic Variables'!N126</f>
        <v>1420.3</v>
      </c>
      <c r="BI16" s="5">
        <f t="shared" si="2"/>
        <v>15119.8</v>
      </c>
      <c r="BJ16" s="5">
        <f>'Economic Variables'!P126</f>
        <v>636934</v>
      </c>
      <c r="BK16" s="5">
        <f>'Economic Variables'!Q126</f>
        <v>6652</v>
      </c>
      <c r="BL16" s="5">
        <f>'Economic Variables'!R126</f>
        <v>8048</v>
      </c>
      <c r="BM16" s="5">
        <f>'Economic Variables'!S126</f>
        <v>3313</v>
      </c>
      <c r="BN16" s="5">
        <f t="shared" si="15"/>
        <v>15</v>
      </c>
      <c r="BO16" s="80">
        <f t="shared" si="3"/>
        <v>1.1760912590556813</v>
      </c>
      <c r="BP16" s="5">
        <f t="shared" si="4"/>
        <v>225</v>
      </c>
      <c r="BQ16">
        <v>0</v>
      </c>
      <c r="BR16">
        <v>0</v>
      </c>
      <c r="BS16">
        <v>1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f t="shared" si="24"/>
        <v>1</v>
      </c>
      <c r="CD16">
        <f t="shared" si="24"/>
        <v>0</v>
      </c>
      <c r="CE16">
        <f t="shared" si="5"/>
        <v>1</v>
      </c>
      <c r="CF16">
        <v>31</v>
      </c>
      <c r="CG16">
        <v>19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 s="80">
        <f t="shared" si="17"/>
        <v>21.300159568628168</v>
      </c>
      <c r="CZ16" s="78">
        <f t="shared" si="18"/>
        <v>86.087882877089086</v>
      </c>
      <c r="DA16" s="5">
        <f t="shared" si="19"/>
        <v>2429.8618017989847</v>
      </c>
      <c r="DB16" s="5">
        <f t="shared" si="20"/>
        <v>70416.127386745109</v>
      </c>
      <c r="DC16" s="5">
        <f t="shared" si="21"/>
        <v>317125.69094960764</v>
      </c>
      <c r="DD16">
        <f t="shared" si="11"/>
        <v>1489.2701365864746</v>
      </c>
      <c r="DE16">
        <f t="shared" si="22"/>
        <v>43158.271624134104</v>
      </c>
      <c r="DF16">
        <f t="shared" si="23"/>
        <v>194367.35896911437</v>
      </c>
      <c r="DG16" s="19">
        <v>31940</v>
      </c>
      <c r="DH16" s="19">
        <v>3469</v>
      </c>
      <c r="DI16" s="19">
        <v>437</v>
      </c>
      <c r="DJ16" s="19">
        <v>13</v>
      </c>
      <c r="DK16" s="19">
        <v>3</v>
      </c>
    </row>
    <row r="17" spans="1:115" s="2" customFormat="1">
      <c r="A17" s="3">
        <v>41365</v>
      </c>
      <c r="B17">
        <f t="shared" si="0"/>
        <v>2013</v>
      </c>
      <c r="C17" s="2">
        <v>78644062.765249997</v>
      </c>
      <c r="D17" s="2">
        <v>18237224.432177398</v>
      </c>
      <c r="E17" s="2">
        <v>204789.98155829497</v>
      </c>
      <c r="F17" s="2">
        <v>18442014.413735695</v>
      </c>
      <c r="G17" s="2">
        <v>31978</v>
      </c>
      <c r="H17" s="2">
        <v>7985231.8890388003</v>
      </c>
      <c r="I17" s="2">
        <v>140686.21440828397</v>
      </c>
      <c r="J17" s="2">
        <v>8125918.1034470843</v>
      </c>
      <c r="K17" s="2">
        <v>3469</v>
      </c>
      <c r="L17" s="2">
        <v>18721654.628284801</v>
      </c>
      <c r="M17" s="2">
        <f>VLOOKUP('Monthly Data'!B17,'Historic CDM'!$B$111:$J$122,4,FALSE)/12+VLOOKUP('Monthly Data'!B17,'Historic CDM'!$N$111:$V$122,4,FALSE)/12</f>
        <v>562252.85333471454</v>
      </c>
      <c r="N17" s="2">
        <f t="shared" si="14"/>
        <v>19283907.481619515</v>
      </c>
      <c r="O17" s="2">
        <v>47724.572694701121</v>
      </c>
      <c r="P17" s="2">
        <v>441</v>
      </c>
      <c r="Q17" s="2">
        <v>10631550.214800002</v>
      </c>
      <c r="R17" s="2">
        <f>VLOOKUP('Monthly Data'!B17,'Historic CDM'!$B$111:$J$122,5,FALSE)/12+VLOOKUP('Monthly Data'!B17,'Historic CDM'!$N$111:$V$122,5,FALSE)/12</f>
        <v>12609.780985256701</v>
      </c>
      <c r="S17" s="2">
        <f t="shared" si="16"/>
        <v>10644159.995785259</v>
      </c>
      <c r="T17" s="2">
        <v>20827.085395604474</v>
      </c>
      <c r="U17" s="2">
        <v>8</v>
      </c>
      <c r="V17" s="2">
        <v>20152473.9993225</v>
      </c>
      <c r="W17" s="2">
        <f>VLOOKUP('Monthly Data'!B17,'Historic CDM'!$B$111:$J$122,9,FALSE)/12+VLOOKUP('Monthly Data'!B17,'Historic CDM'!$N$111:$V$122,9,FALSE)/12</f>
        <v>45.056430183410413</v>
      </c>
      <c r="X17" s="2">
        <f t="shared" si="1"/>
        <v>20152519.055752683</v>
      </c>
      <c r="Y17" s="2">
        <v>35152.562053343499</v>
      </c>
      <c r="Z17" s="2">
        <v>4</v>
      </c>
      <c r="AA17" s="2">
        <v>751821.8120896098</v>
      </c>
      <c r="AB17" s="2">
        <v>2220.7249999999999</v>
      </c>
      <c r="AC17" s="2">
        <v>10020</v>
      </c>
      <c r="AD17" s="2">
        <v>45105.84</v>
      </c>
      <c r="AE17" s="2">
        <v>75.027000000000001</v>
      </c>
      <c r="AF17" s="2">
        <v>431</v>
      </c>
      <c r="AG17" s="2">
        <v>179359.36494900001</v>
      </c>
      <c r="AH17" s="2">
        <v>263</v>
      </c>
      <c r="AI17">
        <f>Weather!C173</f>
        <v>419.2</v>
      </c>
      <c r="AJ17">
        <f>Weather!D173</f>
        <v>0</v>
      </c>
      <c r="AK17">
        <f>Weather!E173</f>
        <v>359.20000000000005</v>
      </c>
      <c r="AL17">
        <f>Weather!F173</f>
        <v>0</v>
      </c>
      <c r="AM17">
        <f>Weather!G173</f>
        <v>299.39999999999998</v>
      </c>
      <c r="AN17">
        <f>Weather!H173</f>
        <v>0.19999999999999929</v>
      </c>
      <c r="AO17">
        <f>Weather!I173</f>
        <v>243.3</v>
      </c>
      <c r="AP17">
        <f>Weather!J173</f>
        <v>4.0999999999999996</v>
      </c>
      <c r="AQ17">
        <f>Weather!K173</f>
        <v>189.3</v>
      </c>
      <c r="AR17">
        <f>Weather!L173</f>
        <v>10.1</v>
      </c>
      <c r="AS17">
        <f>Weather!M173</f>
        <v>141.70000000000005</v>
      </c>
      <c r="AT17">
        <f>Weather!N173</f>
        <v>22.5</v>
      </c>
      <c r="AU17">
        <f>Weather!O173</f>
        <v>97.700000000000017</v>
      </c>
      <c r="AV17">
        <f>Weather!P173</f>
        <v>38.5</v>
      </c>
      <c r="AW17" s="7">
        <f>Weather!Q173</f>
        <v>6.0266666666666673</v>
      </c>
      <c r="AX17" s="5">
        <f>'Economic Variables'!D127</f>
        <v>6794.3</v>
      </c>
      <c r="AY17" s="5">
        <f>'Economic Variables'!E127</f>
        <v>6706.3</v>
      </c>
      <c r="AZ17" s="5">
        <f>'Economic Variables'!F127</f>
        <v>241.6</v>
      </c>
      <c r="BA17" s="5">
        <f>'Economic Variables'!G127</f>
        <v>237</v>
      </c>
      <c r="BB17" s="5">
        <f>'Economic Variables'!H127</f>
        <v>643937</v>
      </c>
      <c r="BC17" s="5">
        <f>'Economic Variables'!I127</f>
        <v>7062</v>
      </c>
      <c r="BD17" s="5">
        <f>'Economic Variables'!J127</f>
        <v>6218.8</v>
      </c>
      <c r="BE17" s="5">
        <f>'Economic Variables'!K127</f>
        <v>480.3</v>
      </c>
      <c r="BF17" s="5">
        <f>'Economic Variables'!L127</f>
        <v>8057.8</v>
      </c>
      <c r="BG17" s="5">
        <f>'Economic Variables'!M127</f>
        <v>27.7</v>
      </c>
      <c r="BH17" s="5">
        <f>'Economic Variables'!N127</f>
        <v>1420.3</v>
      </c>
      <c r="BI17" s="5">
        <f t="shared" si="2"/>
        <v>15119.8</v>
      </c>
      <c r="BJ17" s="5">
        <f>'Economic Variables'!P127</f>
        <v>641917</v>
      </c>
      <c r="BK17" s="5">
        <f>'Economic Variables'!Q127</f>
        <v>7071</v>
      </c>
      <c r="BL17" s="5">
        <f>'Economic Variables'!R127</f>
        <v>8039</v>
      </c>
      <c r="BM17" s="5">
        <f>'Economic Variables'!S127</f>
        <v>3093</v>
      </c>
      <c r="BN17" s="5">
        <f t="shared" si="15"/>
        <v>16</v>
      </c>
      <c r="BO17" s="80">
        <f t="shared" si="3"/>
        <v>1.2041199826559248</v>
      </c>
      <c r="BP17" s="5">
        <f t="shared" si="4"/>
        <v>256</v>
      </c>
      <c r="BQ17">
        <v>0</v>
      </c>
      <c r="BR17">
        <v>0</v>
      </c>
      <c r="BS17">
        <v>0</v>
      </c>
      <c r="BT17">
        <v>1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f t="shared" si="24"/>
        <v>1</v>
      </c>
      <c r="CD17">
        <f t="shared" si="24"/>
        <v>0</v>
      </c>
      <c r="CE17">
        <f t="shared" si="5"/>
        <v>1</v>
      </c>
      <c r="CF17">
        <v>30</v>
      </c>
      <c r="CG17">
        <v>22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 s="80">
        <f t="shared" si="17"/>
        <v>19.223647938932697</v>
      </c>
      <c r="CZ17" s="78">
        <f t="shared" si="18"/>
        <v>78.081273214635203</v>
      </c>
      <c r="DA17" s="5">
        <f t="shared" si="19"/>
        <v>1987.6218801916632</v>
      </c>
      <c r="DB17" s="5">
        <f t="shared" si="20"/>
        <v>60478.181794234428</v>
      </c>
      <c r="DC17" s="5">
        <f t="shared" si="21"/>
        <v>229005.89836082596</v>
      </c>
      <c r="DD17">
        <f t="shared" si="11"/>
        <v>1457.5893788072196</v>
      </c>
      <c r="DE17">
        <f t="shared" si="22"/>
        <v>44350.666649105246</v>
      </c>
      <c r="DF17">
        <f t="shared" si="23"/>
        <v>167937.65879793902</v>
      </c>
      <c r="DG17" s="19">
        <v>31978</v>
      </c>
      <c r="DH17" s="19">
        <v>3469</v>
      </c>
      <c r="DI17" s="19">
        <v>438</v>
      </c>
      <c r="DJ17" s="19">
        <v>13</v>
      </c>
      <c r="DK17" s="19">
        <v>3</v>
      </c>
    </row>
    <row r="18" spans="1:115" s="2" customFormat="1">
      <c r="A18" s="3">
        <v>41395</v>
      </c>
      <c r="B18">
        <f t="shared" si="0"/>
        <v>2013</v>
      </c>
      <c r="C18" s="2">
        <v>82538795.676500008</v>
      </c>
      <c r="D18" s="2">
        <v>18553976.821630601</v>
      </c>
      <c r="E18" s="2">
        <v>204789.98155829497</v>
      </c>
      <c r="F18" s="2">
        <v>18758766.803188898</v>
      </c>
      <c r="G18" s="2">
        <v>31991</v>
      </c>
      <c r="H18" s="2">
        <v>7922243.0320746005</v>
      </c>
      <c r="I18" s="2">
        <v>140686.21440828397</v>
      </c>
      <c r="J18" s="2">
        <v>8062929.2464828845</v>
      </c>
      <c r="K18" s="2">
        <v>3478</v>
      </c>
      <c r="L18" s="2">
        <v>18584124.338253602</v>
      </c>
      <c r="M18" s="2">
        <f>VLOOKUP('Monthly Data'!B18,'Historic CDM'!$B$111:$J$122,4,FALSE)/12+VLOOKUP('Monthly Data'!B18,'Historic CDM'!$N$111:$V$122,4,FALSE)/12</f>
        <v>562252.85333471454</v>
      </c>
      <c r="N18" s="2">
        <f t="shared" si="14"/>
        <v>19146377.191588316</v>
      </c>
      <c r="O18" s="2">
        <v>52681.306199473751</v>
      </c>
      <c r="P18" s="2">
        <v>440</v>
      </c>
      <c r="Q18" s="2">
        <v>11561435.248199999</v>
      </c>
      <c r="R18" s="2">
        <f>VLOOKUP('Monthly Data'!B18,'Historic CDM'!$B$111:$J$122,5,FALSE)/12+VLOOKUP('Monthly Data'!B18,'Historic CDM'!$N$111:$V$122,5,FALSE)/12</f>
        <v>12609.780985256701</v>
      </c>
      <c r="S18" s="2">
        <f t="shared" si="16"/>
        <v>11574045.029185256</v>
      </c>
      <c r="T18" s="2">
        <v>20803.613567373854</v>
      </c>
      <c r="U18" s="2">
        <v>8</v>
      </c>
      <c r="V18" s="2">
        <v>22491158.805720001</v>
      </c>
      <c r="W18" s="2">
        <f>VLOOKUP('Monthly Data'!B18,'Historic CDM'!$B$111:$J$122,9,FALSE)/12+VLOOKUP('Monthly Data'!B18,'Historic CDM'!$N$111:$V$122,9,FALSE)/12</f>
        <v>45.056430183410413</v>
      </c>
      <c r="X18" s="2">
        <f t="shared" si="1"/>
        <v>22491203.862150185</v>
      </c>
      <c r="Y18" s="2">
        <v>37362.811787485109</v>
      </c>
      <c r="Z18" s="2">
        <v>4</v>
      </c>
      <c r="AA18" s="2">
        <v>604406.01477785246</v>
      </c>
      <c r="AB18" s="2">
        <v>2007.5</v>
      </c>
      <c r="AC18" s="2">
        <v>10021</v>
      </c>
      <c r="AD18" s="2">
        <v>46530.96</v>
      </c>
      <c r="AE18" s="2">
        <v>100.13</v>
      </c>
      <c r="AF18" s="2">
        <v>428</v>
      </c>
      <c r="AG18" s="2">
        <v>185308.42140630001</v>
      </c>
      <c r="AH18" s="2">
        <v>263</v>
      </c>
      <c r="AI18">
        <f>Weather!C174</f>
        <v>186.10000000000002</v>
      </c>
      <c r="AJ18">
        <f>Weather!D174</f>
        <v>21.000000000000004</v>
      </c>
      <c r="AK18">
        <f>Weather!E174</f>
        <v>139.20000000000002</v>
      </c>
      <c r="AL18">
        <f>Weather!F174</f>
        <v>36.100000000000009</v>
      </c>
      <c r="AM18">
        <f>Weather!G174</f>
        <v>99.999999999999986</v>
      </c>
      <c r="AN18">
        <f>Weather!H174</f>
        <v>58.900000000000006</v>
      </c>
      <c r="AO18">
        <f>Weather!I174</f>
        <v>66.600000000000009</v>
      </c>
      <c r="AP18">
        <f>Weather!J174</f>
        <v>87.5</v>
      </c>
      <c r="AQ18">
        <f>Weather!K174</f>
        <v>42.3</v>
      </c>
      <c r="AR18">
        <f>Weather!L174</f>
        <v>125.19999999999999</v>
      </c>
      <c r="AS18">
        <f>Weather!M174</f>
        <v>23.4</v>
      </c>
      <c r="AT18">
        <f>Weather!N174</f>
        <v>168.3</v>
      </c>
      <c r="AU18">
        <f>Weather!O174</f>
        <v>9.6000000000000014</v>
      </c>
      <c r="AV18">
        <f>Weather!P174</f>
        <v>216.5</v>
      </c>
      <c r="AW18" s="7">
        <f>Weather!Q174</f>
        <v>14.674193548387098</v>
      </c>
      <c r="AX18" s="5">
        <f>'Economic Variables'!D128</f>
        <v>6795.3</v>
      </c>
      <c r="AY18" s="5">
        <f>'Economic Variables'!E128</f>
        <v>6764.2</v>
      </c>
      <c r="AZ18" s="5">
        <f>'Economic Variables'!F128</f>
        <v>240.8</v>
      </c>
      <c r="BA18" s="5">
        <f>'Economic Variables'!G128</f>
        <v>239.1</v>
      </c>
      <c r="BB18" s="5">
        <f>'Economic Variables'!H128</f>
        <v>643937</v>
      </c>
      <c r="BC18" s="5">
        <f>'Economic Variables'!I128</f>
        <v>7062</v>
      </c>
      <c r="BD18" s="5">
        <f>'Economic Variables'!J128</f>
        <v>6218.8</v>
      </c>
      <c r="BE18" s="5">
        <f>'Economic Variables'!K128</f>
        <v>480.3</v>
      </c>
      <c r="BF18" s="5">
        <f>'Economic Variables'!L128</f>
        <v>8057.8</v>
      </c>
      <c r="BG18" s="5">
        <f>'Economic Variables'!M128</f>
        <v>27.7</v>
      </c>
      <c r="BH18" s="5">
        <f>'Economic Variables'!N128</f>
        <v>1420.3</v>
      </c>
      <c r="BI18" s="5">
        <f t="shared" si="2"/>
        <v>15119.8</v>
      </c>
      <c r="BJ18" s="5">
        <f>'Economic Variables'!P128</f>
        <v>641917</v>
      </c>
      <c r="BK18" s="5">
        <f>'Economic Variables'!Q128</f>
        <v>7071</v>
      </c>
      <c r="BL18" s="5">
        <f>'Economic Variables'!R128</f>
        <v>8039</v>
      </c>
      <c r="BM18" s="5">
        <f>'Economic Variables'!S128</f>
        <v>3093</v>
      </c>
      <c r="BN18" s="5">
        <f t="shared" si="15"/>
        <v>17</v>
      </c>
      <c r="BO18" s="80">
        <f t="shared" si="3"/>
        <v>1.2304489213782739</v>
      </c>
      <c r="BP18" s="5">
        <f t="shared" si="4"/>
        <v>289</v>
      </c>
      <c r="BQ18">
        <v>0</v>
      </c>
      <c r="BR18">
        <v>0</v>
      </c>
      <c r="BS18">
        <v>0</v>
      </c>
      <c r="BT18">
        <v>0</v>
      </c>
      <c r="BU18">
        <v>1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f t="shared" si="24"/>
        <v>1</v>
      </c>
      <c r="CD18">
        <f t="shared" si="24"/>
        <v>0</v>
      </c>
      <c r="CE18">
        <f t="shared" si="5"/>
        <v>1</v>
      </c>
      <c r="CF18">
        <v>31</v>
      </c>
      <c r="CG18">
        <v>22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 s="80">
        <f t="shared" si="17"/>
        <v>18.915367127638618</v>
      </c>
      <c r="CZ18" s="78">
        <f t="shared" si="18"/>
        <v>74.782775106966227</v>
      </c>
      <c r="DA18" s="5">
        <f t="shared" si="19"/>
        <v>1977.9315280566441</v>
      </c>
      <c r="DB18" s="5">
        <f t="shared" si="20"/>
        <v>65761.61948400714</v>
      </c>
      <c r="DC18" s="5">
        <f t="shared" si="21"/>
        <v>255581.86206988848</v>
      </c>
      <c r="DD18">
        <f t="shared" si="11"/>
        <v>1403.693342491812</v>
      </c>
      <c r="DE18">
        <f t="shared" si="22"/>
        <v>46669.536408005064</v>
      </c>
      <c r="DF18">
        <f t="shared" si="23"/>
        <v>181380.67630766277</v>
      </c>
      <c r="DG18" s="19">
        <v>31991</v>
      </c>
      <c r="DH18" s="19">
        <v>3478</v>
      </c>
      <c r="DI18" s="19">
        <v>437</v>
      </c>
      <c r="DJ18" s="19">
        <v>13</v>
      </c>
      <c r="DK18" s="19">
        <v>3</v>
      </c>
    </row>
    <row r="19" spans="1:115" s="2" customFormat="1">
      <c r="A19" s="3">
        <v>41426</v>
      </c>
      <c r="B19">
        <f t="shared" si="0"/>
        <v>2013</v>
      </c>
      <c r="C19" s="2">
        <v>85631425.100249991</v>
      </c>
      <c r="D19" s="2">
        <v>21326508.087466497</v>
      </c>
      <c r="E19" s="2">
        <v>204789.98155829497</v>
      </c>
      <c r="F19" s="2">
        <v>21531298.069024794</v>
      </c>
      <c r="G19" s="2">
        <v>31985</v>
      </c>
      <c r="H19" s="2">
        <v>8207561.4034828003</v>
      </c>
      <c r="I19" s="2">
        <v>140686.21440828397</v>
      </c>
      <c r="J19" s="2">
        <v>8348247.6178910844</v>
      </c>
      <c r="K19" s="2">
        <v>3477</v>
      </c>
      <c r="L19" s="2">
        <v>18062007.987694804</v>
      </c>
      <c r="M19" s="2">
        <f>VLOOKUP('Monthly Data'!B19,'Historic CDM'!$B$111:$J$122,4,FALSE)/12+VLOOKUP('Monthly Data'!B19,'Historic CDM'!$N$111:$V$122,4,FALSE)/12</f>
        <v>562252.85333471454</v>
      </c>
      <c r="N19" s="2">
        <f t="shared" si="14"/>
        <v>18624260.841029517</v>
      </c>
      <c r="O19" s="2">
        <v>59850.769279896165</v>
      </c>
      <c r="P19" s="2">
        <v>440</v>
      </c>
      <c r="Q19" s="2">
        <v>11261985.156399997</v>
      </c>
      <c r="R19" s="2">
        <f>VLOOKUP('Monthly Data'!B19,'Historic CDM'!$B$111:$J$122,5,FALSE)/12+VLOOKUP('Monthly Data'!B19,'Historic CDM'!$N$111:$V$122,5,FALSE)/12</f>
        <v>12609.780985256701</v>
      </c>
      <c r="S19" s="2">
        <f t="shared" si="16"/>
        <v>11274594.937385254</v>
      </c>
      <c r="T19" s="2">
        <v>21481.736346248486</v>
      </c>
      <c r="U19" s="2">
        <v>8</v>
      </c>
      <c r="V19" s="2">
        <v>22143963.122572497</v>
      </c>
      <c r="W19" s="2">
        <f>VLOOKUP('Monthly Data'!B19,'Historic CDM'!$B$111:$J$122,9,FALSE)/12+VLOOKUP('Monthly Data'!B19,'Historic CDM'!$N$111:$V$122,9,FALSE)/12</f>
        <v>45.056430183410413</v>
      </c>
      <c r="X19" s="2">
        <f t="shared" si="1"/>
        <v>22144008.17900268</v>
      </c>
      <c r="Y19" s="2">
        <v>38499.911989135049</v>
      </c>
      <c r="Z19" s="2">
        <v>4</v>
      </c>
      <c r="AA19" s="2">
        <v>544970.85049419443</v>
      </c>
      <c r="AB19" s="2">
        <v>2010.4290000000001</v>
      </c>
      <c r="AC19" s="2">
        <v>10029</v>
      </c>
      <c r="AD19" s="2">
        <v>44947.199999999997</v>
      </c>
      <c r="AE19" s="2">
        <v>159.03700000000001</v>
      </c>
      <c r="AF19" s="2">
        <v>427</v>
      </c>
      <c r="AG19" s="2">
        <v>179270.59782600001</v>
      </c>
      <c r="AH19" s="2">
        <v>262</v>
      </c>
      <c r="AI19">
        <f>Weather!C175</f>
        <v>86.399999999999991</v>
      </c>
      <c r="AJ19">
        <f>Weather!D175</f>
        <v>32.399999999999991</v>
      </c>
      <c r="AK19">
        <f>Weather!E175</f>
        <v>48.400000000000006</v>
      </c>
      <c r="AL19">
        <f>Weather!F175</f>
        <v>54.400000000000013</v>
      </c>
      <c r="AM19">
        <f>Weather!G175</f>
        <v>23.3</v>
      </c>
      <c r="AN19">
        <f>Weather!H175</f>
        <v>89.3</v>
      </c>
      <c r="AO19">
        <f>Weather!I175</f>
        <v>8</v>
      </c>
      <c r="AP19">
        <f>Weather!J175</f>
        <v>134.00000000000003</v>
      </c>
      <c r="AQ19">
        <f>Weather!K175</f>
        <v>0.59999999999999964</v>
      </c>
      <c r="AR19">
        <f>Weather!L175</f>
        <v>186.60000000000002</v>
      </c>
      <c r="AS19">
        <f>Weather!M175</f>
        <v>0</v>
      </c>
      <c r="AT19">
        <f>Weather!N175</f>
        <v>246.00000000000006</v>
      </c>
      <c r="AU19">
        <f>Weather!O175</f>
        <v>0</v>
      </c>
      <c r="AV19">
        <f>Weather!P175</f>
        <v>306.00000000000006</v>
      </c>
      <c r="AW19" s="7">
        <f>Weather!Q175</f>
        <v>18.2</v>
      </c>
      <c r="AX19" s="5">
        <f>'Economic Variables'!D129</f>
        <v>6807.1</v>
      </c>
      <c r="AY19" s="5">
        <f>'Economic Variables'!E129</f>
        <v>6849.6</v>
      </c>
      <c r="AZ19" s="5">
        <f>'Economic Variables'!F129</f>
        <v>239.9</v>
      </c>
      <c r="BA19" s="5">
        <f>'Economic Variables'!G129</f>
        <v>241.8</v>
      </c>
      <c r="BB19" s="5">
        <f>'Economic Variables'!H129</f>
        <v>643937</v>
      </c>
      <c r="BC19" s="5">
        <f>'Economic Variables'!I129</f>
        <v>7062</v>
      </c>
      <c r="BD19" s="5">
        <f>'Economic Variables'!J129</f>
        <v>6218.8</v>
      </c>
      <c r="BE19" s="5">
        <f>'Economic Variables'!K129</f>
        <v>480.3</v>
      </c>
      <c r="BF19" s="5">
        <f>'Economic Variables'!L129</f>
        <v>8057.8</v>
      </c>
      <c r="BG19" s="5">
        <f>'Economic Variables'!M129</f>
        <v>27.7</v>
      </c>
      <c r="BH19" s="5">
        <f>'Economic Variables'!N129</f>
        <v>1420.3</v>
      </c>
      <c r="BI19" s="5">
        <f t="shared" si="2"/>
        <v>15119.8</v>
      </c>
      <c r="BJ19" s="5">
        <f>'Economic Variables'!P129</f>
        <v>641917</v>
      </c>
      <c r="BK19" s="5">
        <f>'Economic Variables'!Q129</f>
        <v>7071</v>
      </c>
      <c r="BL19" s="5">
        <f>'Economic Variables'!R129</f>
        <v>8039</v>
      </c>
      <c r="BM19" s="5">
        <f>'Economic Variables'!S129</f>
        <v>3093</v>
      </c>
      <c r="BN19" s="5">
        <f t="shared" si="15"/>
        <v>18</v>
      </c>
      <c r="BO19" s="80">
        <f t="shared" si="3"/>
        <v>1.255272505103306</v>
      </c>
      <c r="BP19" s="5">
        <f t="shared" si="4"/>
        <v>324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1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f t="shared" si="24"/>
        <v>0</v>
      </c>
      <c r="CD19">
        <f t="shared" si="24"/>
        <v>0</v>
      </c>
      <c r="CE19">
        <f t="shared" si="5"/>
        <v>0</v>
      </c>
      <c r="CF19">
        <v>30</v>
      </c>
      <c r="CG19">
        <v>20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 s="80">
        <f t="shared" si="17"/>
        <v>22.438953748136935</v>
      </c>
      <c r="CZ19" s="78">
        <f t="shared" si="18"/>
        <v>80.033051652680328</v>
      </c>
      <c r="DA19" s="5">
        <f t="shared" si="19"/>
        <v>2116.3932773897177</v>
      </c>
      <c r="DB19" s="5">
        <f t="shared" si="20"/>
        <v>70466.218358657832</v>
      </c>
      <c r="DC19" s="5">
        <f t="shared" si="21"/>
        <v>276800.10223753349</v>
      </c>
      <c r="DD19">
        <f t="shared" si="11"/>
        <v>1410.9288515931453</v>
      </c>
      <c r="DE19">
        <f t="shared" si="22"/>
        <v>46977.478905771888</v>
      </c>
      <c r="DF19">
        <f t="shared" si="23"/>
        <v>184533.401491689</v>
      </c>
      <c r="DG19" s="19">
        <v>31985</v>
      </c>
      <c r="DH19" s="19">
        <v>3477</v>
      </c>
      <c r="DI19" s="19">
        <v>437</v>
      </c>
      <c r="DJ19" s="19">
        <v>13</v>
      </c>
      <c r="DK19" s="19">
        <v>3</v>
      </c>
    </row>
    <row r="20" spans="1:115" s="2" customFormat="1">
      <c r="A20" s="3">
        <v>41456</v>
      </c>
      <c r="B20">
        <f t="shared" si="0"/>
        <v>2013</v>
      </c>
      <c r="C20" s="2">
        <v>97142795.513000011</v>
      </c>
      <c r="D20" s="2">
        <v>26896671.9605706</v>
      </c>
      <c r="E20" s="2">
        <v>204789.98155829497</v>
      </c>
      <c r="F20" s="2">
        <v>27101461.942128897</v>
      </c>
      <c r="G20" s="2">
        <v>31989</v>
      </c>
      <c r="H20" s="2">
        <v>9801129.3351464998</v>
      </c>
      <c r="I20" s="2">
        <v>140686.21440828397</v>
      </c>
      <c r="J20" s="2">
        <v>9941815.5495547839</v>
      </c>
      <c r="K20" s="2">
        <v>3469</v>
      </c>
      <c r="L20" s="2">
        <v>21911032.483461797</v>
      </c>
      <c r="M20" s="2">
        <f>VLOOKUP('Monthly Data'!B20,'Historic CDM'!$B$111:$J$122,4,FALSE)/12+VLOOKUP('Monthly Data'!B20,'Historic CDM'!$N$111:$V$122,4,FALSE)/12</f>
        <v>562252.85333471454</v>
      </c>
      <c r="N20" s="2">
        <f t="shared" si="14"/>
        <v>22473285.336796511</v>
      </c>
      <c r="O20" s="2">
        <v>66908.823523214611</v>
      </c>
      <c r="P20" s="2">
        <v>430</v>
      </c>
      <c r="Q20" s="2">
        <v>11321089.499200001</v>
      </c>
      <c r="R20" s="2">
        <f>VLOOKUP('Monthly Data'!B20,'Historic CDM'!$B$111:$J$122,5,FALSE)/12+VLOOKUP('Monthly Data'!B20,'Historic CDM'!$N$111:$V$122,5,FALSE)/12</f>
        <v>12609.780985256701</v>
      </c>
      <c r="S20" s="2">
        <f t="shared" si="16"/>
        <v>11333699.280185258</v>
      </c>
      <c r="T20" s="2">
        <v>21614.712689017364</v>
      </c>
      <c r="U20" s="2">
        <v>8</v>
      </c>
      <c r="V20" s="2">
        <v>23094278.926785</v>
      </c>
      <c r="W20" s="2">
        <f>VLOOKUP('Monthly Data'!B20,'Historic CDM'!$B$111:$J$122,9,FALSE)/12+VLOOKUP('Monthly Data'!B20,'Historic CDM'!$N$111:$V$122,9,FALSE)/12</f>
        <v>45.056430183410413</v>
      </c>
      <c r="X20" s="2">
        <f t="shared" si="1"/>
        <v>23094323.983215183</v>
      </c>
      <c r="Y20" s="2">
        <v>37671.443036350378</v>
      </c>
      <c r="Z20" s="2">
        <v>4</v>
      </c>
      <c r="AA20" s="2">
        <v>588449.9011611169</v>
      </c>
      <c r="AB20" s="2">
        <v>2010.5940000000001</v>
      </c>
      <c r="AC20" s="2">
        <v>10030</v>
      </c>
      <c r="AD20" s="2">
        <v>46425.599999999999</v>
      </c>
      <c r="AE20" s="2">
        <v>107.14</v>
      </c>
      <c r="AF20" s="2">
        <v>427</v>
      </c>
      <c r="AG20" s="2">
        <v>185246.28442020001</v>
      </c>
      <c r="AH20" s="2">
        <v>262</v>
      </c>
      <c r="AI20">
        <f>Weather!C176</f>
        <v>29.799999999999997</v>
      </c>
      <c r="AJ20">
        <f>Weather!D176</f>
        <v>76.999999999999986</v>
      </c>
      <c r="AK20">
        <f>Weather!E176</f>
        <v>10.7</v>
      </c>
      <c r="AL20">
        <f>Weather!F176</f>
        <v>119.89999999999998</v>
      </c>
      <c r="AM20">
        <f>Weather!G176</f>
        <v>2.3000000000000007</v>
      </c>
      <c r="AN20">
        <f>Weather!H176</f>
        <v>173.5</v>
      </c>
      <c r="AO20">
        <f>Weather!I176</f>
        <v>0</v>
      </c>
      <c r="AP20">
        <f>Weather!J176</f>
        <v>233.19999999999996</v>
      </c>
      <c r="AQ20">
        <f>Weather!K176</f>
        <v>0</v>
      </c>
      <c r="AR20">
        <f>Weather!L176</f>
        <v>295.20000000000005</v>
      </c>
      <c r="AS20">
        <f>Weather!M176</f>
        <v>0</v>
      </c>
      <c r="AT20">
        <f>Weather!N176</f>
        <v>357.2000000000001</v>
      </c>
      <c r="AU20">
        <f>Weather!O176</f>
        <v>0</v>
      </c>
      <c r="AV20">
        <f>Weather!P176</f>
        <v>419.2000000000001</v>
      </c>
      <c r="AW20" s="7">
        <f>Weather!Q176</f>
        <v>21.522580645161295</v>
      </c>
      <c r="AX20" s="5">
        <f>'Economic Variables'!D130</f>
        <v>6810.7</v>
      </c>
      <c r="AY20" s="5">
        <f>'Economic Variables'!E130</f>
        <v>6898</v>
      </c>
      <c r="AZ20" s="5">
        <f>'Economic Variables'!F130</f>
        <v>237.6</v>
      </c>
      <c r="BA20" s="5">
        <f>'Economic Variables'!G130</f>
        <v>241.8</v>
      </c>
      <c r="BB20" s="5">
        <f>'Economic Variables'!H130</f>
        <v>643937</v>
      </c>
      <c r="BC20" s="5">
        <f>'Economic Variables'!I130</f>
        <v>7062</v>
      </c>
      <c r="BD20" s="5">
        <f>'Economic Variables'!J130</f>
        <v>6218.8</v>
      </c>
      <c r="BE20" s="5">
        <f>'Economic Variables'!K130</f>
        <v>480.3</v>
      </c>
      <c r="BF20" s="5">
        <f>'Economic Variables'!L130</f>
        <v>8057.8</v>
      </c>
      <c r="BG20" s="5">
        <f>'Economic Variables'!M130</f>
        <v>27.7</v>
      </c>
      <c r="BH20" s="5">
        <f>'Economic Variables'!N130</f>
        <v>1420.3</v>
      </c>
      <c r="BI20" s="5">
        <f t="shared" si="2"/>
        <v>15119.8</v>
      </c>
      <c r="BJ20" s="5">
        <f>'Economic Variables'!P130</f>
        <v>646366</v>
      </c>
      <c r="BK20" s="5">
        <f>'Economic Variables'!Q130</f>
        <v>7302</v>
      </c>
      <c r="BL20" s="5">
        <f>'Economic Variables'!R130</f>
        <v>7972</v>
      </c>
      <c r="BM20" s="5">
        <f>'Economic Variables'!S130</f>
        <v>3010</v>
      </c>
      <c r="BN20" s="5">
        <f t="shared" si="15"/>
        <v>19</v>
      </c>
      <c r="BO20" s="80">
        <f t="shared" si="3"/>
        <v>1.2787536009528289</v>
      </c>
      <c r="BP20" s="5">
        <f t="shared" si="4"/>
        <v>361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1</v>
      </c>
      <c r="BX20">
        <v>0</v>
      </c>
      <c r="BY20">
        <v>0</v>
      </c>
      <c r="BZ20">
        <v>0</v>
      </c>
      <c r="CA20">
        <v>0</v>
      </c>
      <c r="CB20">
        <v>0</v>
      </c>
      <c r="CC20">
        <f t="shared" si="24"/>
        <v>0</v>
      </c>
      <c r="CD20">
        <f t="shared" si="24"/>
        <v>0</v>
      </c>
      <c r="CE20">
        <f t="shared" si="5"/>
        <v>0</v>
      </c>
      <c r="CF20">
        <v>31</v>
      </c>
      <c r="CG20">
        <v>22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 s="80">
        <f t="shared" si="17"/>
        <v>27.329416606039878</v>
      </c>
      <c r="CZ20" s="78">
        <f t="shared" si="18"/>
        <v>92.448465668778624</v>
      </c>
      <c r="DA20" s="5">
        <f t="shared" si="19"/>
        <v>2375.6115578008998</v>
      </c>
      <c r="DB20" s="5">
        <f t="shared" si="20"/>
        <v>64396.018637416237</v>
      </c>
      <c r="DC20" s="5">
        <f t="shared" si="21"/>
        <v>262435.49980926345</v>
      </c>
      <c r="DD20">
        <f t="shared" si="11"/>
        <v>1685.9178797296709</v>
      </c>
      <c r="DE20">
        <f t="shared" si="22"/>
        <v>45700.400323327653</v>
      </c>
      <c r="DF20">
        <f t="shared" si="23"/>
        <v>186244.54825173534</v>
      </c>
      <c r="DG20" s="19">
        <v>31989</v>
      </c>
      <c r="DH20" s="19">
        <v>3469</v>
      </c>
      <c r="DI20" s="19">
        <v>428</v>
      </c>
      <c r="DJ20" s="19">
        <v>12</v>
      </c>
      <c r="DK20" s="19">
        <v>3</v>
      </c>
    </row>
    <row r="21" spans="1:115" s="2" customFormat="1">
      <c r="A21" s="3">
        <v>41487</v>
      </c>
      <c r="B21">
        <f t="shared" si="0"/>
        <v>2013</v>
      </c>
      <c r="C21" s="2">
        <v>92839750.864500001</v>
      </c>
      <c r="D21" s="2">
        <v>23886511.052488402</v>
      </c>
      <c r="E21" s="2">
        <v>204789.98155829497</v>
      </c>
      <c r="F21" s="2">
        <v>24091301.034046695</v>
      </c>
      <c r="G21" s="2">
        <v>32017</v>
      </c>
      <c r="H21" s="2">
        <v>8989358.1969967</v>
      </c>
      <c r="I21" s="2">
        <v>140686.21440828397</v>
      </c>
      <c r="J21" s="2">
        <v>9130044.4114049841</v>
      </c>
      <c r="K21" s="2">
        <v>3461</v>
      </c>
      <c r="L21" s="2">
        <v>20198172.847012296</v>
      </c>
      <c r="M21" s="2">
        <f>VLOOKUP('Monthly Data'!B21,'Historic CDM'!$B$111:$J$122,4,FALSE)/12+VLOOKUP('Monthly Data'!B21,'Historic CDM'!$N$111:$V$122,4,FALSE)/12</f>
        <v>562252.85333471454</v>
      </c>
      <c r="N21" s="2">
        <f t="shared" si="14"/>
        <v>20760425.70034701</v>
      </c>
      <c r="O21" s="2">
        <v>57328.401666477061</v>
      </c>
      <c r="P21" s="2">
        <v>429</v>
      </c>
      <c r="Q21" s="2">
        <v>11720906.8914</v>
      </c>
      <c r="R21" s="2">
        <f>VLOOKUP('Monthly Data'!B21,'Historic CDM'!$B$111:$J$122,5,FALSE)/12+VLOOKUP('Monthly Data'!B21,'Historic CDM'!$N$111:$V$122,5,FALSE)/12</f>
        <v>12609.780985256701</v>
      </c>
      <c r="S21" s="2">
        <f t="shared" si="16"/>
        <v>11733516.672385257</v>
      </c>
      <c r="T21" s="2">
        <v>22119.969709158177</v>
      </c>
      <c r="U21" s="2">
        <v>8</v>
      </c>
      <c r="V21" s="2">
        <v>23514709.023135003</v>
      </c>
      <c r="W21" s="2">
        <f>VLOOKUP('Monthly Data'!B21,'Historic CDM'!$B$111:$J$122,9,FALSE)/12+VLOOKUP('Monthly Data'!B21,'Historic CDM'!$N$111:$V$122,9,FALSE)/12</f>
        <v>45.056430183410413</v>
      </c>
      <c r="X21" s="2">
        <f t="shared" si="1"/>
        <v>23514754.079565186</v>
      </c>
      <c r="Y21" s="2">
        <v>38049.79525353857</v>
      </c>
      <c r="Z21" s="2">
        <v>4</v>
      </c>
      <c r="AA21" s="2">
        <v>660711.37577967567</v>
      </c>
      <c r="AB21" s="2">
        <v>2011.0940000000001</v>
      </c>
      <c r="AC21" s="2">
        <v>10032</v>
      </c>
      <c r="AD21" s="2">
        <v>46470.84</v>
      </c>
      <c r="AE21" s="2">
        <v>112.80199999999999</v>
      </c>
      <c r="AF21" s="2">
        <v>426</v>
      </c>
      <c r="AG21" s="2">
        <v>186325.33099430002</v>
      </c>
      <c r="AH21" s="2">
        <v>262</v>
      </c>
      <c r="AI21">
        <f>Weather!C177</f>
        <v>37.600000000000009</v>
      </c>
      <c r="AJ21">
        <f>Weather!D177</f>
        <v>38.299999999999997</v>
      </c>
      <c r="AK21">
        <f>Weather!E177</f>
        <v>14.100000000000003</v>
      </c>
      <c r="AL21">
        <f>Weather!F177</f>
        <v>76.8</v>
      </c>
      <c r="AM21">
        <f>Weather!G177</f>
        <v>1.4000000000000004</v>
      </c>
      <c r="AN21">
        <f>Weather!H177</f>
        <v>126.10000000000002</v>
      </c>
      <c r="AO21">
        <f>Weather!I177</f>
        <v>0</v>
      </c>
      <c r="AP21">
        <f>Weather!J177</f>
        <v>186.69999999999996</v>
      </c>
      <c r="AQ21">
        <f>Weather!K177</f>
        <v>0</v>
      </c>
      <c r="AR21">
        <f>Weather!L177</f>
        <v>248.69999999999996</v>
      </c>
      <c r="AS21">
        <f>Weather!M177</f>
        <v>0</v>
      </c>
      <c r="AT21">
        <f>Weather!N177</f>
        <v>310.7</v>
      </c>
      <c r="AU21">
        <f>Weather!O177</f>
        <v>0</v>
      </c>
      <c r="AV21">
        <f>Weather!P177</f>
        <v>372.69999999999987</v>
      </c>
      <c r="AW21" s="7">
        <f>Weather!Q177</f>
        <v>20.022580645161291</v>
      </c>
      <c r="AX21" s="5">
        <f>'Economic Variables'!D131</f>
        <v>6812.5</v>
      </c>
      <c r="AY21" s="5">
        <f>'Economic Variables'!E131</f>
        <v>6910.2</v>
      </c>
      <c r="AZ21" s="5">
        <f>'Economic Variables'!F131</f>
        <v>235.3</v>
      </c>
      <c r="BA21" s="5">
        <f>'Economic Variables'!G131</f>
        <v>240.8</v>
      </c>
      <c r="BB21" s="5">
        <f>'Economic Variables'!H131</f>
        <v>643937</v>
      </c>
      <c r="BC21" s="5">
        <f>'Economic Variables'!I131</f>
        <v>7062</v>
      </c>
      <c r="BD21" s="5">
        <f>'Economic Variables'!J131</f>
        <v>6218.8</v>
      </c>
      <c r="BE21" s="5">
        <f>'Economic Variables'!K131</f>
        <v>480.3</v>
      </c>
      <c r="BF21" s="5">
        <f>'Economic Variables'!L131</f>
        <v>8057.8</v>
      </c>
      <c r="BG21" s="5">
        <f>'Economic Variables'!M131</f>
        <v>27.7</v>
      </c>
      <c r="BH21" s="5">
        <f>'Economic Variables'!N131</f>
        <v>1420.3</v>
      </c>
      <c r="BI21" s="5">
        <f t="shared" si="2"/>
        <v>15119.8</v>
      </c>
      <c r="BJ21" s="5">
        <f>'Economic Variables'!P131</f>
        <v>646366</v>
      </c>
      <c r="BK21" s="5">
        <f>'Economic Variables'!Q131</f>
        <v>7302</v>
      </c>
      <c r="BL21" s="5">
        <f>'Economic Variables'!R131</f>
        <v>7972</v>
      </c>
      <c r="BM21" s="5">
        <f>'Economic Variables'!S131</f>
        <v>3010</v>
      </c>
      <c r="BN21" s="5">
        <f t="shared" si="15"/>
        <v>20</v>
      </c>
      <c r="BO21" s="80">
        <f t="shared" si="3"/>
        <v>1.3010299956639813</v>
      </c>
      <c r="BP21" s="5">
        <f t="shared" si="4"/>
        <v>400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1</v>
      </c>
      <c r="BY21">
        <v>0</v>
      </c>
      <c r="BZ21">
        <v>0</v>
      </c>
      <c r="CA21">
        <v>0</v>
      </c>
      <c r="CB21">
        <v>0</v>
      </c>
      <c r="CC21">
        <f t="shared" si="24"/>
        <v>0</v>
      </c>
      <c r="CD21">
        <f t="shared" si="24"/>
        <v>0</v>
      </c>
      <c r="CE21">
        <f t="shared" si="5"/>
        <v>0</v>
      </c>
      <c r="CF21">
        <v>31</v>
      </c>
      <c r="CG21">
        <v>21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 s="80">
        <f t="shared" si="17"/>
        <v>24.272690852789591</v>
      </c>
      <c r="CZ21" s="78">
        <f t="shared" si="18"/>
        <v>85.096088315002973</v>
      </c>
      <c r="DA21" s="5">
        <f t="shared" si="19"/>
        <v>2304.4095571480752</v>
      </c>
      <c r="DB21" s="5">
        <f t="shared" si="20"/>
        <v>69842.361145150338</v>
      </c>
      <c r="DC21" s="5">
        <f t="shared" si="21"/>
        <v>279937.54856625223</v>
      </c>
      <c r="DD21">
        <f t="shared" si="11"/>
        <v>1561.051635487406</v>
      </c>
      <c r="DE21">
        <f t="shared" si="22"/>
        <v>47312.567227359905</v>
      </c>
      <c r="DF21">
        <f t="shared" si="23"/>
        <v>189635.11354488053</v>
      </c>
      <c r="DG21" s="19">
        <v>32017</v>
      </c>
      <c r="DH21" s="19">
        <v>3461</v>
      </c>
      <c r="DI21" s="19">
        <v>427</v>
      </c>
      <c r="DJ21" s="19">
        <v>12</v>
      </c>
      <c r="DK21" s="19">
        <v>3</v>
      </c>
    </row>
    <row r="22" spans="1:115" s="2" customFormat="1">
      <c r="A22" s="3">
        <v>41518</v>
      </c>
      <c r="B22">
        <f t="shared" ref="B22:B85" si="25">YEAR(A22)</f>
        <v>2013</v>
      </c>
      <c r="C22" s="2">
        <v>81617461.817749992</v>
      </c>
      <c r="D22" s="2">
        <v>19538559.235952601</v>
      </c>
      <c r="E22" s="2">
        <v>204789.98155829497</v>
      </c>
      <c r="F22" s="2">
        <v>19743349.217510894</v>
      </c>
      <c r="G22" s="2">
        <v>32027</v>
      </c>
      <c r="H22" s="2">
        <v>7601460.9346410995</v>
      </c>
      <c r="I22" s="2">
        <v>140686.21440828397</v>
      </c>
      <c r="J22" s="2">
        <v>7742147.1490493836</v>
      </c>
      <c r="K22" s="2">
        <v>3461</v>
      </c>
      <c r="L22" s="2">
        <v>17938257.1991335</v>
      </c>
      <c r="M22" s="2">
        <f>VLOOKUP('Monthly Data'!B22,'Historic CDM'!$B$111:$J$122,4,FALSE)/12+VLOOKUP('Monthly Data'!B22,'Historic CDM'!$N$111:$V$122,4,FALSE)/12</f>
        <v>562252.85333471454</v>
      </c>
      <c r="N22" s="2">
        <f t="shared" si="14"/>
        <v>18500510.052468214</v>
      </c>
      <c r="O22" s="2">
        <v>57927.907989952371</v>
      </c>
      <c r="P22" s="2">
        <v>440</v>
      </c>
      <c r="Q22" s="2">
        <v>11206100.928399997</v>
      </c>
      <c r="R22" s="2">
        <f>VLOOKUP('Monthly Data'!B22,'Historic CDM'!$B$111:$J$122,5,FALSE)/12+VLOOKUP('Monthly Data'!B22,'Historic CDM'!$N$111:$V$122,5,FALSE)/12</f>
        <v>12609.780985256701</v>
      </c>
      <c r="S22" s="2">
        <f t="shared" si="16"/>
        <v>11218710.709385253</v>
      </c>
      <c r="T22" s="2">
        <v>22127.337423186444</v>
      </c>
      <c r="U22" s="2">
        <v>8</v>
      </c>
      <c r="V22" s="2">
        <v>20804389.799985003</v>
      </c>
      <c r="W22" s="2">
        <f>VLOOKUP('Monthly Data'!B22,'Historic CDM'!$B$111:$J$122,9,FALSE)/12+VLOOKUP('Monthly Data'!B22,'Historic CDM'!$N$111:$V$122,9,FALSE)/12</f>
        <v>45.056430183410413</v>
      </c>
      <c r="X22" s="2">
        <f t="shared" si="1"/>
        <v>20804434.856415186</v>
      </c>
      <c r="Y22" s="2">
        <v>36665.26769497896</v>
      </c>
      <c r="Z22" s="2">
        <v>4</v>
      </c>
      <c r="AA22" s="2">
        <v>752053.2065060935</v>
      </c>
      <c r="AB22" s="2">
        <v>2011.229</v>
      </c>
      <c r="AC22" s="2">
        <v>10037</v>
      </c>
      <c r="AD22" s="2">
        <v>44974.8</v>
      </c>
      <c r="AE22" s="2">
        <v>104.61500000000001</v>
      </c>
      <c r="AF22" s="2">
        <v>426</v>
      </c>
      <c r="AG22" s="2">
        <v>180290.433441</v>
      </c>
      <c r="AH22" s="2">
        <v>261</v>
      </c>
      <c r="AI22">
        <f>Weather!C178</f>
        <v>131.1</v>
      </c>
      <c r="AJ22">
        <f>Weather!D178</f>
        <v>19.099999999999998</v>
      </c>
      <c r="AK22">
        <f>Weather!E178</f>
        <v>84.9</v>
      </c>
      <c r="AL22">
        <f>Weather!F178</f>
        <v>32.9</v>
      </c>
      <c r="AM22">
        <f>Weather!G178</f>
        <v>50.5</v>
      </c>
      <c r="AN22">
        <f>Weather!H178</f>
        <v>58.499999999999993</v>
      </c>
      <c r="AO22">
        <f>Weather!I178</f>
        <v>24</v>
      </c>
      <c r="AP22">
        <f>Weather!J178</f>
        <v>92.000000000000028</v>
      </c>
      <c r="AQ22">
        <f>Weather!K178</f>
        <v>7.2000000000000011</v>
      </c>
      <c r="AR22">
        <f>Weather!L178</f>
        <v>135.20000000000002</v>
      </c>
      <c r="AS22">
        <f>Weather!M178</f>
        <v>0</v>
      </c>
      <c r="AT22">
        <f>Weather!N178</f>
        <v>188</v>
      </c>
      <c r="AU22">
        <f>Weather!O178</f>
        <v>0</v>
      </c>
      <c r="AV22">
        <f>Weather!P178</f>
        <v>247.99999999999994</v>
      </c>
      <c r="AW22" s="7">
        <f>Weather!Q178</f>
        <v>16.266666666666666</v>
      </c>
      <c r="AX22" s="5">
        <f>'Economic Variables'!D132</f>
        <v>6813.6</v>
      </c>
      <c r="AY22" s="5">
        <f>'Economic Variables'!E132</f>
        <v>6881.2</v>
      </c>
      <c r="AZ22" s="5">
        <f>'Economic Variables'!F132</f>
        <v>235.3</v>
      </c>
      <c r="BA22" s="5">
        <f>'Economic Variables'!G132</f>
        <v>238.6</v>
      </c>
      <c r="BB22" s="5">
        <f>'Economic Variables'!H132</f>
        <v>643937</v>
      </c>
      <c r="BC22" s="5">
        <f>'Economic Variables'!I132</f>
        <v>7062</v>
      </c>
      <c r="BD22" s="5">
        <f>'Economic Variables'!J132</f>
        <v>6218.8</v>
      </c>
      <c r="BE22" s="5">
        <f>'Economic Variables'!K132</f>
        <v>480.3</v>
      </c>
      <c r="BF22" s="5">
        <f>'Economic Variables'!L132</f>
        <v>8057.8</v>
      </c>
      <c r="BG22" s="5">
        <f>'Economic Variables'!M132</f>
        <v>27.7</v>
      </c>
      <c r="BH22" s="5">
        <f>'Economic Variables'!N132</f>
        <v>1420.3</v>
      </c>
      <c r="BI22" s="5">
        <f t="shared" si="2"/>
        <v>15119.8</v>
      </c>
      <c r="BJ22" s="5">
        <f>'Economic Variables'!P132</f>
        <v>646366</v>
      </c>
      <c r="BK22" s="5">
        <f>'Economic Variables'!Q132</f>
        <v>7302</v>
      </c>
      <c r="BL22" s="5">
        <f>'Economic Variables'!R132</f>
        <v>7972</v>
      </c>
      <c r="BM22" s="5">
        <f>'Economic Variables'!S132</f>
        <v>3010</v>
      </c>
      <c r="BN22" s="5">
        <f t="shared" si="15"/>
        <v>21</v>
      </c>
      <c r="BO22" s="80">
        <f t="shared" si="3"/>
        <v>1.3222192947339193</v>
      </c>
      <c r="BP22" s="5">
        <f t="shared" si="4"/>
        <v>441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1</v>
      </c>
      <c r="BZ22">
        <v>0</v>
      </c>
      <c r="CA22">
        <v>0</v>
      </c>
      <c r="CB22">
        <v>0</v>
      </c>
      <c r="CC22">
        <f t="shared" si="24"/>
        <v>0</v>
      </c>
      <c r="CD22">
        <f t="shared" si="24"/>
        <v>1</v>
      </c>
      <c r="CE22">
        <f t="shared" si="5"/>
        <v>1</v>
      </c>
      <c r="CF22">
        <v>30</v>
      </c>
      <c r="CG22">
        <v>20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 s="80">
        <f t="shared" si="17"/>
        <v>20.548650844090812</v>
      </c>
      <c r="CZ22" s="78">
        <f t="shared" si="18"/>
        <v>74.565608678121777</v>
      </c>
      <c r="DA22" s="5">
        <f t="shared" si="19"/>
        <v>2102.3306877804789</v>
      </c>
      <c r="DB22" s="5">
        <f t="shared" si="20"/>
        <v>70116.941933657828</v>
      </c>
      <c r="DC22" s="5">
        <f t="shared" si="21"/>
        <v>260055.43570518983</v>
      </c>
      <c r="DD22">
        <f t="shared" si="11"/>
        <v>1401.5537918536527</v>
      </c>
      <c r="DE22">
        <f t="shared" si="22"/>
        <v>46744.627955771888</v>
      </c>
      <c r="DF22">
        <f t="shared" si="23"/>
        <v>173370.29047012655</v>
      </c>
      <c r="DG22" s="19">
        <v>32027</v>
      </c>
      <c r="DH22" s="19">
        <v>3461</v>
      </c>
      <c r="DI22" s="19">
        <v>438</v>
      </c>
      <c r="DJ22" s="19">
        <v>12</v>
      </c>
      <c r="DK22" s="19">
        <v>3</v>
      </c>
    </row>
    <row r="23" spans="1:115" s="2" customFormat="1">
      <c r="A23" s="3">
        <v>41548</v>
      </c>
      <c r="B23">
        <f t="shared" si="25"/>
        <v>2013</v>
      </c>
      <c r="C23" s="2">
        <v>80270888.548999995</v>
      </c>
      <c r="D23" s="2">
        <v>18431250.738898601</v>
      </c>
      <c r="E23" s="2">
        <v>204789.98155829497</v>
      </c>
      <c r="F23" s="2">
        <v>18636040.720456898</v>
      </c>
      <c r="G23" s="2">
        <v>32048</v>
      </c>
      <c r="H23" s="2">
        <v>7624187.9083481003</v>
      </c>
      <c r="I23" s="2">
        <v>140686.21440828397</v>
      </c>
      <c r="J23" s="2">
        <v>7764874.1227563843</v>
      </c>
      <c r="K23" s="2">
        <v>3465</v>
      </c>
      <c r="L23" s="2">
        <v>19591668.2800586</v>
      </c>
      <c r="M23" s="2">
        <f>VLOOKUP('Monthly Data'!B23,'Historic CDM'!$B$111:$J$122,4,FALSE)/12+VLOOKUP('Monthly Data'!B23,'Historic CDM'!$N$111:$V$122,4,FALSE)/12</f>
        <v>562252.85333471454</v>
      </c>
      <c r="N23" s="2">
        <f t="shared" si="14"/>
        <v>20153921.133393314</v>
      </c>
      <c r="O23" s="2">
        <v>50349.106873072029</v>
      </c>
      <c r="P23" s="2">
        <v>433</v>
      </c>
      <c r="Q23" s="2">
        <v>11542877.694800001</v>
      </c>
      <c r="R23" s="2">
        <f>VLOOKUP('Monthly Data'!B23,'Historic CDM'!$B$111:$J$122,5,FALSE)/12+VLOOKUP('Monthly Data'!B23,'Historic CDM'!$N$111:$V$122,5,FALSE)/12</f>
        <v>12609.780985256701</v>
      </c>
      <c r="S23" s="2">
        <f t="shared" si="16"/>
        <v>11555487.475785257</v>
      </c>
      <c r="T23" s="2">
        <v>22329.13176588326</v>
      </c>
      <c r="U23" s="2">
        <v>8</v>
      </c>
      <c r="V23" s="2">
        <v>20100743.083327502</v>
      </c>
      <c r="W23" s="2">
        <f>VLOOKUP('Monthly Data'!B23,'Historic CDM'!$B$111:$J$122,9,FALSE)/12+VLOOKUP('Monthly Data'!B23,'Historic CDM'!$N$111:$V$122,9,FALSE)/12</f>
        <v>45.056430183410413</v>
      </c>
      <c r="X23" s="2">
        <f t="shared" si="1"/>
        <v>20100788.139757685</v>
      </c>
      <c r="Y23" s="2">
        <v>36766.113880467798</v>
      </c>
      <c r="Z23" s="2">
        <v>4</v>
      </c>
      <c r="AA23" s="2">
        <v>846046.41598694935</v>
      </c>
      <c r="AB23" s="2">
        <v>2011.509</v>
      </c>
      <c r="AC23" s="2">
        <v>10038</v>
      </c>
      <c r="AD23" s="2">
        <v>46428.72</v>
      </c>
      <c r="AE23" s="2">
        <v>74.067000000000007</v>
      </c>
      <c r="AF23" s="2">
        <v>422</v>
      </c>
      <c r="AG23" s="2">
        <v>185214.163872</v>
      </c>
      <c r="AH23" s="2">
        <v>261</v>
      </c>
      <c r="AI23">
        <f>Weather!C179</f>
        <v>270.60000000000002</v>
      </c>
      <c r="AJ23">
        <f>Weather!D179</f>
        <v>1.8000000000000007</v>
      </c>
      <c r="AK23">
        <f>Weather!E179</f>
        <v>212.10000000000002</v>
      </c>
      <c r="AL23">
        <f>Weather!F179</f>
        <v>5.3000000000000007</v>
      </c>
      <c r="AM23">
        <f>Weather!G179</f>
        <v>159.09999999999997</v>
      </c>
      <c r="AN23">
        <f>Weather!H179</f>
        <v>14.300000000000004</v>
      </c>
      <c r="AO23">
        <f>Weather!I179</f>
        <v>111.4</v>
      </c>
      <c r="AP23">
        <f>Weather!J179</f>
        <v>28.6</v>
      </c>
      <c r="AQ23">
        <f>Weather!K179</f>
        <v>72.599999999999994</v>
      </c>
      <c r="AR23">
        <f>Weather!L179</f>
        <v>51.800000000000004</v>
      </c>
      <c r="AS23">
        <f>Weather!M179</f>
        <v>43.8</v>
      </c>
      <c r="AT23">
        <f>Weather!N179</f>
        <v>85.000000000000014</v>
      </c>
      <c r="AU23">
        <f>Weather!O179</f>
        <v>22.200000000000003</v>
      </c>
      <c r="AV23">
        <f>Weather!P179</f>
        <v>125.39999999999999</v>
      </c>
      <c r="AW23" s="7">
        <f>Weather!Q179</f>
        <v>11.329032258064519</v>
      </c>
      <c r="AX23" s="5">
        <f>'Economic Variables'!D133</f>
        <v>6820.5</v>
      </c>
      <c r="AY23" s="5">
        <f>'Economic Variables'!E133</f>
        <v>6866.5</v>
      </c>
      <c r="AZ23" s="5">
        <f>'Economic Variables'!F133</f>
        <v>236.4</v>
      </c>
      <c r="BA23" s="5">
        <f>'Economic Variables'!G133</f>
        <v>237.6</v>
      </c>
      <c r="BB23" s="5">
        <f>'Economic Variables'!H133</f>
        <v>643937</v>
      </c>
      <c r="BC23" s="5">
        <f>'Economic Variables'!I133</f>
        <v>7062</v>
      </c>
      <c r="BD23" s="5">
        <f>'Economic Variables'!J133</f>
        <v>6218.8</v>
      </c>
      <c r="BE23" s="5">
        <f>'Economic Variables'!K133</f>
        <v>480.3</v>
      </c>
      <c r="BF23" s="5">
        <f>'Economic Variables'!L133</f>
        <v>8057.8</v>
      </c>
      <c r="BG23" s="5">
        <f>'Economic Variables'!M133</f>
        <v>27.7</v>
      </c>
      <c r="BH23" s="5">
        <f>'Economic Variables'!N133</f>
        <v>1420.3</v>
      </c>
      <c r="BI23" s="5">
        <f t="shared" si="2"/>
        <v>15119.8</v>
      </c>
      <c r="BJ23" s="5">
        <f>'Economic Variables'!P133</f>
        <v>650530</v>
      </c>
      <c r="BK23" s="5">
        <f>'Economic Variables'!Q133</f>
        <v>7224</v>
      </c>
      <c r="BL23" s="5">
        <f>'Economic Variables'!R133</f>
        <v>8172</v>
      </c>
      <c r="BM23" s="5">
        <f>'Economic Variables'!S133</f>
        <v>3010</v>
      </c>
      <c r="BN23" s="5">
        <f t="shared" si="15"/>
        <v>22</v>
      </c>
      <c r="BO23" s="80">
        <f t="shared" si="3"/>
        <v>1.3424226808222062</v>
      </c>
      <c r="BP23" s="5">
        <f t="shared" si="4"/>
        <v>484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1</v>
      </c>
      <c r="CA23">
        <v>0</v>
      </c>
      <c r="CB23">
        <v>0</v>
      </c>
      <c r="CC23">
        <f t="shared" si="24"/>
        <v>0</v>
      </c>
      <c r="CD23">
        <f t="shared" si="24"/>
        <v>1</v>
      </c>
      <c r="CE23">
        <f t="shared" si="5"/>
        <v>1</v>
      </c>
      <c r="CF23">
        <v>31</v>
      </c>
      <c r="CG23">
        <v>22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 s="80">
        <f t="shared" si="17"/>
        <v>18.758194080307863</v>
      </c>
      <c r="CZ23" s="78">
        <f t="shared" si="18"/>
        <v>72.288545573303395</v>
      </c>
      <c r="DA23" s="5">
        <f t="shared" si="19"/>
        <v>2115.6751137301403</v>
      </c>
      <c r="DB23" s="5">
        <f t="shared" si="20"/>
        <v>65656.178839688961</v>
      </c>
      <c r="DC23" s="5">
        <f t="shared" si="21"/>
        <v>228418.04704270096</v>
      </c>
      <c r="DD23">
        <f t="shared" si="11"/>
        <v>1501.4468549052606</v>
      </c>
      <c r="DE23">
        <f t="shared" si="22"/>
        <v>46594.707563650234</v>
      </c>
      <c r="DF23">
        <f t="shared" si="23"/>
        <v>162103.13015933617</v>
      </c>
      <c r="DG23" s="19">
        <v>32048</v>
      </c>
      <c r="DH23" s="19">
        <v>3465</v>
      </c>
      <c r="DI23" s="19">
        <v>431</v>
      </c>
      <c r="DJ23" s="19">
        <v>12</v>
      </c>
      <c r="DK23" s="19">
        <v>3</v>
      </c>
    </row>
    <row r="24" spans="1:115" s="2" customFormat="1">
      <c r="A24" s="3">
        <v>41579</v>
      </c>
      <c r="B24">
        <f t="shared" si="25"/>
        <v>2013</v>
      </c>
      <c r="C24" s="2">
        <v>83040778.136999995</v>
      </c>
      <c r="D24" s="2">
        <v>20094867.911050599</v>
      </c>
      <c r="E24" s="2">
        <v>204789.98155829497</v>
      </c>
      <c r="F24" s="2">
        <v>20299657.892608896</v>
      </c>
      <c r="G24" s="2">
        <v>32075</v>
      </c>
      <c r="H24" s="2">
        <v>8301454.1564874994</v>
      </c>
      <c r="I24" s="2">
        <v>140686.21440828397</v>
      </c>
      <c r="J24" s="2">
        <v>8442140.3708957825</v>
      </c>
      <c r="K24" s="2">
        <v>3490</v>
      </c>
      <c r="L24" s="2">
        <v>18149612.876798</v>
      </c>
      <c r="M24" s="2">
        <f>VLOOKUP('Monthly Data'!B24,'Historic CDM'!$B$111:$J$122,4,FALSE)/12+VLOOKUP('Monthly Data'!B24,'Historic CDM'!$N$111:$V$122,4,FALSE)/12</f>
        <v>562252.85333471454</v>
      </c>
      <c r="N24" s="2">
        <f t="shared" si="14"/>
        <v>18711865.730132714</v>
      </c>
      <c r="O24" s="2">
        <v>49753.170135823646</v>
      </c>
      <c r="P24" s="2">
        <v>405</v>
      </c>
      <c r="Q24" s="2">
        <v>10877651.866600003</v>
      </c>
      <c r="R24" s="2">
        <f>VLOOKUP('Monthly Data'!B24,'Historic CDM'!$B$111:$J$122,5,FALSE)/12+VLOOKUP('Monthly Data'!B24,'Historic CDM'!$N$111:$V$122,5,FALSE)/12</f>
        <v>12609.780985256701</v>
      </c>
      <c r="S24" s="2">
        <f t="shared" si="16"/>
        <v>10890261.64758526</v>
      </c>
      <c r="T24" s="2">
        <v>21040.478199072681</v>
      </c>
      <c r="U24" s="2">
        <v>8</v>
      </c>
      <c r="V24" s="2">
        <v>21017386.884892501</v>
      </c>
      <c r="W24" s="2">
        <f>VLOOKUP('Monthly Data'!B24,'Historic CDM'!$B$111:$J$122,9,FALSE)/12+VLOOKUP('Monthly Data'!B24,'Historic CDM'!$N$111:$V$122,9,FALSE)/12</f>
        <v>45.056430183410413</v>
      </c>
      <c r="X24" s="2">
        <f t="shared" si="1"/>
        <v>21017431.941322684</v>
      </c>
      <c r="Y24" s="2">
        <v>35382.303483329124</v>
      </c>
      <c r="Z24" s="2">
        <v>4</v>
      </c>
      <c r="AA24" s="2">
        <v>898479.57412916224</v>
      </c>
      <c r="AB24" s="2">
        <v>2009.65</v>
      </c>
      <c r="AC24" s="2">
        <v>10040</v>
      </c>
      <c r="AD24" s="2">
        <v>44880.12</v>
      </c>
      <c r="AE24" s="2">
        <v>100.76</v>
      </c>
      <c r="AF24" s="2">
        <v>425</v>
      </c>
      <c r="AG24" s="2">
        <v>179167.03618200001</v>
      </c>
      <c r="AH24" s="2">
        <v>261</v>
      </c>
      <c r="AI24">
        <f>Weather!C180</f>
        <v>525.70000000000005</v>
      </c>
      <c r="AJ24">
        <f>Weather!D180</f>
        <v>0</v>
      </c>
      <c r="AK24">
        <f>Weather!E180</f>
        <v>465.7</v>
      </c>
      <c r="AL24">
        <f>Weather!F180</f>
        <v>0</v>
      </c>
      <c r="AM24">
        <f>Weather!G180</f>
        <v>405.7</v>
      </c>
      <c r="AN24">
        <f>Weather!H180</f>
        <v>0</v>
      </c>
      <c r="AO24">
        <f>Weather!I180</f>
        <v>345.70000000000005</v>
      </c>
      <c r="AP24">
        <f>Weather!J180</f>
        <v>0</v>
      </c>
      <c r="AQ24">
        <f>Weather!K180</f>
        <v>286.40000000000003</v>
      </c>
      <c r="AR24">
        <f>Weather!L180</f>
        <v>0.69999999999999929</v>
      </c>
      <c r="AS24">
        <f>Weather!M180</f>
        <v>230.00000000000006</v>
      </c>
      <c r="AT24">
        <f>Weather!N180</f>
        <v>4.2999999999999989</v>
      </c>
      <c r="AU24">
        <f>Weather!O180</f>
        <v>176.5</v>
      </c>
      <c r="AV24">
        <f>Weather!P180</f>
        <v>10.799999999999999</v>
      </c>
      <c r="AW24" s="7">
        <f>Weather!Q180</f>
        <v>2.4766666666666661</v>
      </c>
      <c r="AX24" s="5">
        <f>'Economic Variables'!D134</f>
        <v>6822</v>
      </c>
      <c r="AY24" s="5">
        <f>'Economic Variables'!E134</f>
        <v>6838.5</v>
      </c>
      <c r="AZ24" s="5">
        <f>'Economic Variables'!F134</f>
        <v>236.8</v>
      </c>
      <c r="BA24" s="5">
        <f>'Economic Variables'!G134</f>
        <v>236.7</v>
      </c>
      <c r="BB24" s="5">
        <f>'Economic Variables'!H134</f>
        <v>643937</v>
      </c>
      <c r="BC24" s="5">
        <f>'Economic Variables'!I134</f>
        <v>7062</v>
      </c>
      <c r="BD24" s="5">
        <f>'Economic Variables'!J134</f>
        <v>6218.8</v>
      </c>
      <c r="BE24" s="5">
        <f>'Economic Variables'!K134</f>
        <v>480.3</v>
      </c>
      <c r="BF24" s="5">
        <f>'Economic Variables'!L134</f>
        <v>8057.8</v>
      </c>
      <c r="BG24" s="5">
        <f>'Economic Variables'!M134</f>
        <v>27.7</v>
      </c>
      <c r="BH24" s="5">
        <f>'Economic Variables'!N134</f>
        <v>1420.3</v>
      </c>
      <c r="BI24" s="5">
        <f t="shared" si="2"/>
        <v>15119.8</v>
      </c>
      <c r="BJ24" s="5">
        <f>'Economic Variables'!P134</f>
        <v>650530</v>
      </c>
      <c r="BK24" s="5">
        <f>'Economic Variables'!Q134</f>
        <v>7224</v>
      </c>
      <c r="BL24" s="5">
        <f>'Economic Variables'!R134</f>
        <v>8172</v>
      </c>
      <c r="BM24" s="5">
        <f>'Economic Variables'!S134</f>
        <v>3010</v>
      </c>
      <c r="BN24" s="5">
        <f t="shared" si="15"/>
        <v>23</v>
      </c>
      <c r="BO24" s="80">
        <f t="shared" si="3"/>
        <v>1.3617278360175928</v>
      </c>
      <c r="BP24" s="5">
        <f t="shared" si="4"/>
        <v>529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1</v>
      </c>
      <c r="CB24">
        <v>0</v>
      </c>
      <c r="CC24">
        <f t="shared" si="24"/>
        <v>0</v>
      </c>
      <c r="CD24">
        <f t="shared" si="24"/>
        <v>0</v>
      </c>
      <c r="CE24">
        <f t="shared" si="5"/>
        <v>0</v>
      </c>
      <c r="CF24">
        <v>30</v>
      </c>
      <c r="CG24">
        <v>21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 s="80">
        <f t="shared" si="17"/>
        <v>21.096033143786851</v>
      </c>
      <c r="CZ24" s="78">
        <f t="shared" si="18"/>
        <v>80.631713189071476</v>
      </c>
      <c r="DA24" s="5">
        <f t="shared" si="19"/>
        <v>2200.1017907269506</v>
      </c>
      <c r="DB24" s="5">
        <f t="shared" si="20"/>
        <v>64822.985997531308</v>
      </c>
      <c r="DC24" s="5">
        <f t="shared" si="21"/>
        <v>250207.52311098433</v>
      </c>
      <c r="DD24">
        <f t="shared" si="11"/>
        <v>1540.0712535088655</v>
      </c>
      <c r="DE24">
        <f t="shared" si="22"/>
        <v>45376.090198271915</v>
      </c>
      <c r="DF24">
        <f t="shared" si="23"/>
        <v>175145.26617768905</v>
      </c>
      <c r="DG24" s="19">
        <v>32075</v>
      </c>
      <c r="DH24" s="19">
        <v>3490</v>
      </c>
      <c r="DI24" s="19">
        <v>403</v>
      </c>
      <c r="DJ24" s="19">
        <v>12</v>
      </c>
      <c r="DK24" s="19">
        <v>3</v>
      </c>
    </row>
    <row r="25" spans="1:115" s="2" customFormat="1">
      <c r="A25" s="3">
        <v>41609</v>
      </c>
      <c r="B25">
        <f t="shared" si="25"/>
        <v>2013</v>
      </c>
      <c r="C25" s="2">
        <v>91281560.551749989</v>
      </c>
      <c r="D25" s="2">
        <v>23656857.3782879</v>
      </c>
      <c r="E25" s="2">
        <v>204789.98155829497</v>
      </c>
      <c r="F25" s="2">
        <v>23861647.359846197</v>
      </c>
      <c r="G25" s="2">
        <v>32074</v>
      </c>
      <c r="H25" s="2">
        <v>9475201.3974430002</v>
      </c>
      <c r="I25" s="2">
        <v>140686.21440828397</v>
      </c>
      <c r="J25" s="2">
        <v>9615887.6118512843</v>
      </c>
      <c r="K25" s="2">
        <v>3498</v>
      </c>
      <c r="L25" s="2">
        <v>20640118.030435998</v>
      </c>
      <c r="M25" s="2">
        <f>VLOOKUP('Monthly Data'!B25,'Historic CDM'!$B$111:$J$122,4,FALSE)/12+VLOOKUP('Monthly Data'!B25,'Historic CDM'!$N$111:$V$122,4,FALSE)/12</f>
        <v>562252.85333471454</v>
      </c>
      <c r="N25" s="2">
        <f t="shared" si="14"/>
        <v>21202370.883770712</v>
      </c>
      <c r="O25" s="2">
        <v>58734.020629790299</v>
      </c>
      <c r="P25" s="2">
        <v>399</v>
      </c>
      <c r="Q25" s="2">
        <v>10616466.140000001</v>
      </c>
      <c r="R25" s="2">
        <f>VLOOKUP('Monthly Data'!B25,'Historic CDM'!$B$111:$J$122,5,FALSE)/12+VLOOKUP('Monthly Data'!B25,'Historic CDM'!$N$111:$V$122,5,FALSE)/12</f>
        <v>12609.780985256701</v>
      </c>
      <c r="S25" s="2">
        <f t="shared" si="16"/>
        <v>10629075.920985257</v>
      </c>
      <c r="T25" s="2">
        <v>21066.529782661379</v>
      </c>
      <c r="U25" s="2">
        <v>8</v>
      </c>
      <c r="V25" s="2">
        <v>22772201.752327498</v>
      </c>
      <c r="W25" s="2">
        <f>VLOOKUP('Monthly Data'!B25,'Historic CDM'!$B$111:$J$122,9,FALSE)/12+VLOOKUP('Monthly Data'!B25,'Historic CDM'!$N$111:$V$122,9,FALSE)/12</f>
        <v>45.056430183410413</v>
      </c>
      <c r="X25" s="2">
        <f t="shared" si="1"/>
        <v>22772246.808757681</v>
      </c>
      <c r="Y25" s="2">
        <v>37289.233079999998</v>
      </c>
      <c r="Z25" s="2">
        <v>4</v>
      </c>
      <c r="AA25" s="2">
        <v>975683</v>
      </c>
      <c r="AB25" s="2">
        <v>1999.623</v>
      </c>
      <c r="AC25" s="2">
        <v>10043</v>
      </c>
      <c r="AD25" s="2">
        <v>46129.8</v>
      </c>
      <c r="AE25" s="2">
        <v>161.33700000000002</v>
      </c>
      <c r="AF25" s="2">
        <v>423</v>
      </c>
      <c r="AG25" s="2">
        <v>185788.99872140001</v>
      </c>
      <c r="AH25" s="2">
        <v>261</v>
      </c>
      <c r="AI25">
        <f>Weather!C181</f>
        <v>735.59999999999991</v>
      </c>
      <c r="AJ25">
        <f>Weather!D181</f>
        <v>0</v>
      </c>
      <c r="AK25">
        <f>Weather!E181</f>
        <v>673.6</v>
      </c>
      <c r="AL25">
        <f>Weather!F181</f>
        <v>0</v>
      </c>
      <c r="AM25">
        <f>Weather!G181</f>
        <v>611.59999999999991</v>
      </c>
      <c r="AN25">
        <f>Weather!H181</f>
        <v>0</v>
      </c>
      <c r="AO25">
        <f>Weather!I181</f>
        <v>549.6</v>
      </c>
      <c r="AP25">
        <f>Weather!J181</f>
        <v>0</v>
      </c>
      <c r="AQ25">
        <f>Weather!K181</f>
        <v>487.59999999999991</v>
      </c>
      <c r="AR25">
        <f>Weather!L181</f>
        <v>0</v>
      </c>
      <c r="AS25">
        <f>Weather!M181</f>
        <v>425.59999999999997</v>
      </c>
      <c r="AT25">
        <f>Weather!N181</f>
        <v>0</v>
      </c>
      <c r="AU25">
        <f>Weather!O181</f>
        <v>363.59999999999997</v>
      </c>
      <c r="AV25">
        <f>Weather!P181</f>
        <v>0</v>
      </c>
      <c r="AW25" s="7">
        <f>Weather!Q181</f>
        <v>-3.7290322580645165</v>
      </c>
      <c r="AX25" s="5">
        <f>'Economic Variables'!D135</f>
        <v>6816.6</v>
      </c>
      <c r="AY25" s="5">
        <f>'Economic Variables'!E135</f>
        <v>6818.9</v>
      </c>
      <c r="AZ25" s="5">
        <f>'Economic Variables'!F135</f>
        <v>236.4</v>
      </c>
      <c r="BA25" s="5">
        <f>'Economic Variables'!G135</f>
        <v>236.2</v>
      </c>
      <c r="BB25" s="5">
        <f>'Economic Variables'!H135</f>
        <v>643937</v>
      </c>
      <c r="BC25" s="5">
        <f>'Economic Variables'!I135</f>
        <v>7062</v>
      </c>
      <c r="BD25" s="5">
        <f>'Economic Variables'!J135</f>
        <v>6218.8</v>
      </c>
      <c r="BE25" s="5">
        <f>'Economic Variables'!K135</f>
        <v>480.3</v>
      </c>
      <c r="BF25" s="5">
        <f>'Economic Variables'!L135</f>
        <v>8057.8</v>
      </c>
      <c r="BG25" s="5">
        <f>'Economic Variables'!M135</f>
        <v>27.7</v>
      </c>
      <c r="BH25" s="5">
        <f>'Economic Variables'!N135</f>
        <v>1420.3</v>
      </c>
      <c r="BI25" s="5">
        <f t="shared" si="2"/>
        <v>15119.8</v>
      </c>
      <c r="BJ25" s="5">
        <f>'Economic Variables'!P135</f>
        <v>650530</v>
      </c>
      <c r="BK25" s="5">
        <f>'Economic Variables'!Q135</f>
        <v>7224</v>
      </c>
      <c r="BL25" s="5">
        <f>'Economic Variables'!R135</f>
        <v>8172</v>
      </c>
      <c r="BM25" s="5">
        <f>'Economic Variables'!S135</f>
        <v>3010</v>
      </c>
      <c r="BN25" s="5">
        <f t="shared" si="15"/>
        <v>24</v>
      </c>
      <c r="BO25" s="80">
        <f t="shared" si="3"/>
        <v>1.3802112417116059</v>
      </c>
      <c r="BP25" s="5">
        <f t="shared" si="4"/>
        <v>576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1</v>
      </c>
      <c r="CC25">
        <f t="shared" si="24"/>
        <v>0</v>
      </c>
      <c r="CD25">
        <f t="shared" si="24"/>
        <v>0</v>
      </c>
      <c r="CE25">
        <f t="shared" si="5"/>
        <v>0</v>
      </c>
      <c r="CF25">
        <v>31</v>
      </c>
      <c r="CG25">
        <v>20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 s="80">
        <f t="shared" si="17"/>
        <v>23.998583276019165</v>
      </c>
      <c r="CZ25" s="78">
        <f t="shared" si="18"/>
        <v>88.676364483403276</v>
      </c>
      <c r="DA25" s="5">
        <f t="shared" si="19"/>
        <v>2656.9387072394375</v>
      </c>
      <c r="DB25" s="5">
        <f t="shared" si="20"/>
        <v>66431.724506157858</v>
      </c>
      <c r="DC25" s="5">
        <f t="shared" si="21"/>
        <v>284653.08510947099</v>
      </c>
      <c r="DD25">
        <f t="shared" si="11"/>
        <v>1714.1540046706048</v>
      </c>
      <c r="DE25">
        <f t="shared" si="22"/>
        <v>42859.177100747002</v>
      </c>
      <c r="DF25">
        <f t="shared" si="23"/>
        <v>183647.15168352969</v>
      </c>
      <c r="DG25" s="19">
        <v>32074</v>
      </c>
      <c r="DH25" s="19">
        <v>3498</v>
      </c>
      <c r="DI25" s="19">
        <v>397</v>
      </c>
      <c r="DJ25" s="19">
        <v>12</v>
      </c>
      <c r="DK25" s="19">
        <v>3</v>
      </c>
    </row>
    <row r="26" spans="1:115" s="2" customFormat="1">
      <c r="A26" s="3">
        <v>41640</v>
      </c>
      <c r="B26">
        <f t="shared" si="25"/>
        <v>2014</v>
      </c>
      <c r="C26" s="2">
        <v>93963933.787750006</v>
      </c>
      <c r="D26" s="2">
        <v>25087387.026440799</v>
      </c>
      <c r="E26" s="2">
        <v>305815.26701710728</v>
      </c>
      <c r="F26" s="2">
        <v>25393202.293457907</v>
      </c>
      <c r="G26" s="2">
        <v>32110</v>
      </c>
      <c r="H26" s="2">
        <v>10134926.110759199</v>
      </c>
      <c r="I26" s="2">
        <v>195110.46150033991</v>
      </c>
      <c r="J26" s="2">
        <v>10330036.572259538</v>
      </c>
      <c r="K26" s="2">
        <v>3495</v>
      </c>
      <c r="L26" s="2">
        <v>20721453.816361099</v>
      </c>
      <c r="M26" s="2">
        <f>VLOOKUP('Monthly Data'!B26,'Historic CDM'!$B$111:$J$122,4,FALSE)/12+VLOOKUP('Monthly Data'!B26,'Historic CDM'!$N$111:$V$122,4,FALSE)/12</f>
        <v>685579.11125792738</v>
      </c>
      <c r="N26" s="2">
        <f t="shared" si="14"/>
        <v>21407032.927619025</v>
      </c>
      <c r="O26" s="2">
        <v>47507.120160290346</v>
      </c>
      <c r="P26" s="2">
        <v>405</v>
      </c>
      <c r="Q26" s="2">
        <v>11134528.382600002</v>
      </c>
      <c r="R26" s="2">
        <f>VLOOKUP('Monthly Data'!B26,'Historic CDM'!$B$111:$J$122,5,FALSE)/12+VLOOKUP('Monthly Data'!B26,'Historic CDM'!$N$111:$V$122,5,FALSE)/12</f>
        <v>47618.784636705954</v>
      </c>
      <c r="S26" s="2">
        <f t="shared" si="16"/>
        <v>11182147.167236708</v>
      </c>
      <c r="T26" s="2">
        <v>21008.010250993357</v>
      </c>
      <c r="U26" s="2">
        <v>8</v>
      </c>
      <c r="V26" s="2">
        <v>21422725.0362675</v>
      </c>
      <c r="W26" s="2">
        <f>VLOOKUP('Monthly Data'!B26,'Historic CDM'!$B$111:$J$122,9,FALSE)/12+VLOOKUP('Monthly Data'!B26,'Historic CDM'!$N$111:$V$122,9,FALSE)/12</f>
        <v>7456.5920864781201</v>
      </c>
      <c r="X26" s="2">
        <f t="shared" si="1"/>
        <v>21430181.628353979</v>
      </c>
      <c r="Y26" s="2">
        <v>34858.00182150428</v>
      </c>
      <c r="Z26" s="2">
        <v>4</v>
      </c>
      <c r="AA26" s="2">
        <v>956902.93887342873</v>
      </c>
      <c r="AB26" s="2">
        <v>2031.605</v>
      </c>
      <c r="AC26" s="2">
        <v>10050</v>
      </c>
      <c r="AD26" s="2">
        <v>45921.72</v>
      </c>
      <c r="AE26" s="2">
        <v>54.9</v>
      </c>
      <c r="AF26" s="2">
        <v>422</v>
      </c>
      <c r="AG26" s="2">
        <v>188202.7378992</v>
      </c>
      <c r="AH26" s="2">
        <v>262</v>
      </c>
      <c r="AI26">
        <f>Weather!C182</f>
        <v>888.3</v>
      </c>
      <c r="AJ26">
        <f>Weather!D182</f>
        <v>0</v>
      </c>
      <c r="AK26">
        <f>Weather!E182</f>
        <v>826.30000000000007</v>
      </c>
      <c r="AL26">
        <f>Weather!F182</f>
        <v>0</v>
      </c>
      <c r="AM26">
        <f>Weather!G182</f>
        <v>764.30000000000007</v>
      </c>
      <c r="AN26">
        <f>Weather!H182</f>
        <v>0</v>
      </c>
      <c r="AO26">
        <f>Weather!I182</f>
        <v>702.30000000000007</v>
      </c>
      <c r="AP26">
        <f>Weather!J182</f>
        <v>0</v>
      </c>
      <c r="AQ26">
        <f>Weather!K182</f>
        <v>640.30000000000007</v>
      </c>
      <c r="AR26">
        <f>Weather!L182</f>
        <v>0</v>
      </c>
      <c r="AS26">
        <f>Weather!M182</f>
        <v>578.30000000000007</v>
      </c>
      <c r="AT26">
        <f>Weather!N182</f>
        <v>0</v>
      </c>
      <c r="AU26">
        <f>Weather!O182</f>
        <v>516.30000000000018</v>
      </c>
      <c r="AV26">
        <f>Weather!P182</f>
        <v>0</v>
      </c>
      <c r="AW26" s="7">
        <f>Weather!Q182</f>
        <v>-8.6548387096774189</v>
      </c>
      <c r="AX26" s="5">
        <f>'Economic Variables'!D136</f>
        <v>6812.5</v>
      </c>
      <c r="AY26" s="5">
        <f>'Economic Variables'!E136</f>
        <v>6770.4</v>
      </c>
      <c r="AZ26" s="5">
        <f>'Economic Variables'!F136</f>
        <v>234.3</v>
      </c>
      <c r="BA26" s="5">
        <f>'Economic Variables'!G136</f>
        <v>233.3</v>
      </c>
      <c r="BB26" s="5">
        <f>'Economic Variables'!H136</f>
        <v>659861.19999999995</v>
      </c>
      <c r="BC26" s="5">
        <f>'Economic Variables'!I136</f>
        <v>6909.5</v>
      </c>
      <c r="BD26" s="5">
        <f>'Economic Variables'!J136</f>
        <v>6116</v>
      </c>
      <c r="BE26" s="5">
        <f>'Economic Variables'!K136</f>
        <v>413.5</v>
      </c>
      <c r="BF26" s="5">
        <f>'Economic Variables'!L136</f>
        <v>7819.1</v>
      </c>
      <c r="BG26" s="5">
        <f>'Economic Variables'!M136</f>
        <v>24.9</v>
      </c>
      <c r="BH26" s="5">
        <f>'Economic Variables'!N136</f>
        <v>1060.5</v>
      </c>
      <c r="BI26" s="5">
        <f t="shared" si="2"/>
        <v>14728.6</v>
      </c>
      <c r="BJ26" s="5">
        <f>'Economic Variables'!P136</f>
        <v>650799</v>
      </c>
      <c r="BK26" s="5">
        <f>'Economic Variables'!Q136</f>
        <v>6998</v>
      </c>
      <c r="BL26" s="5">
        <f>'Economic Variables'!R136</f>
        <v>8285</v>
      </c>
      <c r="BM26" s="5">
        <f>'Economic Variables'!S136</f>
        <v>3358</v>
      </c>
      <c r="BN26" s="5">
        <f t="shared" si="15"/>
        <v>25</v>
      </c>
      <c r="BO26" s="80">
        <f t="shared" si="3"/>
        <v>1.3979400086720377</v>
      </c>
      <c r="BP26" s="5">
        <f t="shared" si="4"/>
        <v>625</v>
      </c>
      <c r="BQ26">
        <v>1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f t="shared" si="24"/>
        <v>0</v>
      </c>
      <c r="CD26">
        <f t="shared" si="24"/>
        <v>0</v>
      </c>
      <c r="CE26">
        <f t="shared" si="5"/>
        <v>0</v>
      </c>
      <c r="CF26">
        <v>31</v>
      </c>
      <c r="CG26">
        <v>22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 s="80">
        <f t="shared" si="17"/>
        <v>25.510294545421392</v>
      </c>
      <c r="CZ26" s="78">
        <f t="shared" si="18"/>
        <v>95.343915937602461</v>
      </c>
      <c r="DA26" s="5">
        <f t="shared" si="19"/>
        <v>2402.5850648281735</v>
      </c>
      <c r="DB26" s="5">
        <f t="shared" si="20"/>
        <v>63534.927086572206</v>
      </c>
      <c r="DC26" s="5">
        <f t="shared" si="21"/>
        <v>243524.79123129521</v>
      </c>
      <c r="DD26">
        <f t="shared" si="11"/>
        <v>1705.0603685877361</v>
      </c>
      <c r="DE26">
        <f t="shared" si="22"/>
        <v>45089.303093696406</v>
      </c>
      <c r="DF26">
        <f t="shared" si="23"/>
        <v>172824.04538995144</v>
      </c>
      <c r="DG26" s="19">
        <v>32110</v>
      </c>
      <c r="DH26" s="19">
        <v>3495</v>
      </c>
      <c r="DI26" s="19">
        <v>403</v>
      </c>
      <c r="DJ26" s="19">
        <v>12</v>
      </c>
      <c r="DK26" s="19">
        <v>3</v>
      </c>
    </row>
    <row r="27" spans="1:115" s="2" customFormat="1">
      <c r="A27" s="3">
        <v>41671</v>
      </c>
      <c r="B27">
        <f t="shared" si="25"/>
        <v>2014</v>
      </c>
      <c r="C27" s="2">
        <v>84646027.708000004</v>
      </c>
      <c r="D27" s="2">
        <v>21580463.5511567</v>
      </c>
      <c r="E27" s="2">
        <v>305815.26701710728</v>
      </c>
      <c r="F27" s="2">
        <v>21886278.818173807</v>
      </c>
      <c r="G27" s="2">
        <v>32109</v>
      </c>
      <c r="H27" s="2">
        <v>9147737.9230269995</v>
      </c>
      <c r="I27" s="2">
        <v>195110.46150033991</v>
      </c>
      <c r="J27" s="2">
        <v>9342848.3845273387</v>
      </c>
      <c r="K27" s="2">
        <v>3496</v>
      </c>
      <c r="L27" s="2">
        <v>19217176.955367599</v>
      </c>
      <c r="M27" s="2">
        <f>VLOOKUP('Monthly Data'!B27,'Historic CDM'!$B$111:$J$122,4,FALSE)/12+VLOOKUP('Monthly Data'!B27,'Historic CDM'!$N$111:$V$122,4,FALSE)/12</f>
        <v>685579.11125792738</v>
      </c>
      <c r="N27" s="2">
        <f t="shared" si="14"/>
        <v>19902756.066625524</v>
      </c>
      <c r="O27" s="2">
        <v>56296.678735679052</v>
      </c>
      <c r="P27" s="2">
        <v>405</v>
      </c>
      <c r="Q27" s="2">
        <v>9811433.1171999983</v>
      </c>
      <c r="R27" s="2">
        <f>VLOOKUP('Monthly Data'!B27,'Historic CDM'!$B$111:$J$122,5,FALSE)/12+VLOOKUP('Monthly Data'!B27,'Historic CDM'!$N$111:$V$122,5,FALSE)/12</f>
        <v>47618.784636705954</v>
      </c>
      <c r="S27" s="2">
        <f t="shared" si="16"/>
        <v>9859051.9018367045</v>
      </c>
      <c r="T27" s="2">
        <v>20749.026268812253</v>
      </c>
      <c r="U27" s="2">
        <v>8</v>
      </c>
      <c r="V27" s="2">
        <v>20756859.292124998</v>
      </c>
      <c r="W27" s="2">
        <f>VLOOKUP('Monthly Data'!B27,'Historic CDM'!$B$111:$J$122,9,FALSE)/12+VLOOKUP('Monthly Data'!B27,'Historic CDM'!$N$111:$V$122,9,FALSE)/12</f>
        <v>7456.5920864781201</v>
      </c>
      <c r="X27" s="2">
        <f t="shared" si="1"/>
        <v>20764315.884211477</v>
      </c>
      <c r="Y27" s="2">
        <v>37569.042244097051</v>
      </c>
      <c r="Z27" s="2">
        <v>4</v>
      </c>
      <c r="AA27" s="2">
        <v>780223.9708281355</v>
      </c>
      <c r="AB27" s="2">
        <v>1981.4</v>
      </c>
      <c r="AC27" s="2">
        <v>10053</v>
      </c>
      <c r="AD27" s="2">
        <v>41338.080000000002</v>
      </c>
      <c r="AE27" s="2">
        <v>156.55700000000002</v>
      </c>
      <c r="AF27" s="2">
        <v>422</v>
      </c>
      <c r="AG27" s="2">
        <v>175660.91712960001</v>
      </c>
      <c r="AH27" s="2">
        <v>262</v>
      </c>
      <c r="AI27">
        <f>Weather!C183</f>
        <v>819.7</v>
      </c>
      <c r="AJ27">
        <f>Weather!D183</f>
        <v>0</v>
      </c>
      <c r="AK27">
        <f>Weather!E183</f>
        <v>763.7</v>
      </c>
      <c r="AL27">
        <f>Weather!F183</f>
        <v>0</v>
      </c>
      <c r="AM27">
        <f>Weather!G183</f>
        <v>707.7</v>
      </c>
      <c r="AN27">
        <f>Weather!H183</f>
        <v>0</v>
      </c>
      <c r="AO27">
        <f>Weather!I183</f>
        <v>651.70000000000005</v>
      </c>
      <c r="AP27">
        <f>Weather!J183</f>
        <v>0</v>
      </c>
      <c r="AQ27">
        <f>Weather!K183</f>
        <v>595.70000000000005</v>
      </c>
      <c r="AR27">
        <f>Weather!L183</f>
        <v>0</v>
      </c>
      <c r="AS27">
        <f>Weather!M183</f>
        <v>539.70000000000005</v>
      </c>
      <c r="AT27">
        <f>Weather!N183</f>
        <v>0</v>
      </c>
      <c r="AU27">
        <f>Weather!O183</f>
        <v>483.7</v>
      </c>
      <c r="AV27">
        <f>Weather!P183</f>
        <v>0</v>
      </c>
      <c r="AW27" s="7">
        <f>Weather!Q183</f>
        <v>-9.2750000000000004</v>
      </c>
      <c r="AX27" s="5">
        <f>'Economic Variables'!D137</f>
        <v>6810.3</v>
      </c>
      <c r="AY27" s="5">
        <f>'Economic Variables'!E137</f>
        <v>6732.3</v>
      </c>
      <c r="AZ27" s="5">
        <f>'Economic Variables'!F137</f>
        <v>235.2</v>
      </c>
      <c r="BA27" s="5">
        <f>'Economic Variables'!G137</f>
        <v>231.5</v>
      </c>
      <c r="BB27" s="5">
        <f>'Economic Variables'!H137</f>
        <v>659861.19999999995</v>
      </c>
      <c r="BC27" s="5">
        <f>'Economic Variables'!I137</f>
        <v>6909.5</v>
      </c>
      <c r="BD27" s="5">
        <f>'Economic Variables'!J137</f>
        <v>6116</v>
      </c>
      <c r="BE27" s="5">
        <f>'Economic Variables'!K137</f>
        <v>413.5</v>
      </c>
      <c r="BF27" s="5">
        <f>'Economic Variables'!L137</f>
        <v>7819.1</v>
      </c>
      <c r="BG27" s="5">
        <f>'Economic Variables'!M137</f>
        <v>24.9</v>
      </c>
      <c r="BH27" s="5">
        <f>'Economic Variables'!N137</f>
        <v>1060.5</v>
      </c>
      <c r="BI27" s="5">
        <f t="shared" si="2"/>
        <v>14728.6</v>
      </c>
      <c r="BJ27" s="5">
        <f>'Economic Variables'!P137</f>
        <v>650799</v>
      </c>
      <c r="BK27" s="5">
        <f>'Economic Variables'!Q137</f>
        <v>6998</v>
      </c>
      <c r="BL27" s="5">
        <f>'Economic Variables'!R137</f>
        <v>8285</v>
      </c>
      <c r="BM27" s="5">
        <f>'Economic Variables'!S137</f>
        <v>3358</v>
      </c>
      <c r="BN27" s="5">
        <f t="shared" si="15"/>
        <v>26</v>
      </c>
      <c r="BO27" s="80">
        <f t="shared" si="3"/>
        <v>1.414973347970818</v>
      </c>
      <c r="BP27" s="5">
        <f t="shared" si="4"/>
        <v>676</v>
      </c>
      <c r="BQ27">
        <v>0</v>
      </c>
      <c r="BR27">
        <v>1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f t="shared" si="24"/>
        <v>0</v>
      </c>
      <c r="CD27">
        <f t="shared" si="24"/>
        <v>0</v>
      </c>
      <c r="CE27">
        <f t="shared" si="5"/>
        <v>0</v>
      </c>
      <c r="CF27">
        <v>28</v>
      </c>
      <c r="CG27">
        <v>19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 s="80">
        <f t="shared" si="17"/>
        <v>24.34372963763365</v>
      </c>
      <c r="CZ27" s="78">
        <f t="shared" si="18"/>
        <v>95.444266759228285</v>
      </c>
      <c r="DA27" s="5">
        <f t="shared" si="19"/>
        <v>2586.4530301007831</v>
      </c>
      <c r="DB27" s="5">
        <f t="shared" si="20"/>
        <v>64862.18356471516</v>
      </c>
      <c r="DC27" s="5">
        <f t="shared" si="21"/>
        <v>273214.6826869931</v>
      </c>
      <c r="DD27">
        <f t="shared" si="11"/>
        <v>1755.0931275683884</v>
      </c>
      <c r="DE27">
        <f t="shared" si="22"/>
        <v>44013.624561771001</v>
      </c>
      <c r="DF27">
        <f t="shared" si="23"/>
        <v>185395.67753760246</v>
      </c>
      <c r="DG27" s="19">
        <v>32109</v>
      </c>
      <c r="DH27" s="19">
        <v>3496</v>
      </c>
      <c r="DI27" s="19">
        <v>403</v>
      </c>
      <c r="DJ27" s="19">
        <v>12</v>
      </c>
      <c r="DK27" s="19">
        <v>3</v>
      </c>
    </row>
    <row r="28" spans="1:115" s="2" customFormat="1">
      <c r="A28" s="3">
        <v>41699</v>
      </c>
      <c r="B28">
        <f t="shared" si="25"/>
        <v>2014</v>
      </c>
      <c r="C28" s="2">
        <v>88980961.518000007</v>
      </c>
      <c r="D28" s="2">
        <v>21820067.259066403</v>
      </c>
      <c r="E28" s="2">
        <v>305815.26701710728</v>
      </c>
      <c r="F28" s="2">
        <v>22125882.52608351</v>
      </c>
      <c r="G28" s="2">
        <v>32119</v>
      </c>
      <c r="H28" s="2">
        <v>9635035.1650783997</v>
      </c>
      <c r="I28" s="2">
        <v>195110.46150033991</v>
      </c>
      <c r="J28" s="2">
        <v>9830145.6265787389</v>
      </c>
      <c r="K28" s="2">
        <v>3494</v>
      </c>
      <c r="L28" s="2">
        <v>21129294.339058802</v>
      </c>
      <c r="M28" s="2">
        <f>VLOOKUP('Monthly Data'!B28,'Historic CDM'!$B$111:$J$122,4,FALSE)/12+VLOOKUP('Monthly Data'!B28,'Historic CDM'!$N$111:$V$122,4,FALSE)/12</f>
        <v>685579.11125792738</v>
      </c>
      <c r="N28" s="2">
        <f t="shared" si="14"/>
        <v>21814873.450316727</v>
      </c>
      <c r="O28" s="2">
        <v>46960.067098541978</v>
      </c>
      <c r="P28" s="2">
        <v>406</v>
      </c>
      <c r="Q28" s="2">
        <v>11161381.6362</v>
      </c>
      <c r="R28" s="2">
        <f>VLOOKUP('Monthly Data'!B28,'Historic CDM'!$B$111:$J$122,5,FALSE)/12+VLOOKUP('Monthly Data'!B28,'Historic CDM'!$N$111:$V$122,5,FALSE)/12</f>
        <v>47618.784636705954</v>
      </c>
      <c r="S28" s="2">
        <f t="shared" si="16"/>
        <v>11209000.420836706</v>
      </c>
      <c r="T28" s="2">
        <v>20687.519612914475</v>
      </c>
      <c r="U28" s="2">
        <v>8</v>
      </c>
      <c r="V28" s="2">
        <v>21688269.199987501</v>
      </c>
      <c r="W28" s="2">
        <f>VLOOKUP('Monthly Data'!B28,'Historic CDM'!$B$111:$J$122,9,FALSE)/12+VLOOKUP('Monthly Data'!B28,'Historic CDM'!$N$111:$V$122,9,FALSE)/12</f>
        <v>7456.5920864781201</v>
      </c>
      <c r="X28" s="2">
        <f t="shared" si="1"/>
        <v>21695725.79207398</v>
      </c>
      <c r="Y28" s="2">
        <v>40282.181101949762</v>
      </c>
      <c r="Z28" s="2">
        <v>4</v>
      </c>
      <c r="AA28" s="2">
        <v>756250.07197006035</v>
      </c>
      <c r="AB28" s="2">
        <v>1945.9</v>
      </c>
      <c r="AC28" s="2">
        <v>10048</v>
      </c>
      <c r="AD28" s="2">
        <v>45706.32</v>
      </c>
      <c r="AE28" s="2">
        <v>57.79</v>
      </c>
      <c r="AF28" s="2">
        <v>419</v>
      </c>
      <c r="AG28" s="2">
        <v>186237.59817320001</v>
      </c>
      <c r="AH28" s="2">
        <v>262</v>
      </c>
      <c r="AI28">
        <f>Weather!C184</f>
        <v>747.30000000000007</v>
      </c>
      <c r="AJ28">
        <f>Weather!D184</f>
        <v>0</v>
      </c>
      <c r="AK28">
        <f>Weather!E184</f>
        <v>685.30000000000007</v>
      </c>
      <c r="AL28">
        <f>Weather!F184</f>
        <v>0</v>
      </c>
      <c r="AM28">
        <f>Weather!G184</f>
        <v>623.30000000000007</v>
      </c>
      <c r="AN28">
        <f>Weather!H184</f>
        <v>0</v>
      </c>
      <c r="AO28">
        <f>Weather!I184</f>
        <v>561.30000000000007</v>
      </c>
      <c r="AP28">
        <f>Weather!J184</f>
        <v>0</v>
      </c>
      <c r="AQ28">
        <f>Weather!K184</f>
        <v>499.29999999999995</v>
      </c>
      <c r="AR28">
        <f>Weather!L184</f>
        <v>0</v>
      </c>
      <c r="AS28">
        <f>Weather!M184</f>
        <v>437.29999999999995</v>
      </c>
      <c r="AT28">
        <f>Weather!N184</f>
        <v>0</v>
      </c>
      <c r="AU28">
        <f>Weather!O184</f>
        <v>375.29999999999995</v>
      </c>
      <c r="AV28">
        <f>Weather!P184</f>
        <v>0</v>
      </c>
      <c r="AW28" s="7">
        <f>Weather!Q184</f>
        <v>-4.1064516129032258</v>
      </c>
      <c r="AX28" s="5">
        <f>'Economic Variables'!D138</f>
        <v>6810.9</v>
      </c>
      <c r="AY28" s="5">
        <f>'Economic Variables'!E138</f>
        <v>6704.5</v>
      </c>
      <c r="AZ28" s="5">
        <f>'Economic Variables'!F138</f>
        <v>235.6</v>
      </c>
      <c r="BA28" s="5">
        <f>'Economic Variables'!G138</f>
        <v>230.4</v>
      </c>
      <c r="BB28" s="5">
        <f>'Economic Variables'!H138</f>
        <v>659861.19999999995</v>
      </c>
      <c r="BC28" s="5">
        <f>'Economic Variables'!I138</f>
        <v>6909.5</v>
      </c>
      <c r="BD28" s="5">
        <f>'Economic Variables'!J138</f>
        <v>6116</v>
      </c>
      <c r="BE28" s="5">
        <f>'Economic Variables'!K138</f>
        <v>413.5</v>
      </c>
      <c r="BF28" s="5">
        <f>'Economic Variables'!L138</f>
        <v>7819.1</v>
      </c>
      <c r="BG28" s="5">
        <f>'Economic Variables'!M138</f>
        <v>24.9</v>
      </c>
      <c r="BH28" s="5">
        <f>'Economic Variables'!N138</f>
        <v>1060.5</v>
      </c>
      <c r="BI28" s="5">
        <f t="shared" si="2"/>
        <v>14728.6</v>
      </c>
      <c r="BJ28" s="5">
        <f>'Economic Variables'!P138</f>
        <v>650799</v>
      </c>
      <c r="BK28" s="5">
        <f>'Economic Variables'!Q138</f>
        <v>6998</v>
      </c>
      <c r="BL28" s="5">
        <f>'Economic Variables'!R138</f>
        <v>8285</v>
      </c>
      <c r="BM28" s="5">
        <f>'Economic Variables'!S138</f>
        <v>3358</v>
      </c>
      <c r="BN28" s="5">
        <f t="shared" si="15"/>
        <v>27</v>
      </c>
      <c r="BO28" s="80">
        <f t="shared" si="3"/>
        <v>1.4313637641589874</v>
      </c>
      <c r="BP28" s="5">
        <f t="shared" si="4"/>
        <v>729</v>
      </c>
      <c r="BQ28">
        <v>0</v>
      </c>
      <c r="BR28">
        <v>0</v>
      </c>
      <c r="BS28">
        <v>1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f t="shared" si="24"/>
        <v>1</v>
      </c>
      <c r="CD28">
        <f t="shared" si="24"/>
        <v>0</v>
      </c>
      <c r="CE28">
        <f t="shared" si="5"/>
        <v>1</v>
      </c>
      <c r="CF28">
        <v>31</v>
      </c>
      <c r="CG28">
        <v>21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 s="80">
        <f t="shared" si="17"/>
        <v>22.221680189379928</v>
      </c>
      <c r="CZ28" s="78">
        <f t="shared" si="18"/>
        <v>90.756002239588042</v>
      </c>
      <c r="DA28" s="5">
        <f t="shared" si="19"/>
        <v>2558.6293045175612</v>
      </c>
      <c r="DB28" s="5">
        <f t="shared" si="20"/>
        <v>66720.240600218487</v>
      </c>
      <c r="DC28" s="5">
        <f t="shared" si="21"/>
        <v>258282.44990564263</v>
      </c>
      <c r="DD28">
        <f t="shared" si="11"/>
        <v>1733.2650127377028</v>
      </c>
      <c r="DE28">
        <f t="shared" si="22"/>
        <v>45197.582342083493</v>
      </c>
      <c r="DF28">
        <f t="shared" si="23"/>
        <v>174965.53058124176</v>
      </c>
      <c r="DG28" s="19">
        <v>32119</v>
      </c>
      <c r="DH28" s="19">
        <v>3494</v>
      </c>
      <c r="DI28" s="19">
        <v>404</v>
      </c>
      <c r="DJ28" s="19">
        <v>12</v>
      </c>
      <c r="DK28" s="19">
        <v>3</v>
      </c>
    </row>
    <row r="29" spans="1:115" s="2" customFormat="1">
      <c r="A29" s="3">
        <v>41730</v>
      </c>
      <c r="B29">
        <f t="shared" si="25"/>
        <v>2014</v>
      </c>
      <c r="C29" s="2">
        <v>79483425.366750002</v>
      </c>
      <c r="D29" s="2">
        <v>17541878.681637499</v>
      </c>
      <c r="E29" s="2">
        <v>305815.26701710728</v>
      </c>
      <c r="F29" s="2">
        <v>17847693.948654607</v>
      </c>
      <c r="G29" s="2">
        <v>32110</v>
      </c>
      <c r="H29" s="2">
        <v>7806476.4706138</v>
      </c>
      <c r="I29" s="2">
        <v>195110.46150033991</v>
      </c>
      <c r="J29" s="2">
        <v>8001586.9321141401</v>
      </c>
      <c r="K29" s="2">
        <v>3500</v>
      </c>
      <c r="L29" s="2">
        <v>17568699.738950498</v>
      </c>
      <c r="M29" s="2">
        <f>VLOOKUP('Monthly Data'!B29,'Historic CDM'!$B$111:$J$122,4,FALSE)/12+VLOOKUP('Monthly Data'!B29,'Historic CDM'!$N$111:$V$122,4,FALSE)/12</f>
        <v>685579.11125792738</v>
      </c>
      <c r="N29" s="2">
        <f t="shared" si="14"/>
        <v>18254278.850208424</v>
      </c>
      <c r="O29" s="2">
        <v>58745.80811878611</v>
      </c>
      <c r="P29" s="2">
        <v>402</v>
      </c>
      <c r="Q29" s="2">
        <v>11124214.424399998</v>
      </c>
      <c r="R29" s="2">
        <f>VLOOKUP('Monthly Data'!B29,'Historic CDM'!$B$111:$J$122,5,FALSE)/12+VLOOKUP('Monthly Data'!B29,'Historic CDM'!$N$111:$V$122,5,FALSE)/12</f>
        <v>47618.784636705954</v>
      </c>
      <c r="S29" s="2">
        <f t="shared" si="16"/>
        <v>11171833.209036704</v>
      </c>
      <c r="T29" s="2">
        <v>21441.585486405747</v>
      </c>
      <c r="U29" s="2">
        <v>8</v>
      </c>
      <c r="V29" s="2">
        <v>22082359.812727496</v>
      </c>
      <c r="W29" s="2">
        <f>VLOOKUP('Monthly Data'!B29,'Historic CDM'!$B$111:$J$122,9,FALSE)/12+VLOOKUP('Monthly Data'!B29,'Historic CDM'!$N$111:$V$122,9,FALSE)/12</f>
        <v>7456.5920864781201</v>
      </c>
      <c r="X29" s="2">
        <f t="shared" si="1"/>
        <v>22089816.404813975</v>
      </c>
      <c r="Y29" s="2">
        <v>40483.902236163311</v>
      </c>
      <c r="Z29" s="2">
        <v>4</v>
      </c>
      <c r="AA29" s="2">
        <v>637633.24057192204</v>
      </c>
      <c r="AB29" s="2">
        <v>1936.9</v>
      </c>
      <c r="AC29" s="2">
        <v>10054</v>
      </c>
      <c r="AD29" s="2">
        <v>44150.400000000001</v>
      </c>
      <c r="AE29" s="2">
        <v>156.29700000000003</v>
      </c>
      <c r="AF29" s="2">
        <v>419</v>
      </c>
      <c r="AG29" s="2">
        <v>180229.933716</v>
      </c>
      <c r="AH29" s="2">
        <v>262</v>
      </c>
      <c r="AI29">
        <f>Weather!C185</f>
        <v>405.19999999999987</v>
      </c>
      <c r="AJ29">
        <f>Weather!D185</f>
        <v>0</v>
      </c>
      <c r="AK29">
        <f>Weather!E185</f>
        <v>345.2</v>
      </c>
      <c r="AL29">
        <f>Weather!F185</f>
        <v>0</v>
      </c>
      <c r="AM29">
        <f>Weather!G185</f>
        <v>285.2</v>
      </c>
      <c r="AN29">
        <f>Weather!H185</f>
        <v>0</v>
      </c>
      <c r="AO29">
        <f>Weather!I185</f>
        <v>226.79999999999998</v>
      </c>
      <c r="AP29">
        <f>Weather!J185</f>
        <v>1.5999999999999996</v>
      </c>
      <c r="AQ29">
        <f>Weather!K185</f>
        <v>171.99999999999997</v>
      </c>
      <c r="AR29">
        <f>Weather!L185</f>
        <v>6.7999999999999989</v>
      </c>
      <c r="AS29">
        <f>Weather!M185</f>
        <v>121.80000000000001</v>
      </c>
      <c r="AT29">
        <f>Weather!N185</f>
        <v>16.599999999999998</v>
      </c>
      <c r="AU29">
        <f>Weather!O185</f>
        <v>80.600000000000009</v>
      </c>
      <c r="AV29">
        <f>Weather!P185</f>
        <v>35.400000000000006</v>
      </c>
      <c r="AW29" s="7">
        <f>Weather!Q185</f>
        <v>6.4933333333333341</v>
      </c>
      <c r="AX29" s="5">
        <f>'Economic Variables'!D139</f>
        <v>6819.5</v>
      </c>
      <c r="AY29" s="5">
        <f>'Economic Variables'!E139</f>
        <v>6732.1</v>
      </c>
      <c r="AZ29" s="5">
        <f>'Economic Variables'!F139</f>
        <v>237.7</v>
      </c>
      <c r="BA29" s="5">
        <f>'Economic Variables'!G139</f>
        <v>232.8</v>
      </c>
      <c r="BB29" s="5">
        <f>'Economic Variables'!H139</f>
        <v>659861.19999999995</v>
      </c>
      <c r="BC29" s="5">
        <f>'Economic Variables'!I139</f>
        <v>6909.5</v>
      </c>
      <c r="BD29" s="5">
        <f>'Economic Variables'!J139</f>
        <v>6116</v>
      </c>
      <c r="BE29" s="5">
        <f>'Economic Variables'!K139</f>
        <v>413.5</v>
      </c>
      <c r="BF29" s="5">
        <f>'Economic Variables'!L139</f>
        <v>7819.1</v>
      </c>
      <c r="BG29" s="5">
        <f>'Economic Variables'!M139</f>
        <v>24.9</v>
      </c>
      <c r="BH29" s="5">
        <f>'Economic Variables'!N139</f>
        <v>1060.5</v>
      </c>
      <c r="BI29" s="5">
        <f t="shared" si="2"/>
        <v>14728.6</v>
      </c>
      <c r="BJ29" s="5">
        <f>'Economic Variables'!P139</f>
        <v>657234</v>
      </c>
      <c r="BK29" s="5">
        <f>'Economic Variables'!Q139</f>
        <v>6811</v>
      </c>
      <c r="BL29" s="5">
        <f>'Economic Variables'!R139</f>
        <v>7887</v>
      </c>
      <c r="BM29" s="5">
        <f>'Economic Variables'!S139</f>
        <v>3340</v>
      </c>
      <c r="BN29" s="5">
        <f t="shared" si="15"/>
        <v>28</v>
      </c>
      <c r="BO29" s="80">
        <f t="shared" si="3"/>
        <v>1.4471580313422192</v>
      </c>
      <c r="BP29" s="5">
        <f t="shared" si="4"/>
        <v>784</v>
      </c>
      <c r="BQ29">
        <v>0</v>
      </c>
      <c r="BR29">
        <v>0</v>
      </c>
      <c r="BS29">
        <v>0</v>
      </c>
      <c r="BT29">
        <v>1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f t="shared" si="24"/>
        <v>1</v>
      </c>
      <c r="CD29">
        <f t="shared" si="24"/>
        <v>0</v>
      </c>
      <c r="CE29">
        <f t="shared" si="5"/>
        <v>1</v>
      </c>
      <c r="CF29">
        <v>30</v>
      </c>
      <c r="CG29">
        <v>20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 s="80">
        <f t="shared" si="17"/>
        <v>18.527659035248217</v>
      </c>
      <c r="CZ29" s="78">
        <f t="shared" si="18"/>
        <v>76.205589829658479</v>
      </c>
      <c r="DA29" s="5">
        <f t="shared" si="19"/>
        <v>2270.4326928119931</v>
      </c>
      <c r="DB29" s="5">
        <f t="shared" si="20"/>
        <v>69823.957556479407</v>
      </c>
      <c r="DC29" s="5">
        <f t="shared" si="21"/>
        <v>276122.70506017469</v>
      </c>
      <c r="DD29">
        <f t="shared" si="11"/>
        <v>1513.6217952079953</v>
      </c>
      <c r="DE29">
        <f t="shared" si="22"/>
        <v>46549.305037652935</v>
      </c>
      <c r="DF29">
        <f t="shared" si="23"/>
        <v>184081.8033734498</v>
      </c>
      <c r="DG29" s="19">
        <v>32110</v>
      </c>
      <c r="DH29" s="19">
        <v>3500</v>
      </c>
      <c r="DI29" s="19">
        <v>400</v>
      </c>
      <c r="DJ29" s="19">
        <v>12</v>
      </c>
      <c r="DK29" s="19">
        <v>3</v>
      </c>
    </row>
    <row r="30" spans="1:115" s="2" customFormat="1">
      <c r="A30" s="3">
        <v>41760</v>
      </c>
      <c r="B30">
        <f t="shared" si="25"/>
        <v>2014</v>
      </c>
      <c r="C30" s="2">
        <v>80848012.960000008</v>
      </c>
      <c r="D30" s="2">
        <v>17515947.318022802</v>
      </c>
      <c r="E30" s="2">
        <v>305815.26701710728</v>
      </c>
      <c r="F30" s="2">
        <v>17821762.58503991</v>
      </c>
      <c r="G30" s="2">
        <v>32097</v>
      </c>
      <c r="H30" s="2">
        <v>7699723.5692166993</v>
      </c>
      <c r="I30" s="2">
        <v>195110.46150033991</v>
      </c>
      <c r="J30" s="2">
        <v>7894834.0307170395</v>
      </c>
      <c r="K30" s="2">
        <v>3495</v>
      </c>
      <c r="L30" s="2">
        <v>16574339.4228472</v>
      </c>
      <c r="M30" s="2">
        <f>VLOOKUP('Monthly Data'!B30,'Historic CDM'!$B$111:$J$122,4,FALSE)/12+VLOOKUP('Monthly Data'!B30,'Historic CDM'!$N$111:$V$122,4,FALSE)/12</f>
        <v>685579.11125792738</v>
      </c>
      <c r="N30" s="2">
        <f t="shared" si="14"/>
        <v>17259918.534105126</v>
      </c>
      <c r="O30" s="2">
        <v>52213.002582367022</v>
      </c>
      <c r="P30" s="2">
        <v>393</v>
      </c>
      <c r="Q30" s="2">
        <v>11759391.851799998</v>
      </c>
      <c r="R30" s="2">
        <f>VLOOKUP('Monthly Data'!B30,'Historic CDM'!$B$111:$J$122,5,FALSE)/12+VLOOKUP('Monthly Data'!B30,'Historic CDM'!$N$111:$V$122,5,FALSE)/12</f>
        <v>47618.784636705954</v>
      </c>
      <c r="S30" s="2">
        <f t="shared" si="16"/>
        <v>11807010.636436705</v>
      </c>
      <c r="T30" s="2">
        <v>22241.295822500593</v>
      </c>
      <c r="U30" s="2">
        <v>8</v>
      </c>
      <c r="V30" s="2">
        <v>22961527.110720001</v>
      </c>
      <c r="W30" s="2">
        <f>VLOOKUP('Monthly Data'!B30,'Historic CDM'!$B$111:$J$122,9,FALSE)/12+VLOOKUP('Monthly Data'!B30,'Historic CDM'!$N$111:$V$122,9,FALSE)/12</f>
        <v>7456.5920864781201</v>
      </c>
      <c r="X30" s="2">
        <f t="shared" si="1"/>
        <v>22968983.70280648</v>
      </c>
      <c r="Y30" s="2">
        <v>36651.552215950796</v>
      </c>
      <c r="Z30" s="2">
        <v>4</v>
      </c>
      <c r="AA30" s="2">
        <v>576138.27847615385</v>
      </c>
      <c r="AB30" s="2">
        <v>1919.7</v>
      </c>
      <c r="AC30" s="2">
        <v>10056</v>
      </c>
      <c r="AD30" s="2">
        <v>45632.160000000003</v>
      </c>
      <c r="AE30" s="2">
        <v>98.850000000000009</v>
      </c>
      <c r="AF30" s="2">
        <v>418</v>
      </c>
      <c r="AG30" s="2">
        <v>186237.59817320001</v>
      </c>
      <c r="AH30" s="2">
        <v>262</v>
      </c>
      <c r="AI30">
        <f>Weather!C186</f>
        <v>214.49999999999994</v>
      </c>
      <c r="AJ30">
        <f>Weather!D186</f>
        <v>4.7000000000000028</v>
      </c>
      <c r="AK30">
        <f>Weather!E186</f>
        <v>160.89999999999998</v>
      </c>
      <c r="AL30">
        <f>Weather!F186</f>
        <v>13.100000000000001</v>
      </c>
      <c r="AM30">
        <f>Weather!G186</f>
        <v>113.3</v>
      </c>
      <c r="AN30">
        <f>Weather!H186</f>
        <v>27.500000000000004</v>
      </c>
      <c r="AO30">
        <f>Weather!I186</f>
        <v>74.099999999999994</v>
      </c>
      <c r="AP30">
        <f>Weather!J186</f>
        <v>50.300000000000004</v>
      </c>
      <c r="AQ30">
        <f>Weather!K186</f>
        <v>40.600000000000009</v>
      </c>
      <c r="AR30">
        <f>Weather!L186</f>
        <v>78.800000000000011</v>
      </c>
      <c r="AS30">
        <f>Weather!M186</f>
        <v>19.3</v>
      </c>
      <c r="AT30">
        <f>Weather!N186</f>
        <v>119.50000000000003</v>
      </c>
      <c r="AU30">
        <f>Weather!O186</f>
        <v>8.9</v>
      </c>
      <c r="AV30">
        <f>Weather!P186</f>
        <v>171.10000000000002</v>
      </c>
      <c r="AW30" s="7">
        <f>Weather!Q186</f>
        <v>13.232258064516129</v>
      </c>
      <c r="AX30" s="5">
        <f>'Economic Variables'!D140</f>
        <v>6821.5</v>
      </c>
      <c r="AY30" s="5">
        <f>'Economic Variables'!E140</f>
        <v>6790.3</v>
      </c>
      <c r="AZ30" s="5">
        <f>'Economic Variables'!F140</f>
        <v>239.3</v>
      </c>
      <c r="BA30" s="5">
        <f>'Economic Variables'!G140</f>
        <v>236.9</v>
      </c>
      <c r="BB30" s="5">
        <f>'Economic Variables'!H140</f>
        <v>659861.19999999995</v>
      </c>
      <c r="BC30" s="5">
        <f>'Economic Variables'!I140</f>
        <v>6909.5</v>
      </c>
      <c r="BD30" s="5">
        <f>'Economic Variables'!J140</f>
        <v>6116</v>
      </c>
      <c r="BE30" s="5">
        <f>'Economic Variables'!K140</f>
        <v>413.5</v>
      </c>
      <c r="BF30" s="5">
        <f>'Economic Variables'!L140</f>
        <v>7819.1</v>
      </c>
      <c r="BG30" s="5">
        <f>'Economic Variables'!M140</f>
        <v>24.9</v>
      </c>
      <c r="BH30" s="5">
        <f>'Economic Variables'!N140</f>
        <v>1060.5</v>
      </c>
      <c r="BI30" s="5">
        <f t="shared" si="2"/>
        <v>14728.6</v>
      </c>
      <c r="BJ30" s="5">
        <f>'Economic Variables'!P140</f>
        <v>657234</v>
      </c>
      <c r="BK30" s="5">
        <f>'Economic Variables'!Q140</f>
        <v>6811</v>
      </c>
      <c r="BL30" s="5">
        <f>'Economic Variables'!R140</f>
        <v>7887</v>
      </c>
      <c r="BM30" s="5">
        <f>'Economic Variables'!S140</f>
        <v>3340</v>
      </c>
      <c r="BN30" s="5">
        <f t="shared" si="15"/>
        <v>29</v>
      </c>
      <c r="BO30" s="80">
        <f t="shared" si="3"/>
        <v>1.4623979978989561</v>
      </c>
      <c r="BP30" s="5">
        <f t="shared" si="4"/>
        <v>841</v>
      </c>
      <c r="BQ30">
        <v>0</v>
      </c>
      <c r="BR30">
        <v>0</v>
      </c>
      <c r="BS30">
        <v>0</v>
      </c>
      <c r="BT30">
        <v>0</v>
      </c>
      <c r="BU30">
        <v>1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f t="shared" ref="CC30:CD49" si="26">CC18</f>
        <v>1</v>
      </c>
      <c r="CD30">
        <f t="shared" si="26"/>
        <v>0</v>
      </c>
      <c r="CE30">
        <f t="shared" si="5"/>
        <v>1</v>
      </c>
      <c r="CF30">
        <v>31</v>
      </c>
      <c r="CG30">
        <v>22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 s="80">
        <f t="shared" si="17"/>
        <v>17.911193172550455</v>
      </c>
      <c r="CZ30" s="78">
        <f t="shared" si="18"/>
        <v>72.867543778827255</v>
      </c>
      <c r="DA30" s="5">
        <f t="shared" si="19"/>
        <v>1996.2894441481756</v>
      </c>
      <c r="DB30" s="5">
        <f t="shared" si="20"/>
        <v>67085.287707026728</v>
      </c>
      <c r="DC30" s="5">
        <f t="shared" si="21"/>
        <v>261011.17844098274</v>
      </c>
      <c r="DD30">
        <f t="shared" si="11"/>
        <v>1416.7215410083827</v>
      </c>
      <c r="DE30">
        <f t="shared" si="22"/>
        <v>47608.913856599618</v>
      </c>
      <c r="DF30">
        <f t="shared" si="23"/>
        <v>185233.73953876193</v>
      </c>
      <c r="DG30" s="19">
        <v>32097</v>
      </c>
      <c r="DH30" s="19">
        <v>3495</v>
      </c>
      <c r="DI30" s="19">
        <v>391</v>
      </c>
      <c r="DJ30" s="19">
        <v>12</v>
      </c>
      <c r="DK30" s="19">
        <v>3</v>
      </c>
    </row>
    <row r="31" spans="1:115" s="2" customFormat="1">
      <c r="A31" s="3">
        <v>41791</v>
      </c>
      <c r="B31">
        <f t="shared" si="25"/>
        <v>2014</v>
      </c>
      <c r="C31" s="2">
        <v>83617939.782499999</v>
      </c>
      <c r="D31" s="2">
        <v>20692599.102671701</v>
      </c>
      <c r="E31" s="2">
        <v>305815.26701710728</v>
      </c>
      <c r="F31" s="2">
        <v>20998414.369688809</v>
      </c>
      <c r="G31" s="2">
        <v>32115</v>
      </c>
      <c r="H31" s="2">
        <v>8465573.0889771003</v>
      </c>
      <c r="I31" s="2">
        <v>195110.46150033991</v>
      </c>
      <c r="J31" s="2">
        <v>8660683.5504774395</v>
      </c>
      <c r="K31" s="2">
        <v>3492</v>
      </c>
      <c r="L31" s="2">
        <v>17975103.6857736</v>
      </c>
      <c r="M31" s="2">
        <f>VLOOKUP('Monthly Data'!B31,'Historic CDM'!$B$111:$J$122,4,FALSE)/12+VLOOKUP('Monthly Data'!B31,'Historic CDM'!$N$111:$V$122,4,FALSE)/12</f>
        <v>685579.11125792738</v>
      </c>
      <c r="N31" s="2">
        <f t="shared" si="14"/>
        <v>18660682.797031526</v>
      </c>
      <c r="O31" s="2">
        <v>57006.146096800279</v>
      </c>
      <c r="P31" s="2">
        <v>393</v>
      </c>
      <c r="Q31" s="2">
        <v>11032581.547000002</v>
      </c>
      <c r="R31" s="2">
        <f>VLOOKUP('Monthly Data'!B31,'Historic CDM'!$B$111:$J$122,5,FALSE)/12+VLOOKUP('Monthly Data'!B31,'Historic CDM'!$N$111:$V$122,5,FALSE)/12</f>
        <v>47618.784636705954</v>
      </c>
      <c r="S31" s="2">
        <f t="shared" si="16"/>
        <v>11080200.331636708</v>
      </c>
      <c r="T31" s="2">
        <v>24114.634044922113</v>
      </c>
      <c r="U31" s="2">
        <v>8</v>
      </c>
      <c r="V31" s="2">
        <v>21076115.402677499</v>
      </c>
      <c r="W31" s="2">
        <f>VLOOKUP('Monthly Data'!B31,'Historic CDM'!$B$111:$J$122,9,FALSE)/12+VLOOKUP('Monthly Data'!B31,'Historic CDM'!$N$111:$V$122,9,FALSE)/12</f>
        <v>7456.5920864781201</v>
      </c>
      <c r="X31" s="2">
        <f t="shared" si="1"/>
        <v>21083571.994763978</v>
      </c>
      <c r="Y31" s="2">
        <v>37020.549273857512</v>
      </c>
      <c r="Z31" s="2">
        <v>4</v>
      </c>
      <c r="AA31" s="2">
        <v>509178.19786968618</v>
      </c>
      <c r="AB31" s="2">
        <v>1885.1</v>
      </c>
      <c r="AC31" s="2">
        <v>10056</v>
      </c>
      <c r="AD31" s="2">
        <v>44117.64</v>
      </c>
      <c r="AE31" s="2">
        <v>117.72699999999999</v>
      </c>
      <c r="AF31" s="2">
        <v>418</v>
      </c>
      <c r="AG31" s="2">
        <v>180229.933716</v>
      </c>
      <c r="AH31" s="2">
        <v>262</v>
      </c>
      <c r="AI31">
        <f>Weather!C187</f>
        <v>69</v>
      </c>
      <c r="AJ31">
        <f>Weather!D187</f>
        <v>31.1</v>
      </c>
      <c r="AK31">
        <f>Weather!E187</f>
        <v>38.399999999999991</v>
      </c>
      <c r="AL31">
        <f>Weather!F187</f>
        <v>60.5</v>
      </c>
      <c r="AM31">
        <f>Weather!G187</f>
        <v>14.400000000000002</v>
      </c>
      <c r="AN31">
        <f>Weather!H187</f>
        <v>96.499999999999986</v>
      </c>
      <c r="AO31">
        <f>Weather!I187</f>
        <v>3.3000000000000007</v>
      </c>
      <c r="AP31">
        <f>Weather!J187</f>
        <v>145.4</v>
      </c>
      <c r="AQ31">
        <f>Weather!K187</f>
        <v>0</v>
      </c>
      <c r="AR31">
        <f>Weather!L187</f>
        <v>202.10000000000002</v>
      </c>
      <c r="AS31">
        <f>Weather!M187</f>
        <v>0</v>
      </c>
      <c r="AT31">
        <f>Weather!N187</f>
        <v>262.10000000000008</v>
      </c>
      <c r="AU31">
        <f>Weather!O187</f>
        <v>0</v>
      </c>
      <c r="AV31">
        <f>Weather!P187</f>
        <v>322.10000000000008</v>
      </c>
      <c r="AW31" s="7">
        <f>Weather!Q187</f>
        <v>18.736666666666668</v>
      </c>
      <c r="AX31" s="5">
        <f>'Economic Variables'!D141</f>
        <v>6826.1</v>
      </c>
      <c r="AY31" s="5">
        <f>'Economic Variables'!E141</f>
        <v>6875.4</v>
      </c>
      <c r="AZ31" s="5">
        <f>'Economic Variables'!F141</f>
        <v>239.3</v>
      </c>
      <c r="BA31" s="5">
        <f>'Economic Variables'!G141</f>
        <v>241.6</v>
      </c>
      <c r="BB31" s="5">
        <f>'Economic Variables'!H141</f>
        <v>659861.19999999995</v>
      </c>
      <c r="BC31" s="5">
        <f>'Economic Variables'!I141</f>
        <v>6909.5</v>
      </c>
      <c r="BD31" s="5">
        <f>'Economic Variables'!J141</f>
        <v>6116</v>
      </c>
      <c r="BE31" s="5">
        <f>'Economic Variables'!K141</f>
        <v>413.5</v>
      </c>
      <c r="BF31" s="5">
        <f>'Economic Variables'!L141</f>
        <v>7819.1</v>
      </c>
      <c r="BG31" s="5">
        <f>'Economic Variables'!M141</f>
        <v>24.9</v>
      </c>
      <c r="BH31" s="5">
        <f>'Economic Variables'!N141</f>
        <v>1060.5</v>
      </c>
      <c r="BI31" s="5">
        <f t="shared" si="2"/>
        <v>14728.6</v>
      </c>
      <c r="BJ31" s="5">
        <f>'Economic Variables'!P141</f>
        <v>657234</v>
      </c>
      <c r="BK31" s="5">
        <f>'Economic Variables'!Q141</f>
        <v>6811</v>
      </c>
      <c r="BL31" s="5">
        <f>'Economic Variables'!R141</f>
        <v>7887</v>
      </c>
      <c r="BM31" s="5">
        <f>'Economic Variables'!S141</f>
        <v>3340</v>
      </c>
      <c r="BN31" s="5">
        <f t="shared" si="15"/>
        <v>30</v>
      </c>
      <c r="BO31" s="80">
        <f t="shared" si="3"/>
        <v>1.4771212547196624</v>
      </c>
      <c r="BP31" s="5">
        <f t="shared" si="4"/>
        <v>900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1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f t="shared" si="26"/>
        <v>0</v>
      </c>
      <c r="CD31">
        <f t="shared" si="26"/>
        <v>0</v>
      </c>
      <c r="CE31">
        <f t="shared" si="5"/>
        <v>0</v>
      </c>
      <c r="CF31">
        <v>30</v>
      </c>
      <c r="CG31">
        <v>21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 s="80">
        <f t="shared" si="17"/>
        <v>21.795022439865907</v>
      </c>
      <c r="CZ31" s="78">
        <f t="shared" si="18"/>
        <v>82.671664284817112</v>
      </c>
      <c r="DA31" s="5">
        <f t="shared" si="19"/>
        <v>2261.0787346457682</v>
      </c>
      <c r="DB31" s="5">
        <f t="shared" si="20"/>
        <v>65953.573402599461</v>
      </c>
      <c r="DC31" s="5">
        <f t="shared" si="21"/>
        <v>250994.90469957117</v>
      </c>
      <c r="DD31">
        <f t="shared" si="11"/>
        <v>1582.7551142520376</v>
      </c>
      <c r="DE31">
        <f t="shared" si="22"/>
        <v>46167.501381819617</v>
      </c>
      <c r="DF31">
        <f t="shared" si="23"/>
        <v>175696.43328969981</v>
      </c>
      <c r="DG31" s="19">
        <v>32115</v>
      </c>
      <c r="DH31" s="19">
        <v>3492</v>
      </c>
      <c r="DI31" s="19">
        <v>391</v>
      </c>
      <c r="DJ31" s="19">
        <v>12</v>
      </c>
      <c r="DK31" s="19">
        <v>3</v>
      </c>
    </row>
    <row r="32" spans="1:115" s="2" customFormat="1">
      <c r="A32" s="3">
        <v>41821</v>
      </c>
      <c r="B32">
        <f t="shared" si="25"/>
        <v>2014</v>
      </c>
      <c r="C32" s="2">
        <v>89907914.561499998</v>
      </c>
      <c r="D32" s="2">
        <v>22781064.732587799</v>
      </c>
      <c r="E32" s="2">
        <v>305815.26701710728</v>
      </c>
      <c r="F32" s="2">
        <v>23086879.999604907</v>
      </c>
      <c r="G32" s="2">
        <v>32144</v>
      </c>
      <c r="H32" s="2">
        <v>8777669.4860967994</v>
      </c>
      <c r="I32" s="2">
        <v>195110.46150033991</v>
      </c>
      <c r="J32" s="2">
        <v>8972779.9475971386</v>
      </c>
      <c r="K32" s="2">
        <v>3482</v>
      </c>
      <c r="L32" s="2">
        <v>19760020.465885401</v>
      </c>
      <c r="M32" s="2">
        <f>VLOOKUP('Monthly Data'!B32,'Historic CDM'!$B$111:$J$122,4,FALSE)/12+VLOOKUP('Monthly Data'!B32,'Historic CDM'!$N$111:$V$122,4,FALSE)/12</f>
        <v>685579.11125792738</v>
      </c>
      <c r="N32" s="2">
        <f t="shared" si="14"/>
        <v>20445599.577143326</v>
      </c>
      <c r="O32" s="2">
        <v>51160.908492594215</v>
      </c>
      <c r="P32" s="2">
        <v>395</v>
      </c>
      <c r="Q32" s="2">
        <v>11680210.054799998</v>
      </c>
      <c r="R32" s="2">
        <f>VLOOKUP('Monthly Data'!B32,'Historic CDM'!$B$111:$J$122,5,FALSE)/12+VLOOKUP('Monthly Data'!B32,'Historic CDM'!$N$111:$V$122,5,FALSE)/12</f>
        <v>47618.784636705954</v>
      </c>
      <c r="S32" s="2">
        <f t="shared" si="16"/>
        <v>11727828.839436704</v>
      </c>
      <c r="T32" s="2">
        <v>23811.485404763793</v>
      </c>
      <c r="U32" s="2">
        <v>8</v>
      </c>
      <c r="V32" s="2">
        <v>23317462.389127497</v>
      </c>
      <c r="W32" s="2">
        <f>VLOOKUP('Monthly Data'!B32,'Historic CDM'!$B$111:$J$122,9,FALSE)/12+VLOOKUP('Monthly Data'!B32,'Historic CDM'!$N$111:$V$122,9,FALSE)/12</f>
        <v>7456.5920864781201</v>
      </c>
      <c r="X32" s="2">
        <f t="shared" si="1"/>
        <v>23324918.981213976</v>
      </c>
      <c r="Y32" s="2">
        <v>41001.169696091536</v>
      </c>
      <c r="Z32" s="2">
        <v>4</v>
      </c>
      <c r="AA32" s="2">
        <v>539479.7354380578</v>
      </c>
      <c r="AB32" s="2">
        <v>1849.338</v>
      </c>
      <c r="AC32" s="2">
        <v>10055</v>
      </c>
      <c r="AD32" s="2">
        <v>45622.080000000002</v>
      </c>
      <c r="AE32" s="2">
        <v>95.5</v>
      </c>
      <c r="AF32" s="2">
        <v>417</v>
      </c>
      <c r="AG32" s="2">
        <v>186237.59817320001</v>
      </c>
      <c r="AH32" s="2">
        <v>262</v>
      </c>
      <c r="AI32">
        <f>Weather!C188</f>
        <v>47.300000000000011</v>
      </c>
      <c r="AJ32">
        <f>Weather!D188</f>
        <v>30.600000000000009</v>
      </c>
      <c r="AK32">
        <f>Weather!E188</f>
        <v>15.300000000000008</v>
      </c>
      <c r="AL32">
        <f>Weather!F188</f>
        <v>60.600000000000009</v>
      </c>
      <c r="AM32">
        <f>Weather!G188</f>
        <v>2.3000000000000007</v>
      </c>
      <c r="AN32">
        <f>Weather!H188</f>
        <v>109.60000000000002</v>
      </c>
      <c r="AO32">
        <f>Weather!I188</f>
        <v>0</v>
      </c>
      <c r="AP32">
        <f>Weather!J188</f>
        <v>169.3</v>
      </c>
      <c r="AQ32">
        <f>Weather!K188</f>
        <v>0</v>
      </c>
      <c r="AR32">
        <f>Weather!L188</f>
        <v>231.3</v>
      </c>
      <c r="AS32">
        <f>Weather!M188</f>
        <v>0</v>
      </c>
      <c r="AT32">
        <f>Weather!N188</f>
        <v>293.29999999999995</v>
      </c>
      <c r="AU32">
        <f>Weather!O188</f>
        <v>0</v>
      </c>
      <c r="AV32">
        <f>Weather!P188</f>
        <v>355.29999999999995</v>
      </c>
      <c r="AW32" s="7">
        <f>Weather!Q188</f>
        <v>19.461290322580645</v>
      </c>
      <c r="AX32" s="5">
        <f>'Economic Variables'!D142</f>
        <v>6836.5</v>
      </c>
      <c r="AY32" s="5">
        <f>'Economic Variables'!E142</f>
        <v>6932</v>
      </c>
      <c r="AZ32" s="5">
        <f>'Economic Variables'!F142</f>
        <v>241</v>
      </c>
      <c r="BA32" s="5">
        <f>'Economic Variables'!G142</f>
        <v>246.1</v>
      </c>
      <c r="BB32" s="5">
        <f>'Economic Variables'!H142</f>
        <v>659861.19999999995</v>
      </c>
      <c r="BC32" s="5">
        <f>'Economic Variables'!I142</f>
        <v>6909.5</v>
      </c>
      <c r="BD32" s="5">
        <f>'Economic Variables'!J142</f>
        <v>6116</v>
      </c>
      <c r="BE32" s="5">
        <f>'Economic Variables'!K142</f>
        <v>413.5</v>
      </c>
      <c r="BF32" s="5">
        <f>'Economic Variables'!L142</f>
        <v>7819.1</v>
      </c>
      <c r="BG32" s="5">
        <f>'Economic Variables'!M142</f>
        <v>24.9</v>
      </c>
      <c r="BH32" s="5">
        <f>'Economic Variables'!N142</f>
        <v>1060.5</v>
      </c>
      <c r="BI32" s="5">
        <f t="shared" si="2"/>
        <v>14728.6</v>
      </c>
      <c r="BJ32" s="5">
        <f>'Economic Variables'!P142</f>
        <v>663925</v>
      </c>
      <c r="BK32" s="5">
        <f>'Economic Variables'!Q142</f>
        <v>6761</v>
      </c>
      <c r="BL32" s="5">
        <f>'Economic Variables'!R142</f>
        <v>8053</v>
      </c>
      <c r="BM32" s="5">
        <f>'Economic Variables'!S142</f>
        <v>3175</v>
      </c>
      <c r="BN32" s="5">
        <f t="shared" si="15"/>
        <v>31</v>
      </c>
      <c r="BO32" s="80">
        <f t="shared" si="3"/>
        <v>1.4913616938342726</v>
      </c>
      <c r="BP32" s="5">
        <f t="shared" si="4"/>
        <v>961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1</v>
      </c>
      <c r="BX32">
        <v>0</v>
      </c>
      <c r="BY32">
        <v>0</v>
      </c>
      <c r="BZ32">
        <v>0</v>
      </c>
      <c r="CA32">
        <v>0</v>
      </c>
      <c r="CB32">
        <v>0</v>
      </c>
      <c r="CC32">
        <f t="shared" si="26"/>
        <v>0</v>
      </c>
      <c r="CD32">
        <f t="shared" si="26"/>
        <v>0</v>
      </c>
      <c r="CE32">
        <f t="shared" si="5"/>
        <v>0</v>
      </c>
      <c r="CF32">
        <v>31</v>
      </c>
      <c r="CG32">
        <v>22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 s="80">
        <f t="shared" si="17"/>
        <v>23.168804893709062</v>
      </c>
      <c r="CZ32" s="78">
        <f t="shared" si="18"/>
        <v>83.125937518270362</v>
      </c>
      <c r="DA32" s="5">
        <f t="shared" si="19"/>
        <v>2352.7732539865738</v>
      </c>
      <c r="DB32" s="5">
        <f t="shared" si="20"/>
        <v>66635.391133163095</v>
      </c>
      <c r="DC32" s="5">
        <f t="shared" si="21"/>
        <v>265055.89751379518</v>
      </c>
      <c r="DD32">
        <f t="shared" si="11"/>
        <v>1669.7100512162783</v>
      </c>
      <c r="DE32">
        <f t="shared" si="22"/>
        <v>47289.632417083485</v>
      </c>
      <c r="DF32">
        <f t="shared" si="23"/>
        <v>188104.18533237078</v>
      </c>
      <c r="DG32" s="19">
        <v>32144</v>
      </c>
      <c r="DH32" s="19">
        <v>3482</v>
      </c>
      <c r="DI32" s="19">
        <v>393</v>
      </c>
      <c r="DJ32" s="19">
        <v>12</v>
      </c>
      <c r="DK32" s="19">
        <v>3</v>
      </c>
    </row>
    <row r="33" spans="1:115" s="2" customFormat="1">
      <c r="A33" s="3">
        <v>41852</v>
      </c>
      <c r="B33">
        <f t="shared" si="25"/>
        <v>2014</v>
      </c>
      <c r="C33" s="2">
        <v>91374923.805999994</v>
      </c>
      <c r="D33" s="2">
        <v>22592702.3825025</v>
      </c>
      <c r="E33" s="2">
        <v>305815.26701710728</v>
      </c>
      <c r="F33" s="2">
        <v>22898517.649519607</v>
      </c>
      <c r="G33" s="2">
        <v>32152</v>
      </c>
      <c r="H33" s="2">
        <v>8800860.0763713997</v>
      </c>
      <c r="I33" s="2">
        <v>195110.46150033991</v>
      </c>
      <c r="J33" s="2">
        <v>8995970.5378717389</v>
      </c>
      <c r="K33" s="2">
        <v>3486</v>
      </c>
      <c r="L33" s="2">
        <v>18788928.676751003</v>
      </c>
      <c r="M33" s="2">
        <f>VLOOKUP('Monthly Data'!B33,'Historic CDM'!$B$111:$J$122,4,FALSE)/12+VLOOKUP('Monthly Data'!B33,'Historic CDM'!$N$111:$V$122,4,FALSE)/12</f>
        <v>685579.11125792738</v>
      </c>
      <c r="N33" s="2">
        <f t="shared" si="14"/>
        <v>19474507.788008928</v>
      </c>
      <c r="O33" s="2">
        <v>49137.055969534136</v>
      </c>
      <c r="P33" s="2">
        <v>396</v>
      </c>
      <c r="Q33" s="2">
        <v>11966061.666200001</v>
      </c>
      <c r="R33" s="2">
        <f>VLOOKUP('Monthly Data'!B33,'Historic CDM'!$B$111:$J$122,5,FALSE)/12+VLOOKUP('Monthly Data'!B33,'Historic CDM'!$N$111:$V$122,5,FALSE)/12</f>
        <v>47618.784636705954</v>
      </c>
      <c r="S33" s="2">
        <f t="shared" si="16"/>
        <v>12013680.450836707</v>
      </c>
      <c r="T33" s="2">
        <v>23162.712291223623</v>
      </c>
      <c r="U33" s="2">
        <v>8</v>
      </c>
      <c r="V33" s="2">
        <v>24328683.400229998</v>
      </c>
      <c r="W33" s="2">
        <f>VLOOKUP('Monthly Data'!B33,'Historic CDM'!$B$111:$J$122,9,FALSE)/12+VLOOKUP('Monthly Data'!B33,'Historic CDM'!$N$111:$V$122,9,FALSE)/12</f>
        <v>7456.5920864781201</v>
      </c>
      <c r="X33" s="2">
        <f t="shared" si="1"/>
        <v>24336139.992316477</v>
      </c>
      <c r="Y33" s="2">
        <v>40128.884835473262</v>
      </c>
      <c r="Z33" s="2">
        <v>4</v>
      </c>
      <c r="AA33" s="2">
        <v>581605.79598886869</v>
      </c>
      <c r="AB33" s="2">
        <v>1775.5</v>
      </c>
      <c r="AC33" s="2">
        <v>10053</v>
      </c>
      <c r="AD33" s="2">
        <v>45531.360000000001</v>
      </c>
      <c r="AE33" s="2">
        <v>72.587000000000003</v>
      </c>
      <c r="AF33" s="2">
        <v>417</v>
      </c>
      <c r="AG33" s="2">
        <v>186237.59817320001</v>
      </c>
      <c r="AH33" s="2">
        <v>262</v>
      </c>
      <c r="AI33">
        <f>Weather!C189</f>
        <v>38.799999999999997</v>
      </c>
      <c r="AJ33">
        <f>Weather!D189</f>
        <v>27.5</v>
      </c>
      <c r="AK33">
        <f>Weather!E189</f>
        <v>10.899999999999999</v>
      </c>
      <c r="AL33">
        <f>Weather!F189</f>
        <v>61.599999999999994</v>
      </c>
      <c r="AM33">
        <f>Weather!G189</f>
        <v>0.69999999999999929</v>
      </c>
      <c r="AN33">
        <f>Weather!H189</f>
        <v>113.39999999999999</v>
      </c>
      <c r="AO33">
        <f>Weather!I189</f>
        <v>0</v>
      </c>
      <c r="AP33">
        <f>Weather!J189</f>
        <v>174.69999999999996</v>
      </c>
      <c r="AQ33">
        <f>Weather!K189</f>
        <v>0</v>
      </c>
      <c r="AR33">
        <f>Weather!L189</f>
        <v>236.7</v>
      </c>
      <c r="AS33">
        <f>Weather!M189</f>
        <v>0</v>
      </c>
      <c r="AT33">
        <f>Weather!N189</f>
        <v>298.70000000000005</v>
      </c>
      <c r="AU33">
        <f>Weather!O189</f>
        <v>0</v>
      </c>
      <c r="AV33">
        <f>Weather!P189</f>
        <v>360.7</v>
      </c>
      <c r="AW33" s="7">
        <f>Weather!Q189</f>
        <v>19.63548387096774</v>
      </c>
      <c r="AX33" s="5">
        <f>'Economic Variables'!D143</f>
        <v>6842.5</v>
      </c>
      <c r="AY33" s="5">
        <f>'Economic Variables'!E143</f>
        <v>6947.8</v>
      </c>
      <c r="AZ33" s="5">
        <f>'Economic Variables'!F143</f>
        <v>240.9</v>
      </c>
      <c r="BA33" s="5">
        <f>'Economic Variables'!G143</f>
        <v>247.7</v>
      </c>
      <c r="BB33" s="5">
        <f>'Economic Variables'!H143</f>
        <v>659861.19999999995</v>
      </c>
      <c r="BC33" s="5">
        <f>'Economic Variables'!I143</f>
        <v>6909.5</v>
      </c>
      <c r="BD33" s="5">
        <f>'Economic Variables'!J143</f>
        <v>6116</v>
      </c>
      <c r="BE33" s="5">
        <f>'Economic Variables'!K143</f>
        <v>413.5</v>
      </c>
      <c r="BF33" s="5">
        <f>'Economic Variables'!L143</f>
        <v>7819.1</v>
      </c>
      <c r="BG33" s="5">
        <f>'Economic Variables'!M143</f>
        <v>24.9</v>
      </c>
      <c r="BH33" s="5">
        <f>'Economic Variables'!N143</f>
        <v>1060.5</v>
      </c>
      <c r="BI33" s="5">
        <f t="shared" si="2"/>
        <v>14728.6</v>
      </c>
      <c r="BJ33" s="5">
        <f>'Economic Variables'!P143</f>
        <v>663925</v>
      </c>
      <c r="BK33" s="5">
        <f>'Economic Variables'!Q143</f>
        <v>6761</v>
      </c>
      <c r="BL33" s="5">
        <f>'Economic Variables'!R143</f>
        <v>8053</v>
      </c>
      <c r="BM33" s="5">
        <f>'Economic Variables'!S143</f>
        <v>3175</v>
      </c>
      <c r="BN33" s="5">
        <f t="shared" si="15"/>
        <v>32</v>
      </c>
      <c r="BO33" s="80">
        <f t="shared" si="3"/>
        <v>1.505149978319906</v>
      </c>
      <c r="BP33" s="5">
        <f t="shared" si="4"/>
        <v>1024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1</v>
      </c>
      <c r="BY33">
        <v>0</v>
      </c>
      <c r="BZ33">
        <v>0</v>
      </c>
      <c r="CA33">
        <v>0</v>
      </c>
      <c r="CB33">
        <v>0</v>
      </c>
      <c r="CC33">
        <f t="shared" si="26"/>
        <v>0</v>
      </c>
      <c r="CD33">
        <f t="shared" si="26"/>
        <v>0</v>
      </c>
      <c r="CE33">
        <f t="shared" si="5"/>
        <v>0</v>
      </c>
      <c r="CF33">
        <v>31</v>
      </c>
      <c r="CG33">
        <v>20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 s="80">
        <f t="shared" si="17"/>
        <v>22.974056346787844</v>
      </c>
      <c r="CZ33" s="78">
        <f t="shared" si="18"/>
        <v>83.245151461807964</v>
      </c>
      <c r="DA33" s="5">
        <f t="shared" si="19"/>
        <v>2458.9024984859757</v>
      </c>
      <c r="DB33" s="5">
        <f t="shared" si="20"/>
        <v>75085.502817729415</v>
      </c>
      <c r="DC33" s="5">
        <f t="shared" si="21"/>
        <v>304201.74990395596</v>
      </c>
      <c r="DD33">
        <f t="shared" si="11"/>
        <v>1586.3887087006296</v>
      </c>
      <c r="DE33">
        <f t="shared" si="22"/>
        <v>48442.259882406077</v>
      </c>
      <c r="DF33">
        <f t="shared" si="23"/>
        <v>196259.1934864232</v>
      </c>
      <c r="DG33" s="19">
        <v>32152</v>
      </c>
      <c r="DH33" s="19">
        <v>3486</v>
      </c>
      <c r="DI33" s="19">
        <v>394</v>
      </c>
      <c r="DJ33" s="19">
        <v>12</v>
      </c>
      <c r="DK33" s="19">
        <v>3</v>
      </c>
    </row>
    <row r="34" spans="1:115" s="2" customFormat="1">
      <c r="A34" s="3">
        <v>41883</v>
      </c>
      <c r="B34">
        <f t="shared" si="25"/>
        <v>2014</v>
      </c>
      <c r="C34" s="2">
        <v>81630601.80675</v>
      </c>
      <c r="D34" s="2">
        <v>19191914.653119899</v>
      </c>
      <c r="E34" s="2">
        <v>305815.26701710728</v>
      </c>
      <c r="F34" s="2">
        <v>19497729.920137007</v>
      </c>
      <c r="G34" s="2">
        <v>32158</v>
      </c>
      <c r="H34" s="2">
        <v>7832725.3870120998</v>
      </c>
      <c r="I34" s="2">
        <v>195110.46150033991</v>
      </c>
      <c r="J34" s="2">
        <v>8027835.84851244</v>
      </c>
      <c r="K34" s="2">
        <v>3491</v>
      </c>
      <c r="L34" s="2">
        <v>17637668.6454718</v>
      </c>
      <c r="M34" s="2">
        <f>VLOOKUP('Monthly Data'!B34,'Historic CDM'!$B$111:$J$122,4,FALSE)/12+VLOOKUP('Monthly Data'!B34,'Historic CDM'!$N$111:$V$122,4,FALSE)/12</f>
        <v>685579.11125792738</v>
      </c>
      <c r="N34" s="2">
        <f t="shared" si="14"/>
        <v>18323247.756729726</v>
      </c>
      <c r="O34" s="2">
        <v>62824.902337817199</v>
      </c>
      <c r="P34" s="2">
        <v>392</v>
      </c>
      <c r="Q34" s="2">
        <v>10261649.6424</v>
      </c>
      <c r="R34" s="2">
        <f>VLOOKUP('Monthly Data'!B34,'Historic CDM'!$B$111:$J$122,5,FALSE)/12+VLOOKUP('Monthly Data'!B34,'Historic CDM'!$N$111:$V$122,5,FALSE)/12</f>
        <v>47618.784636705954</v>
      </c>
      <c r="S34" s="2">
        <f t="shared" si="16"/>
        <v>10309268.427036706</v>
      </c>
      <c r="T34" s="2">
        <v>21436.689110703719</v>
      </c>
      <c r="U34" s="2">
        <v>8</v>
      </c>
      <c r="V34" s="2">
        <v>22540207.072184999</v>
      </c>
      <c r="W34" s="2">
        <f>VLOOKUP('Monthly Data'!B34,'Historic CDM'!$B$111:$J$122,9,FALSE)/12+VLOOKUP('Monthly Data'!B34,'Historic CDM'!$N$111:$V$122,9,FALSE)/12</f>
        <v>7456.5920864781201</v>
      </c>
      <c r="X34" s="2">
        <f t="shared" si="1"/>
        <v>22547663.664271478</v>
      </c>
      <c r="Y34" s="2">
        <v>38773.167760661338</v>
      </c>
      <c r="Z34" s="2">
        <v>4</v>
      </c>
      <c r="AA34" s="2">
        <v>622223.68294789374</v>
      </c>
      <c r="AB34" s="2">
        <v>1668.3</v>
      </c>
      <c r="AC34" s="2">
        <v>10045</v>
      </c>
      <c r="AD34" s="2">
        <v>43999.199999999997</v>
      </c>
      <c r="AE34" s="2">
        <v>144.46</v>
      </c>
      <c r="AF34" s="2">
        <v>416</v>
      </c>
      <c r="AG34" s="2">
        <v>180229.933716</v>
      </c>
      <c r="AH34" s="2">
        <v>262</v>
      </c>
      <c r="AI34">
        <f>Weather!C190</f>
        <v>133.30000000000001</v>
      </c>
      <c r="AJ34">
        <f>Weather!D190</f>
        <v>13.900000000000002</v>
      </c>
      <c r="AK34">
        <f>Weather!E190</f>
        <v>87.2</v>
      </c>
      <c r="AL34">
        <f>Weather!F190</f>
        <v>27.8</v>
      </c>
      <c r="AM34">
        <f>Weather!G190</f>
        <v>46.900000000000006</v>
      </c>
      <c r="AN34">
        <f>Weather!H190</f>
        <v>47.5</v>
      </c>
      <c r="AO34">
        <f>Weather!I190</f>
        <v>22.200000000000003</v>
      </c>
      <c r="AP34">
        <f>Weather!J190</f>
        <v>82.8</v>
      </c>
      <c r="AQ34">
        <f>Weather!K190</f>
        <v>6.4</v>
      </c>
      <c r="AR34">
        <f>Weather!L190</f>
        <v>126.99999999999999</v>
      </c>
      <c r="AS34">
        <f>Weather!M190</f>
        <v>9.9999999999999645E-2</v>
      </c>
      <c r="AT34">
        <f>Weather!N190</f>
        <v>180.70000000000007</v>
      </c>
      <c r="AU34">
        <f>Weather!O190</f>
        <v>0</v>
      </c>
      <c r="AV34">
        <f>Weather!P190</f>
        <v>240.60000000000005</v>
      </c>
      <c r="AW34" s="7">
        <f>Weather!Q190</f>
        <v>16.02</v>
      </c>
      <c r="AX34" s="5">
        <f>'Economic Variables'!D144</f>
        <v>6853.6</v>
      </c>
      <c r="AY34" s="5">
        <f>'Economic Variables'!E144</f>
        <v>6917.2</v>
      </c>
      <c r="AZ34" s="5">
        <f>'Economic Variables'!F144</f>
        <v>240.5</v>
      </c>
      <c r="BA34" s="5">
        <f>'Economic Variables'!G144</f>
        <v>243.9</v>
      </c>
      <c r="BB34" s="5">
        <f>'Economic Variables'!H144</f>
        <v>659861.19999999995</v>
      </c>
      <c r="BC34" s="5">
        <f>'Economic Variables'!I144</f>
        <v>6909.5</v>
      </c>
      <c r="BD34" s="5">
        <f>'Economic Variables'!J144</f>
        <v>6116</v>
      </c>
      <c r="BE34" s="5">
        <f>'Economic Variables'!K144</f>
        <v>413.5</v>
      </c>
      <c r="BF34" s="5">
        <f>'Economic Variables'!L144</f>
        <v>7819.1</v>
      </c>
      <c r="BG34" s="5">
        <f>'Economic Variables'!M144</f>
        <v>24.9</v>
      </c>
      <c r="BH34" s="5">
        <f>'Economic Variables'!N144</f>
        <v>1060.5</v>
      </c>
      <c r="BI34" s="5">
        <f t="shared" si="2"/>
        <v>14728.6</v>
      </c>
      <c r="BJ34" s="5">
        <f>'Economic Variables'!P144</f>
        <v>663925</v>
      </c>
      <c r="BK34" s="5">
        <f>'Economic Variables'!Q144</f>
        <v>6761</v>
      </c>
      <c r="BL34" s="5">
        <f>'Economic Variables'!R144</f>
        <v>8053</v>
      </c>
      <c r="BM34" s="5">
        <f>'Economic Variables'!S144</f>
        <v>3175</v>
      </c>
      <c r="BN34" s="5">
        <f t="shared" si="15"/>
        <v>33</v>
      </c>
      <c r="BO34" s="80">
        <f t="shared" si="3"/>
        <v>1.5185139398778875</v>
      </c>
      <c r="BP34" s="5">
        <f t="shared" si="4"/>
        <v>1089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1</v>
      </c>
      <c r="BZ34">
        <v>0</v>
      </c>
      <c r="CA34">
        <v>0</v>
      </c>
      <c r="CB34">
        <v>0</v>
      </c>
      <c r="CC34">
        <f t="shared" si="26"/>
        <v>0</v>
      </c>
      <c r="CD34">
        <f t="shared" si="26"/>
        <v>1</v>
      </c>
      <c r="CE34">
        <f t="shared" si="5"/>
        <v>1</v>
      </c>
      <c r="CF34">
        <v>30</v>
      </c>
      <c r="CG34">
        <v>21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 s="80">
        <f t="shared" si="17"/>
        <v>20.210346746415624</v>
      </c>
      <c r="CZ34" s="78">
        <f t="shared" si="18"/>
        <v>76.652686417573193</v>
      </c>
      <c r="DA34" s="5">
        <f t="shared" si="19"/>
        <v>2225.8561414880619</v>
      </c>
      <c r="DB34" s="5">
        <f t="shared" si="20"/>
        <v>61364.693018075632</v>
      </c>
      <c r="DC34" s="5">
        <f t="shared" si="21"/>
        <v>268424.56743180333</v>
      </c>
      <c r="DD34">
        <f t="shared" si="11"/>
        <v>1558.0992990416435</v>
      </c>
      <c r="DE34">
        <f t="shared" si="22"/>
        <v>42955.285112652942</v>
      </c>
      <c r="DF34">
        <f t="shared" si="23"/>
        <v>187897.19720226232</v>
      </c>
      <c r="DG34" s="19">
        <v>32158</v>
      </c>
      <c r="DH34" s="19">
        <v>3491</v>
      </c>
      <c r="DI34" s="19">
        <v>390</v>
      </c>
      <c r="DJ34" s="19">
        <v>12</v>
      </c>
      <c r="DK34" s="19">
        <v>3</v>
      </c>
    </row>
    <row r="35" spans="1:115" s="2" customFormat="1">
      <c r="A35" s="3">
        <v>41913</v>
      </c>
      <c r="B35">
        <f t="shared" si="25"/>
        <v>2014</v>
      </c>
      <c r="C35" s="2">
        <v>79957997.482250005</v>
      </c>
      <c r="D35" s="2">
        <v>17733117.809434898</v>
      </c>
      <c r="E35" s="2">
        <v>305815.26701710728</v>
      </c>
      <c r="F35" s="2">
        <v>18038933.076452006</v>
      </c>
      <c r="G35" s="2">
        <v>32142</v>
      </c>
      <c r="H35" s="2">
        <v>7691009.8924002005</v>
      </c>
      <c r="I35" s="2">
        <v>195110.46150033991</v>
      </c>
      <c r="J35" s="2">
        <v>7886120.3539005406</v>
      </c>
      <c r="K35" s="2">
        <v>3496</v>
      </c>
      <c r="L35" s="2">
        <v>17961765.162387498</v>
      </c>
      <c r="M35" s="2">
        <f>VLOOKUP('Monthly Data'!B35,'Historic CDM'!$B$111:$J$122,4,FALSE)/12+VLOOKUP('Monthly Data'!B35,'Historic CDM'!$N$111:$V$122,4,FALSE)/12</f>
        <v>685579.11125792738</v>
      </c>
      <c r="N35" s="2">
        <f t="shared" si="14"/>
        <v>18647344.273645423</v>
      </c>
      <c r="O35" s="2">
        <v>44305.763452343228</v>
      </c>
      <c r="P35" s="2">
        <v>386</v>
      </c>
      <c r="Q35" s="2">
        <v>10566792.617200002</v>
      </c>
      <c r="R35" s="2">
        <f>VLOOKUP('Monthly Data'!B35,'Historic CDM'!$B$111:$J$122,5,FALSE)/12+VLOOKUP('Monthly Data'!B35,'Historic CDM'!$N$111:$V$122,5,FALSE)/12</f>
        <v>47618.784636705954</v>
      </c>
      <c r="S35" s="2">
        <f t="shared" si="16"/>
        <v>10614411.401836708</v>
      </c>
      <c r="T35" s="2">
        <v>19948.108714552429</v>
      </c>
      <c r="U35" s="2">
        <v>8</v>
      </c>
      <c r="V35" s="2">
        <v>22503616.099964999</v>
      </c>
      <c r="W35" s="2">
        <f>VLOOKUP('Monthly Data'!B35,'Historic CDM'!$B$111:$J$122,9,FALSE)/12+VLOOKUP('Monthly Data'!B35,'Historic CDM'!$N$111:$V$122,9,FALSE)/12</f>
        <v>7456.5920864781201</v>
      </c>
      <c r="X35" s="2">
        <f t="shared" si="1"/>
        <v>22511072.692051478</v>
      </c>
      <c r="Y35" s="2">
        <v>38439.402143885512</v>
      </c>
      <c r="Z35" s="2">
        <v>4</v>
      </c>
      <c r="AA35" s="2">
        <v>673582.39295653009</v>
      </c>
      <c r="AB35" s="2">
        <v>1605.1310000000001</v>
      </c>
      <c r="AC35" s="2">
        <v>10043</v>
      </c>
      <c r="AD35" s="2">
        <v>45465.84</v>
      </c>
      <c r="AE35" s="2">
        <v>64.281999999999996</v>
      </c>
      <c r="AF35" s="2">
        <v>416</v>
      </c>
      <c r="AG35" s="2">
        <v>186209.22820090002</v>
      </c>
      <c r="AH35" s="2">
        <v>261</v>
      </c>
      <c r="AI35">
        <f>Weather!C191</f>
        <v>288.29999999999995</v>
      </c>
      <c r="AJ35">
        <f>Weather!D191</f>
        <v>0</v>
      </c>
      <c r="AK35">
        <f>Weather!E191</f>
        <v>226.39999999999998</v>
      </c>
      <c r="AL35">
        <f>Weather!F191</f>
        <v>0.10000000000000142</v>
      </c>
      <c r="AM35">
        <f>Weather!G191</f>
        <v>168.5</v>
      </c>
      <c r="AN35">
        <f>Weather!H191</f>
        <v>4.1999999999999993</v>
      </c>
      <c r="AO35">
        <f>Weather!I191</f>
        <v>117.00000000000003</v>
      </c>
      <c r="AP35">
        <f>Weather!J191</f>
        <v>14.7</v>
      </c>
      <c r="AQ35">
        <f>Weather!K191</f>
        <v>73.099999999999994</v>
      </c>
      <c r="AR35">
        <f>Weather!L191</f>
        <v>32.799999999999997</v>
      </c>
      <c r="AS35">
        <f>Weather!M191</f>
        <v>35.699999999999996</v>
      </c>
      <c r="AT35">
        <f>Weather!N191</f>
        <v>57.400000000000006</v>
      </c>
      <c r="AU35">
        <f>Weather!O191</f>
        <v>8.4</v>
      </c>
      <c r="AV35">
        <f>Weather!P191</f>
        <v>92.09999999999998</v>
      </c>
      <c r="AW35" s="7">
        <f>Weather!Q191</f>
        <v>10.700000000000001</v>
      </c>
      <c r="AX35" s="5">
        <f>'Economic Variables'!D145</f>
        <v>6856.6</v>
      </c>
      <c r="AY35" s="5">
        <f>'Economic Variables'!E145</f>
        <v>6898.9</v>
      </c>
      <c r="AZ35" s="5">
        <f>'Economic Variables'!F145</f>
        <v>240</v>
      </c>
      <c r="BA35" s="5">
        <f>'Economic Variables'!G145</f>
        <v>241.3</v>
      </c>
      <c r="BB35" s="5">
        <f>'Economic Variables'!H145</f>
        <v>659861.19999999995</v>
      </c>
      <c r="BC35" s="5">
        <f>'Economic Variables'!I145</f>
        <v>6909.5</v>
      </c>
      <c r="BD35" s="5">
        <f>'Economic Variables'!J145</f>
        <v>6116</v>
      </c>
      <c r="BE35" s="5">
        <f>'Economic Variables'!K145</f>
        <v>413.5</v>
      </c>
      <c r="BF35" s="5">
        <f>'Economic Variables'!L145</f>
        <v>7819.1</v>
      </c>
      <c r="BG35" s="5">
        <f>'Economic Variables'!M145</f>
        <v>24.9</v>
      </c>
      <c r="BH35" s="5">
        <f>'Economic Variables'!N145</f>
        <v>1060.5</v>
      </c>
      <c r="BI35" s="5">
        <f t="shared" si="2"/>
        <v>14728.6</v>
      </c>
      <c r="BJ35" s="5">
        <f>'Economic Variables'!P145</f>
        <v>667487</v>
      </c>
      <c r="BK35" s="5">
        <f>'Economic Variables'!Q145</f>
        <v>7068</v>
      </c>
      <c r="BL35" s="5">
        <f>'Economic Variables'!R145</f>
        <v>7051</v>
      </c>
      <c r="BM35" s="5">
        <f>'Economic Variables'!S145</f>
        <v>3331</v>
      </c>
      <c r="BN35" s="5">
        <f t="shared" si="15"/>
        <v>34</v>
      </c>
      <c r="BO35" s="80">
        <f t="shared" si="3"/>
        <v>1.5314789170422551</v>
      </c>
      <c r="BP35" s="5">
        <f t="shared" si="4"/>
        <v>1156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1</v>
      </c>
      <c r="CA35">
        <v>0</v>
      </c>
      <c r="CB35">
        <v>0</v>
      </c>
      <c r="CC35">
        <f t="shared" si="26"/>
        <v>0</v>
      </c>
      <c r="CD35">
        <f t="shared" si="26"/>
        <v>1</v>
      </c>
      <c r="CE35">
        <f t="shared" si="5"/>
        <v>1</v>
      </c>
      <c r="CF35">
        <v>31</v>
      </c>
      <c r="CG35">
        <v>22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 s="80">
        <f t="shared" si="17"/>
        <v>18.104071525801839</v>
      </c>
      <c r="CZ35" s="78">
        <f t="shared" si="18"/>
        <v>72.766298386179045</v>
      </c>
      <c r="DA35" s="5">
        <f t="shared" si="19"/>
        <v>2195.8719116398283</v>
      </c>
      <c r="DB35" s="5">
        <f t="shared" si="20"/>
        <v>60309.155692254026</v>
      </c>
      <c r="DC35" s="5">
        <f t="shared" si="21"/>
        <v>255807.6442278577</v>
      </c>
      <c r="DD35">
        <f t="shared" si="11"/>
        <v>1558.36071148633</v>
      </c>
      <c r="DE35">
        <f t="shared" si="22"/>
        <v>42800.045975148016</v>
      </c>
      <c r="DF35">
        <f t="shared" si="23"/>
        <v>181540.90880686676</v>
      </c>
      <c r="DG35" s="19">
        <v>32142</v>
      </c>
      <c r="DH35" s="19">
        <v>3496</v>
      </c>
      <c r="DI35" s="19">
        <v>384</v>
      </c>
      <c r="DJ35" s="19">
        <v>12</v>
      </c>
      <c r="DK35" s="19">
        <v>3</v>
      </c>
    </row>
    <row r="36" spans="1:115" s="2" customFormat="1">
      <c r="A36" s="3">
        <v>41944</v>
      </c>
      <c r="B36">
        <f t="shared" si="25"/>
        <v>2014</v>
      </c>
      <c r="C36" s="2">
        <v>84369122.041500002</v>
      </c>
      <c r="D36" s="2">
        <v>19913918.800301</v>
      </c>
      <c r="E36" s="2">
        <v>305815.26701710728</v>
      </c>
      <c r="F36" s="2">
        <v>20219734.067318108</v>
      </c>
      <c r="G36" s="2">
        <v>32194</v>
      </c>
      <c r="H36" s="2">
        <v>8612173.9509097002</v>
      </c>
      <c r="I36" s="2">
        <v>195110.46150033991</v>
      </c>
      <c r="J36" s="2">
        <v>8807284.4124100395</v>
      </c>
      <c r="K36" s="2">
        <v>3501</v>
      </c>
      <c r="L36" s="2">
        <v>18062116.3436835</v>
      </c>
      <c r="M36" s="2">
        <f>VLOOKUP('Monthly Data'!B36,'Historic CDM'!$B$111:$J$122,4,FALSE)/12+VLOOKUP('Monthly Data'!B36,'Historic CDM'!$N$111:$V$122,4,FALSE)/12</f>
        <v>685579.11125792738</v>
      </c>
      <c r="N36" s="2">
        <f t="shared" si="14"/>
        <v>18747695.454941425</v>
      </c>
      <c r="O36" s="2">
        <v>53981.777023044335</v>
      </c>
      <c r="P36" s="2">
        <v>384</v>
      </c>
      <c r="Q36" s="2">
        <v>9827304.3513999991</v>
      </c>
      <c r="R36" s="2">
        <f>VLOOKUP('Monthly Data'!B36,'Historic CDM'!$B$111:$J$122,5,FALSE)/12+VLOOKUP('Monthly Data'!B36,'Historic CDM'!$N$111:$V$122,5,FALSE)/12</f>
        <v>47618.784636705954</v>
      </c>
      <c r="S36" s="2">
        <f t="shared" si="16"/>
        <v>9874923.1360367052</v>
      </c>
      <c r="T36" s="2">
        <v>20041.787510560218</v>
      </c>
      <c r="U36" s="2">
        <v>8</v>
      </c>
      <c r="V36" s="2">
        <v>23539659.955762502</v>
      </c>
      <c r="W36" s="2">
        <f>VLOOKUP('Monthly Data'!B36,'Historic CDM'!$B$111:$J$122,9,FALSE)/12+VLOOKUP('Monthly Data'!B36,'Historic CDM'!$N$111:$V$122,9,FALSE)/12</f>
        <v>7456.5920864781201</v>
      </c>
      <c r="X36" s="2">
        <f t="shared" si="1"/>
        <v>23547116.547848981</v>
      </c>
      <c r="Y36" s="2">
        <v>40537.052401675894</v>
      </c>
      <c r="Z36" s="2">
        <v>4</v>
      </c>
      <c r="AA36" s="2">
        <v>716085.87899433833</v>
      </c>
      <c r="AB36" s="2">
        <v>1574.7</v>
      </c>
      <c r="AC36" s="2">
        <v>10048</v>
      </c>
      <c r="AD36" s="2">
        <v>43999.199999999997</v>
      </c>
      <c r="AE36" s="2">
        <v>103.36500000000001</v>
      </c>
      <c r="AF36" s="2">
        <v>416</v>
      </c>
      <c r="AG36" s="2">
        <v>180724.21667540001</v>
      </c>
      <c r="AH36" s="2">
        <v>261</v>
      </c>
      <c r="AI36">
        <f>Weather!C192</f>
        <v>543.69999999999993</v>
      </c>
      <c r="AJ36">
        <f>Weather!D192</f>
        <v>0</v>
      </c>
      <c r="AK36">
        <f>Weather!E192</f>
        <v>483.7</v>
      </c>
      <c r="AL36">
        <f>Weather!F192</f>
        <v>0</v>
      </c>
      <c r="AM36">
        <f>Weather!G192</f>
        <v>423.7</v>
      </c>
      <c r="AN36">
        <f>Weather!H192</f>
        <v>0</v>
      </c>
      <c r="AO36">
        <f>Weather!I192</f>
        <v>363.7</v>
      </c>
      <c r="AP36">
        <f>Weather!J192</f>
        <v>0</v>
      </c>
      <c r="AQ36">
        <f>Weather!K192</f>
        <v>303.70000000000005</v>
      </c>
      <c r="AR36">
        <f>Weather!L192</f>
        <v>0</v>
      </c>
      <c r="AS36">
        <f>Weather!M192</f>
        <v>244.10000000000005</v>
      </c>
      <c r="AT36">
        <f>Weather!N192</f>
        <v>0.40000000000000036</v>
      </c>
      <c r="AU36">
        <f>Weather!O192</f>
        <v>189.4</v>
      </c>
      <c r="AV36">
        <f>Weather!P192</f>
        <v>5.6999999999999993</v>
      </c>
      <c r="AW36" s="7">
        <f>Weather!Q192</f>
        <v>1.8766666666666667</v>
      </c>
      <c r="AX36" s="5">
        <f>'Economic Variables'!D146</f>
        <v>6858.1</v>
      </c>
      <c r="AY36" s="5">
        <f>'Economic Variables'!E146</f>
        <v>6871.1</v>
      </c>
      <c r="AZ36" s="5">
        <f>'Economic Variables'!F146</f>
        <v>241.2</v>
      </c>
      <c r="BA36" s="5">
        <f>'Economic Variables'!G146</f>
        <v>240.4</v>
      </c>
      <c r="BB36" s="5">
        <f>'Economic Variables'!H146</f>
        <v>659861.19999999995</v>
      </c>
      <c r="BC36" s="5">
        <f>'Economic Variables'!I146</f>
        <v>6909.5</v>
      </c>
      <c r="BD36" s="5">
        <f>'Economic Variables'!J146</f>
        <v>6116</v>
      </c>
      <c r="BE36" s="5">
        <f>'Economic Variables'!K146</f>
        <v>413.5</v>
      </c>
      <c r="BF36" s="5">
        <f>'Economic Variables'!L146</f>
        <v>7819.1</v>
      </c>
      <c r="BG36" s="5">
        <f>'Economic Variables'!M146</f>
        <v>24.9</v>
      </c>
      <c r="BH36" s="5">
        <f>'Economic Variables'!N146</f>
        <v>1060.5</v>
      </c>
      <c r="BI36" s="5">
        <f t="shared" si="2"/>
        <v>14728.6</v>
      </c>
      <c r="BJ36" s="5">
        <f>'Economic Variables'!P146</f>
        <v>667487</v>
      </c>
      <c r="BK36" s="5">
        <f>'Economic Variables'!Q146</f>
        <v>7068</v>
      </c>
      <c r="BL36" s="5">
        <f>'Economic Variables'!R146</f>
        <v>7051</v>
      </c>
      <c r="BM36" s="5">
        <f>'Economic Variables'!S146</f>
        <v>3331</v>
      </c>
      <c r="BN36" s="5">
        <f t="shared" si="15"/>
        <v>35</v>
      </c>
      <c r="BO36" s="80">
        <f t="shared" si="3"/>
        <v>1.5440680443502757</v>
      </c>
      <c r="BP36" s="5">
        <f t="shared" si="4"/>
        <v>1225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1</v>
      </c>
      <c r="CB36">
        <v>0</v>
      </c>
      <c r="CC36">
        <f t="shared" si="26"/>
        <v>0</v>
      </c>
      <c r="CD36">
        <f t="shared" si="26"/>
        <v>0</v>
      </c>
      <c r="CE36">
        <f t="shared" si="5"/>
        <v>0</v>
      </c>
      <c r="CF36">
        <v>30</v>
      </c>
      <c r="CG36">
        <v>20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 s="80">
        <f t="shared" si="17"/>
        <v>20.935302714085552</v>
      </c>
      <c r="CZ36" s="78">
        <f t="shared" si="18"/>
        <v>83.854940611349519</v>
      </c>
      <c r="DA36" s="5">
        <f t="shared" si="19"/>
        <v>2441.1061790288313</v>
      </c>
      <c r="DB36" s="5">
        <f t="shared" si="20"/>
        <v>61718.269600229411</v>
      </c>
      <c r="DC36" s="5">
        <f t="shared" si="21"/>
        <v>294338.95684811228</v>
      </c>
      <c r="DD36">
        <f t="shared" si="11"/>
        <v>1627.4041193525543</v>
      </c>
      <c r="DE36">
        <f t="shared" si="22"/>
        <v>41145.513066819607</v>
      </c>
      <c r="DF36">
        <f t="shared" si="23"/>
        <v>196225.97123207484</v>
      </c>
      <c r="DG36" s="19">
        <v>32194</v>
      </c>
      <c r="DH36" s="19">
        <v>3501</v>
      </c>
      <c r="DI36" s="19">
        <v>382</v>
      </c>
      <c r="DJ36" s="19">
        <v>12</v>
      </c>
      <c r="DK36" s="19">
        <v>3</v>
      </c>
    </row>
    <row r="37" spans="1:115" s="2" customFormat="1">
      <c r="A37" s="3">
        <v>41974</v>
      </c>
      <c r="B37">
        <f t="shared" si="25"/>
        <v>2014</v>
      </c>
      <c r="C37" s="2">
        <v>88425596.116249993</v>
      </c>
      <c r="D37" s="2">
        <v>22040158.978943702</v>
      </c>
      <c r="E37" s="2">
        <v>305815.26701710728</v>
      </c>
      <c r="F37" s="2">
        <v>22345974.245960809</v>
      </c>
      <c r="G37" s="2">
        <v>32218</v>
      </c>
      <c r="H37" s="2">
        <v>9319519.4352643006</v>
      </c>
      <c r="I37" s="2">
        <v>195110.46150033991</v>
      </c>
      <c r="J37" s="2">
        <v>9514629.8967646398</v>
      </c>
      <c r="K37" s="2">
        <v>3506</v>
      </c>
      <c r="L37" s="2">
        <v>19261278.318230499</v>
      </c>
      <c r="M37" s="2">
        <f>VLOOKUP('Monthly Data'!B37,'Historic CDM'!$B$111:$J$122,4,FALSE)/12+VLOOKUP('Monthly Data'!B37,'Historic CDM'!$N$111:$V$122,4,FALSE)/12</f>
        <v>685579.11125792738</v>
      </c>
      <c r="N37" s="2">
        <f t="shared" si="14"/>
        <v>19946857.429488424</v>
      </c>
      <c r="O37" s="2">
        <v>53414.169168669658</v>
      </c>
      <c r="P37" s="2">
        <v>385</v>
      </c>
      <c r="Q37" s="2">
        <v>10223576.029800002</v>
      </c>
      <c r="R37" s="2">
        <f>VLOOKUP('Monthly Data'!B37,'Historic CDM'!$B$111:$J$122,5,FALSE)/12+VLOOKUP('Monthly Data'!B37,'Historic CDM'!$N$111:$V$122,5,FALSE)/12</f>
        <v>47618.784636705954</v>
      </c>
      <c r="S37" s="2">
        <f t="shared" si="16"/>
        <v>10271194.814436708</v>
      </c>
      <c r="T37" s="2">
        <v>19930.22611024676</v>
      </c>
      <c r="U37" s="2">
        <v>8</v>
      </c>
      <c r="V37" s="2">
        <v>23374281.505905002</v>
      </c>
      <c r="W37" s="2">
        <f>VLOOKUP('Monthly Data'!B37,'Historic CDM'!$B$111:$J$122,9,FALSE)/12+VLOOKUP('Monthly Data'!B37,'Historic CDM'!$N$111:$V$122,9,FALSE)/12</f>
        <v>7456.5920864781201</v>
      </c>
      <c r="X37" s="2">
        <f t="shared" si="1"/>
        <v>23381738.097991481</v>
      </c>
      <c r="Y37" s="2">
        <v>39511.175458506943</v>
      </c>
      <c r="Z37" s="2">
        <v>4</v>
      </c>
      <c r="AA37" s="2">
        <v>737279.09211999981</v>
      </c>
      <c r="AB37" s="2">
        <v>1523.5230016313187</v>
      </c>
      <c r="AC37" s="2">
        <v>10049</v>
      </c>
      <c r="AD37" s="2">
        <v>45403.44</v>
      </c>
      <c r="AE37" s="2">
        <v>155.74700000000001</v>
      </c>
      <c r="AF37" s="2">
        <v>415</v>
      </c>
      <c r="AG37" s="2">
        <v>187391.20584490002</v>
      </c>
      <c r="AH37" s="2">
        <v>263</v>
      </c>
      <c r="AI37">
        <f>Weather!C193</f>
        <v>604.5</v>
      </c>
      <c r="AJ37">
        <f>Weather!D193</f>
        <v>0</v>
      </c>
      <c r="AK37">
        <f>Weather!E193</f>
        <v>542.5</v>
      </c>
      <c r="AL37">
        <f>Weather!F193</f>
        <v>0</v>
      </c>
      <c r="AM37">
        <f>Weather!G193</f>
        <v>480.49999999999994</v>
      </c>
      <c r="AN37">
        <f>Weather!H193</f>
        <v>0</v>
      </c>
      <c r="AO37">
        <f>Weather!I193</f>
        <v>418.49999999999989</v>
      </c>
      <c r="AP37">
        <f>Weather!J193</f>
        <v>0</v>
      </c>
      <c r="AQ37">
        <f>Weather!K193</f>
        <v>356.49999999999994</v>
      </c>
      <c r="AR37">
        <f>Weather!L193</f>
        <v>0</v>
      </c>
      <c r="AS37">
        <f>Weather!M193</f>
        <v>294.49999999999994</v>
      </c>
      <c r="AT37">
        <f>Weather!N193</f>
        <v>0</v>
      </c>
      <c r="AU37">
        <f>Weather!O193</f>
        <v>232.49999999999994</v>
      </c>
      <c r="AV37">
        <f>Weather!P193</f>
        <v>0</v>
      </c>
      <c r="AW37" s="7">
        <f>Weather!Q193</f>
        <v>0.49999999999999989</v>
      </c>
      <c r="AX37" s="5">
        <f>'Economic Variables'!D147</f>
        <v>6860</v>
      </c>
      <c r="AY37" s="5">
        <f>'Economic Variables'!E147</f>
        <v>6863.1</v>
      </c>
      <c r="AZ37" s="5">
        <f>'Economic Variables'!F147</f>
        <v>243.4</v>
      </c>
      <c r="BA37" s="5">
        <f>'Economic Variables'!G147</f>
        <v>242.7</v>
      </c>
      <c r="BB37" s="5">
        <f>'Economic Variables'!H147</f>
        <v>659861.19999999995</v>
      </c>
      <c r="BC37" s="5">
        <f>'Economic Variables'!I147</f>
        <v>6909.5</v>
      </c>
      <c r="BD37" s="5">
        <f>'Economic Variables'!J147</f>
        <v>6116</v>
      </c>
      <c r="BE37" s="5">
        <f>'Economic Variables'!K147</f>
        <v>413.5</v>
      </c>
      <c r="BF37" s="5">
        <f>'Economic Variables'!L147</f>
        <v>7819.1</v>
      </c>
      <c r="BG37" s="5">
        <f>'Economic Variables'!M147</f>
        <v>24.9</v>
      </c>
      <c r="BH37" s="5">
        <f>'Economic Variables'!N147</f>
        <v>1060.5</v>
      </c>
      <c r="BI37" s="5">
        <f t="shared" si="2"/>
        <v>14728.6</v>
      </c>
      <c r="BJ37" s="5">
        <f>'Economic Variables'!P147</f>
        <v>667487</v>
      </c>
      <c r="BK37" s="5">
        <f>'Economic Variables'!Q147</f>
        <v>7068</v>
      </c>
      <c r="BL37" s="5">
        <f>'Economic Variables'!R147</f>
        <v>7051</v>
      </c>
      <c r="BM37" s="5">
        <f>'Economic Variables'!S147</f>
        <v>3331</v>
      </c>
      <c r="BN37" s="5">
        <f t="shared" si="15"/>
        <v>36</v>
      </c>
      <c r="BO37" s="80">
        <f t="shared" si="3"/>
        <v>1.5563025007672873</v>
      </c>
      <c r="BP37" s="5">
        <f t="shared" si="4"/>
        <v>1296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1</v>
      </c>
      <c r="CC37">
        <f t="shared" si="26"/>
        <v>0</v>
      </c>
      <c r="CD37">
        <f t="shared" si="26"/>
        <v>0</v>
      </c>
      <c r="CE37">
        <f t="shared" si="5"/>
        <v>0</v>
      </c>
      <c r="CF37">
        <v>31</v>
      </c>
      <c r="CG37">
        <v>21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 s="80">
        <f t="shared" si="17"/>
        <v>22.373762458934806</v>
      </c>
      <c r="CZ37" s="78">
        <f t="shared" si="18"/>
        <v>87.542368812585252</v>
      </c>
      <c r="DA37" s="5">
        <f t="shared" si="19"/>
        <v>2467.1437760653585</v>
      </c>
      <c r="DB37" s="5">
        <f t="shared" si="20"/>
        <v>61138.064371647066</v>
      </c>
      <c r="DC37" s="5">
        <f t="shared" si="21"/>
        <v>278354.02497608907</v>
      </c>
      <c r="DD37">
        <f t="shared" si="11"/>
        <v>1671.2909450765333</v>
      </c>
      <c r="DE37">
        <f t="shared" si="22"/>
        <v>41416.108122728663</v>
      </c>
      <c r="DF37">
        <f t="shared" si="23"/>
        <v>188562.40401606035</v>
      </c>
      <c r="DG37" s="19">
        <v>32218</v>
      </c>
      <c r="DH37" s="19">
        <v>3506</v>
      </c>
      <c r="DI37" s="19">
        <v>383</v>
      </c>
      <c r="DJ37" s="19">
        <v>12</v>
      </c>
      <c r="DK37" s="19">
        <v>3</v>
      </c>
    </row>
    <row r="38" spans="1:115" s="2" customFormat="1">
      <c r="A38" s="3">
        <v>42005</v>
      </c>
      <c r="B38">
        <f t="shared" si="25"/>
        <v>2015</v>
      </c>
      <c r="C38" s="2">
        <v>93706177.261000007</v>
      </c>
      <c r="D38" s="2">
        <v>23955417.797514301</v>
      </c>
      <c r="E38" s="2">
        <v>411760.43229093729</v>
      </c>
      <c r="F38" s="2">
        <v>24367178.229805239</v>
      </c>
      <c r="G38" s="2">
        <v>32238</v>
      </c>
      <c r="H38" s="2">
        <v>10074205.132037101</v>
      </c>
      <c r="I38" s="2">
        <v>246503.38477155243</v>
      </c>
      <c r="J38" s="2">
        <v>10320708.516808653</v>
      </c>
      <c r="K38" s="2">
        <v>3487</v>
      </c>
      <c r="L38" s="2">
        <v>21127157.017103098</v>
      </c>
      <c r="M38" s="2">
        <f>VLOOKUP('Monthly Data'!B38,'Historic CDM'!$B$111:$J$122,4,FALSE)/12+VLOOKUP('Monthly Data'!B38,'Historic CDM'!$N$111:$V$122,4,FALSE)/12</f>
        <v>980828.76198347693</v>
      </c>
      <c r="N38" s="2">
        <f t="shared" si="14"/>
        <v>22107985.779086575</v>
      </c>
      <c r="O38" s="2">
        <v>48076.866618604552</v>
      </c>
      <c r="P38" s="2">
        <v>391</v>
      </c>
      <c r="Q38" s="2">
        <v>10619014.413199998</v>
      </c>
      <c r="R38" s="2">
        <f>VLOOKUP('Monthly Data'!B38,'Historic CDM'!$B$111:$J$122,5,FALSE)/12+VLOOKUP('Monthly Data'!B38,'Historic CDM'!$N$111:$V$122,5,FALSE)/12</f>
        <v>84723.014434417375</v>
      </c>
      <c r="S38" s="2">
        <f t="shared" si="16"/>
        <v>10703737.427634416</v>
      </c>
      <c r="T38" s="2">
        <v>19862.383852374049</v>
      </c>
      <c r="U38" s="2">
        <v>8</v>
      </c>
      <c r="V38" s="2">
        <v>24085012.589797501</v>
      </c>
      <c r="W38" s="2">
        <f>VLOOKUP('Monthly Data'!B38,'Historic CDM'!$B$111:$J$122,9,FALSE)/12+VLOOKUP('Monthly Data'!B38,'Historic CDM'!$N$111:$V$122,9,FALSE)/12</f>
        <v>17525.697109559766</v>
      </c>
      <c r="X38" s="2">
        <f t="shared" si="1"/>
        <v>24102538.286907062</v>
      </c>
      <c r="Y38" s="2">
        <v>38183.661129021399</v>
      </c>
      <c r="Z38" s="2">
        <v>4</v>
      </c>
      <c r="AA38" s="2">
        <v>729730.89375020005</v>
      </c>
      <c r="AB38" s="2">
        <v>1501.8</v>
      </c>
      <c r="AC38" s="2">
        <v>10051</v>
      </c>
      <c r="AD38" s="2">
        <v>43587.72</v>
      </c>
      <c r="AE38" s="2">
        <v>60.65</v>
      </c>
      <c r="AF38" s="2">
        <v>414</v>
      </c>
      <c r="AG38" s="2">
        <v>186185.86469430002</v>
      </c>
      <c r="AH38" s="2">
        <v>263</v>
      </c>
      <c r="AI38">
        <f>Weather!C194</f>
        <v>842.79999999999984</v>
      </c>
      <c r="AJ38">
        <f>Weather!D194</f>
        <v>0</v>
      </c>
      <c r="AK38">
        <f>Weather!E194</f>
        <v>780.79999999999984</v>
      </c>
      <c r="AL38">
        <f>Weather!F194</f>
        <v>0</v>
      </c>
      <c r="AM38">
        <f>Weather!G194</f>
        <v>718.79999999999984</v>
      </c>
      <c r="AN38">
        <f>Weather!H194</f>
        <v>0</v>
      </c>
      <c r="AO38">
        <f>Weather!I194</f>
        <v>656.8</v>
      </c>
      <c r="AP38">
        <f>Weather!J194</f>
        <v>0</v>
      </c>
      <c r="AQ38">
        <f>Weather!K194</f>
        <v>594.79999999999995</v>
      </c>
      <c r="AR38">
        <f>Weather!L194</f>
        <v>0</v>
      </c>
      <c r="AS38">
        <f>Weather!M194</f>
        <v>532.80000000000007</v>
      </c>
      <c r="AT38">
        <f>Weather!N194</f>
        <v>0</v>
      </c>
      <c r="AU38">
        <f>Weather!O194</f>
        <v>470.80000000000013</v>
      </c>
      <c r="AV38">
        <f>Weather!P194</f>
        <v>0</v>
      </c>
      <c r="AW38" s="7">
        <f>Weather!Q194</f>
        <v>-7.1870967741935505</v>
      </c>
      <c r="AX38" s="5">
        <f>'Economic Variables'!D148</f>
        <v>6851.1</v>
      </c>
      <c r="AY38" s="5">
        <f>'Economic Variables'!E148</f>
        <v>6809.7</v>
      </c>
      <c r="AZ38" s="5">
        <f>'Economic Variables'!F148</f>
        <v>245.9</v>
      </c>
      <c r="BA38" s="5">
        <f>'Economic Variables'!G148</f>
        <v>244.1</v>
      </c>
      <c r="BB38" s="5">
        <f>'Economic Variables'!H148</f>
        <v>677384</v>
      </c>
      <c r="BC38" s="5">
        <f>'Economic Variables'!I148</f>
        <v>7339.5</v>
      </c>
      <c r="BD38" s="5">
        <f>'Economic Variables'!J148</f>
        <v>6552.4</v>
      </c>
      <c r="BE38" s="5">
        <f>'Economic Variables'!K148</f>
        <v>411.5</v>
      </c>
      <c r="BF38" s="5">
        <f>'Economic Variables'!L148</f>
        <v>7477.6</v>
      </c>
      <c r="BG38" s="5">
        <f>'Economic Variables'!M148</f>
        <v>23.4</v>
      </c>
      <c r="BH38" s="5">
        <f>'Economic Variables'!N148</f>
        <v>885.4</v>
      </c>
      <c r="BI38" s="5">
        <f t="shared" si="2"/>
        <v>14817.1</v>
      </c>
      <c r="BJ38" s="5">
        <f>'Economic Variables'!P148</f>
        <v>668986</v>
      </c>
      <c r="BK38" s="5">
        <f>'Economic Variables'!Q148</f>
        <v>7183</v>
      </c>
      <c r="BL38" s="5">
        <f>'Economic Variables'!R148</f>
        <v>7210</v>
      </c>
      <c r="BM38" s="5">
        <f>'Economic Variables'!S148</f>
        <v>3401</v>
      </c>
      <c r="BN38" s="5">
        <f t="shared" si="15"/>
        <v>37</v>
      </c>
      <c r="BO38" s="80">
        <f t="shared" si="3"/>
        <v>1.568201724066995</v>
      </c>
      <c r="BP38" s="5">
        <f t="shared" si="4"/>
        <v>1369</v>
      </c>
      <c r="BQ38">
        <v>1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f t="shared" si="26"/>
        <v>0</v>
      </c>
      <c r="CD38">
        <f t="shared" si="26"/>
        <v>0</v>
      </c>
      <c r="CE38">
        <f t="shared" si="5"/>
        <v>0</v>
      </c>
      <c r="CF38">
        <v>31</v>
      </c>
      <c r="CG38">
        <v>21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 s="80">
        <f t="shared" si="17"/>
        <v>24.38234404780297</v>
      </c>
      <c r="CZ38" s="78">
        <f t="shared" si="18"/>
        <v>95.476363976878673</v>
      </c>
      <c r="DA38" s="5">
        <f t="shared" si="19"/>
        <v>2692.483957993737</v>
      </c>
      <c r="DB38" s="5">
        <f t="shared" si="20"/>
        <v>63712.722783538193</v>
      </c>
      <c r="DC38" s="5">
        <f t="shared" si="21"/>
        <v>286934.97960603645</v>
      </c>
      <c r="DD38">
        <f t="shared" si="11"/>
        <v>1823.9407457376926</v>
      </c>
      <c r="DE38">
        <f t="shared" si="22"/>
        <v>43160.231563041998</v>
      </c>
      <c r="DF38">
        <f t="shared" si="23"/>
        <v>194375.30876537954</v>
      </c>
      <c r="DG38" s="19">
        <v>32238</v>
      </c>
      <c r="DH38" s="19">
        <v>3487</v>
      </c>
      <c r="DI38" s="19">
        <v>389</v>
      </c>
      <c r="DJ38" s="19">
        <v>12</v>
      </c>
      <c r="DK38" s="19">
        <v>3</v>
      </c>
    </row>
    <row r="39" spans="1:115" s="2" customFormat="1">
      <c r="A39" s="3">
        <v>42036</v>
      </c>
      <c r="B39">
        <f t="shared" si="25"/>
        <v>2015</v>
      </c>
      <c r="C39" s="2">
        <v>86375504.393000007</v>
      </c>
      <c r="D39" s="2">
        <v>22054721.879704501</v>
      </c>
      <c r="E39" s="2">
        <v>411760.43229093729</v>
      </c>
      <c r="F39" s="2">
        <v>22466482.311995439</v>
      </c>
      <c r="G39" s="2">
        <v>32248</v>
      </c>
      <c r="H39" s="2">
        <v>9620006.1389487013</v>
      </c>
      <c r="I39" s="2">
        <v>246503.38477155243</v>
      </c>
      <c r="J39" s="2">
        <v>9866509.5237202533</v>
      </c>
      <c r="K39" s="2">
        <v>3486</v>
      </c>
      <c r="L39" s="2">
        <v>19789128.018541701</v>
      </c>
      <c r="M39" s="2">
        <f>VLOOKUP('Monthly Data'!B39,'Historic CDM'!$B$111:$J$122,4,FALSE)/12+VLOOKUP('Monthly Data'!B39,'Historic CDM'!$N$111:$V$122,4,FALSE)/12</f>
        <v>980828.76198347693</v>
      </c>
      <c r="N39" s="2">
        <f t="shared" si="14"/>
        <v>20769956.780525178</v>
      </c>
      <c r="O39" s="2">
        <v>56914.191917613352</v>
      </c>
      <c r="P39" s="2">
        <v>392</v>
      </c>
      <c r="Q39" s="2">
        <v>9849896.3843999989</v>
      </c>
      <c r="R39" s="2">
        <f>VLOOKUP('Monthly Data'!B39,'Historic CDM'!$B$111:$J$122,5,FALSE)/12+VLOOKUP('Monthly Data'!B39,'Historic CDM'!$N$111:$V$122,5,FALSE)/12</f>
        <v>84723.014434417375</v>
      </c>
      <c r="S39" s="2">
        <f t="shared" si="16"/>
        <v>9934619.3988344166</v>
      </c>
      <c r="T39" s="2">
        <v>18679.629882386645</v>
      </c>
      <c r="U39" s="2">
        <v>8</v>
      </c>
      <c r="V39" s="2">
        <v>21521313.0472725</v>
      </c>
      <c r="W39" s="2">
        <f>VLOOKUP('Monthly Data'!B39,'Historic CDM'!$B$111:$J$122,9,FALSE)/12+VLOOKUP('Monthly Data'!B39,'Historic CDM'!$N$111:$V$122,9,FALSE)/12</f>
        <v>17525.697109559766</v>
      </c>
      <c r="X39" s="2">
        <f t="shared" si="1"/>
        <v>21538838.744382061</v>
      </c>
      <c r="Y39" s="2">
        <v>36441.103799999997</v>
      </c>
      <c r="Z39" s="2">
        <v>4</v>
      </c>
      <c r="AA39" s="2">
        <v>595891.8593598</v>
      </c>
      <c r="AB39" s="2">
        <v>1459.3630000000001</v>
      </c>
      <c r="AC39" s="2">
        <v>10052</v>
      </c>
      <c r="AD39" s="2">
        <v>39342.239999999998</v>
      </c>
      <c r="AE39" s="2">
        <v>150.76500000000001</v>
      </c>
      <c r="AF39" s="2">
        <v>414</v>
      </c>
      <c r="AG39" s="2">
        <v>168167.87778840002</v>
      </c>
      <c r="AH39" s="2">
        <v>263</v>
      </c>
      <c r="AI39">
        <f>Weather!C195</f>
        <v>897.09999999999991</v>
      </c>
      <c r="AJ39">
        <f>Weather!D195</f>
        <v>0</v>
      </c>
      <c r="AK39">
        <f>Weather!E195</f>
        <v>841.0999999999998</v>
      </c>
      <c r="AL39">
        <f>Weather!F195</f>
        <v>0</v>
      </c>
      <c r="AM39">
        <f>Weather!G195</f>
        <v>785.09999999999991</v>
      </c>
      <c r="AN39">
        <f>Weather!H195</f>
        <v>0</v>
      </c>
      <c r="AO39">
        <f>Weather!I195</f>
        <v>729.1</v>
      </c>
      <c r="AP39">
        <f>Weather!J195</f>
        <v>0</v>
      </c>
      <c r="AQ39">
        <f>Weather!K195</f>
        <v>673.1</v>
      </c>
      <c r="AR39">
        <f>Weather!L195</f>
        <v>0</v>
      </c>
      <c r="AS39">
        <f>Weather!M195</f>
        <v>617.1</v>
      </c>
      <c r="AT39">
        <f>Weather!N195</f>
        <v>0</v>
      </c>
      <c r="AU39">
        <f>Weather!O195</f>
        <v>561.1</v>
      </c>
      <c r="AV39">
        <f>Weather!P195</f>
        <v>0</v>
      </c>
      <c r="AW39" s="7">
        <f>Weather!Q195</f>
        <v>-12.039285714285715</v>
      </c>
      <c r="AX39" s="5">
        <f>'Economic Variables'!D149</f>
        <v>6859.2</v>
      </c>
      <c r="AY39" s="5">
        <f>'Economic Variables'!E149</f>
        <v>6782.7</v>
      </c>
      <c r="AZ39" s="5">
        <f>'Economic Variables'!F149</f>
        <v>246.4</v>
      </c>
      <c r="BA39" s="5">
        <f>'Economic Variables'!G149</f>
        <v>243.4</v>
      </c>
      <c r="BB39" s="5">
        <f>'Economic Variables'!H149</f>
        <v>677384</v>
      </c>
      <c r="BC39" s="5">
        <f>'Economic Variables'!I149</f>
        <v>7339.5</v>
      </c>
      <c r="BD39" s="5">
        <f>'Economic Variables'!J149</f>
        <v>6552.4</v>
      </c>
      <c r="BE39" s="5">
        <f>'Economic Variables'!K149</f>
        <v>411.5</v>
      </c>
      <c r="BF39" s="5">
        <f>'Economic Variables'!L149</f>
        <v>7477.6</v>
      </c>
      <c r="BG39" s="5">
        <f>'Economic Variables'!M149</f>
        <v>23.4</v>
      </c>
      <c r="BH39" s="5">
        <f>'Economic Variables'!N149</f>
        <v>885.4</v>
      </c>
      <c r="BI39" s="5">
        <f t="shared" si="2"/>
        <v>14817.1</v>
      </c>
      <c r="BJ39" s="5">
        <f>'Economic Variables'!P149</f>
        <v>668986</v>
      </c>
      <c r="BK39" s="5">
        <f>'Economic Variables'!Q149</f>
        <v>7183</v>
      </c>
      <c r="BL39" s="5">
        <f>'Economic Variables'!R149</f>
        <v>7210</v>
      </c>
      <c r="BM39" s="5">
        <f>'Economic Variables'!S149</f>
        <v>3401</v>
      </c>
      <c r="BN39" s="5">
        <f t="shared" si="15"/>
        <v>38</v>
      </c>
      <c r="BO39" s="80">
        <f t="shared" si="3"/>
        <v>1.5797835966168101</v>
      </c>
      <c r="BP39" s="5">
        <f t="shared" si="4"/>
        <v>1444</v>
      </c>
      <c r="BQ39">
        <v>0</v>
      </c>
      <c r="BR39">
        <v>1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f t="shared" si="26"/>
        <v>0</v>
      </c>
      <c r="CD39">
        <f t="shared" si="26"/>
        <v>0</v>
      </c>
      <c r="CE39">
        <f t="shared" si="5"/>
        <v>0</v>
      </c>
      <c r="CF39">
        <v>28</v>
      </c>
      <c r="CG39">
        <v>19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 s="80">
        <f t="shared" si="17"/>
        <v>24.881368403794077</v>
      </c>
      <c r="CZ39" s="78">
        <f t="shared" si="18"/>
        <v>101.08300061183769</v>
      </c>
      <c r="DA39" s="5">
        <f t="shared" si="19"/>
        <v>2788.6622959888796</v>
      </c>
      <c r="DB39" s="5">
        <f t="shared" si="20"/>
        <v>65359.338150226424</v>
      </c>
      <c r="DC39" s="5">
        <f t="shared" si="21"/>
        <v>283405.77295239555</v>
      </c>
      <c r="DD39">
        <f t="shared" si="11"/>
        <v>1892.3065579924541</v>
      </c>
      <c r="DE39">
        <f t="shared" si="22"/>
        <v>44350.97945908222</v>
      </c>
      <c r="DF39">
        <f t="shared" si="23"/>
        <v>192311.06021769697</v>
      </c>
      <c r="DG39" s="19">
        <v>32248</v>
      </c>
      <c r="DH39" s="19">
        <v>3486</v>
      </c>
      <c r="DI39" s="19">
        <v>390</v>
      </c>
      <c r="DJ39" s="19">
        <v>12</v>
      </c>
      <c r="DK39" s="19">
        <v>3</v>
      </c>
    </row>
    <row r="40" spans="1:115" s="2" customFormat="1">
      <c r="A40" s="3">
        <v>42064</v>
      </c>
      <c r="B40">
        <f t="shared" si="25"/>
        <v>2015</v>
      </c>
      <c r="C40" s="2">
        <v>86883618.301750004</v>
      </c>
      <c r="D40" s="2">
        <v>20601273.452135902</v>
      </c>
      <c r="E40" s="2">
        <v>411760.43229093729</v>
      </c>
      <c r="F40" s="2">
        <v>21013033.88442684</v>
      </c>
      <c r="G40" s="2">
        <v>32244</v>
      </c>
      <c r="H40" s="2">
        <v>9363337.8590011001</v>
      </c>
      <c r="I40" s="2">
        <v>246503.38477155243</v>
      </c>
      <c r="J40" s="2">
        <v>9609841.243772652</v>
      </c>
      <c r="K40" s="2">
        <v>3486</v>
      </c>
      <c r="L40" s="2">
        <v>19088259.5403798</v>
      </c>
      <c r="M40" s="2">
        <f>VLOOKUP('Monthly Data'!B40,'Historic CDM'!$B$111:$J$122,4,FALSE)/12+VLOOKUP('Monthly Data'!B40,'Historic CDM'!$N$111:$V$122,4,FALSE)/12</f>
        <v>980828.76198347693</v>
      </c>
      <c r="N40" s="2">
        <f t="shared" si="14"/>
        <v>20069088.302363276</v>
      </c>
      <c r="O40" s="2">
        <v>52781.01111476159</v>
      </c>
      <c r="P40" s="2">
        <v>388</v>
      </c>
      <c r="Q40" s="2">
        <v>10479747.071600001</v>
      </c>
      <c r="R40" s="2">
        <f>VLOOKUP('Monthly Data'!B40,'Historic CDM'!$B$111:$J$122,5,FALSE)/12+VLOOKUP('Monthly Data'!B40,'Historic CDM'!$N$111:$V$122,5,FALSE)/12</f>
        <v>84723.014434417375</v>
      </c>
      <c r="S40" s="2">
        <f t="shared" si="16"/>
        <v>10564470.086034419</v>
      </c>
      <c r="T40" s="2">
        <v>20412.987214533732</v>
      </c>
      <c r="U40" s="2">
        <v>8</v>
      </c>
      <c r="V40" s="2">
        <v>23125224.088889997</v>
      </c>
      <c r="W40" s="2">
        <f>VLOOKUP('Monthly Data'!B40,'Historic CDM'!$B$111:$J$122,9,FALSE)/12+VLOOKUP('Monthly Data'!B40,'Historic CDM'!$N$111:$V$122,9,FALSE)/12</f>
        <v>17525.697109559766</v>
      </c>
      <c r="X40" s="2">
        <f t="shared" si="1"/>
        <v>23142749.785999559</v>
      </c>
      <c r="Y40" s="2">
        <v>37746.088570704684</v>
      </c>
      <c r="Z40" s="2">
        <v>4</v>
      </c>
      <c r="AA40" s="2">
        <v>581103.81081980001</v>
      </c>
      <c r="AB40" s="2">
        <v>1544.9870000000001</v>
      </c>
      <c r="AC40" s="2">
        <v>10025</v>
      </c>
      <c r="AD40" s="2">
        <v>43580.411999999997</v>
      </c>
      <c r="AE40" s="2">
        <v>97.740000000000009</v>
      </c>
      <c r="AF40" s="2">
        <v>414</v>
      </c>
      <c r="AG40" s="2">
        <v>186185.86469430002</v>
      </c>
      <c r="AH40" s="2">
        <v>263</v>
      </c>
      <c r="AI40">
        <f>Weather!C196</f>
        <v>660.70000000000016</v>
      </c>
      <c r="AJ40">
        <f>Weather!D196</f>
        <v>0</v>
      </c>
      <c r="AK40">
        <f>Weather!E196</f>
        <v>598.70000000000005</v>
      </c>
      <c r="AL40">
        <f>Weather!F196</f>
        <v>0</v>
      </c>
      <c r="AM40">
        <f>Weather!G196</f>
        <v>536.70000000000005</v>
      </c>
      <c r="AN40">
        <f>Weather!H196</f>
        <v>0</v>
      </c>
      <c r="AO40">
        <f>Weather!I196</f>
        <v>474.69999999999993</v>
      </c>
      <c r="AP40">
        <f>Weather!J196</f>
        <v>0</v>
      </c>
      <c r="AQ40">
        <f>Weather!K196</f>
        <v>412.69999999999993</v>
      </c>
      <c r="AR40">
        <f>Weather!L196</f>
        <v>0</v>
      </c>
      <c r="AS40">
        <f>Weather!M196</f>
        <v>350.7</v>
      </c>
      <c r="AT40">
        <f>Weather!N196</f>
        <v>0</v>
      </c>
      <c r="AU40">
        <f>Weather!O196</f>
        <v>289.20000000000005</v>
      </c>
      <c r="AV40">
        <f>Weather!P196</f>
        <v>0.5</v>
      </c>
      <c r="AW40" s="7">
        <f>Weather!Q196</f>
        <v>-1.3129032258064521</v>
      </c>
      <c r="AX40" s="5">
        <f>'Economic Variables'!D150</f>
        <v>6870</v>
      </c>
      <c r="AY40" s="5">
        <f>'Economic Variables'!E150</f>
        <v>6761.8</v>
      </c>
      <c r="AZ40" s="5">
        <f>'Economic Variables'!F150</f>
        <v>245.3</v>
      </c>
      <c r="BA40" s="5">
        <f>'Economic Variables'!G150</f>
        <v>241.6</v>
      </c>
      <c r="BB40" s="5">
        <f>'Economic Variables'!H150</f>
        <v>677384</v>
      </c>
      <c r="BC40" s="5">
        <f>'Economic Variables'!I150</f>
        <v>7339.5</v>
      </c>
      <c r="BD40" s="5">
        <f>'Economic Variables'!J150</f>
        <v>6552.4</v>
      </c>
      <c r="BE40" s="5">
        <f>'Economic Variables'!K150</f>
        <v>411.5</v>
      </c>
      <c r="BF40" s="5">
        <f>'Economic Variables'!L150</f>
        <v>7477.6</v>
      </c>
      <c r="BG40" s="5">
        <f>'Economic Variables'!M150</f>
        <v>23.4</v>
      </c>
      <c r="BH40" s="5">
        <f>'Economic Variables'!N150</f>
        <v>885.4</v>
      </c>
      <c r="BI40" s="5">
        <f t="shared" si="2"/>
        <v>14817.1</v>
      </c>
      <c r="BJ40" s="5">
        <f>'Economic Variables'!P150</f>
        <v>668986</v>
      </c>
      <c r="BK40" s="5">
        <f>'Economic Variables'!Q150</f>
        <v>7183</v>
      </c>
      <c r="BL40" s="5">
        <f>'Economic Variables'!R150</f>
        <v>7210</v>
      </c>
      <c r="BM40" s="5">
        <f>'Economic Variables'!S150</f>
        <v>3401</v>
      </c>
      <c r="BN40" s="5">
        <f t="shared" si="15"/>
        <v>39</v>
      </c>
      <c r="BO40" s="80">
        <f t="shared" si="3"/>
        <v>1.5910646070264991</v>
      </c>
      <c r="BP40" s="5">
        <f t="shared" si="4"/>
        <v>1521</v>
      </c>
      <c r="BQ40">
        <v>0</v>
      </c>
      <c r="BR40">
        <v>0</v>
      </c>
      <c r="BS40">
        <v>1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f t="shared" si="26"/>
        <v>1</v>
      </c>
      <c r="CD40">
        <f t="shared" si="26"/>
        <v>0</v>
      </c>
      <c r="CE40">
        <f t="shared" si="5"/>
        <v>1</v>
      </c>
      <c r="CF40">
        <v>31</v>
      </c>
      <c r="CG40">
        <v>22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 s="80">
        <f t="shared" si="17"/>
        <v>21.022199563436498</v>
      </c>
      <c r="CZ40" s="78">
        <f t="shared" si="18"/>
        <v>88.925668052603513</v>
      </c>
      <c r="DA40" s="5">
        <f t="shared" si="19"/>
        <v>2351.1115630697373</v>
      </c>
      <c r="DB40" s="5">
        <f t="shared" si="20"/>
        <v>60025.398216104652</v>
      </c>
      <c r="DC40" s="5">
        <f t="shared" si="21"/>
        <v>262985.79302272224</v>
      </c>
      <c r="DD40">
        <f t="shared" si="11"/>
        <v>1668.5307866946521</v>
      </c>
      <c r="DE40">
        <f t="shared" si="22"/>
        <v>42598.669701751693</v>
      </c>
      <c r="DF40">
        <f t="shared" si="23"/>
        <v>186635.07891935128</v>
      </c>
      <c r="DG40" s="19">
        <v>32244</v>
      </c>
      <c r="DH40" s="19">
        <v>3486</v>
      </c>
      <c r="DI40" s="19">
        <v>386</v>
      </c>
      <c r="DJ40" s="19">
        <v>12</v>
      </c>
      <c r="DK40" s="19">
        <v>3</v>
      </c>
    </row>
    <row r="41" spans="1:115" s="2" customFormat="1">
      <c r="A41" s="3">
        <v>42095</v>
      </c>
      <c r="B41">
        <f t="shared" si="25"/>
        <v>2015</v>
      </c>
      <c r="C41" s="2">
        <v>79186991.558249995</v>
      </c>
      <c r="D41" s="2">
        <v>17144428.240146998</v>
      </c>
      <c r="E41" s="2">
        <v>411760.43229093729</v>
      </c>
      <c r="F41" s="2">
        <v>17556188.672437936</v>
      </c>
      <c r="G41" s="2">
        <v>32255</v>
      </c>
      <c r="H41" s="2">
        <v>7889268.5122579997</v>
      </c>
      <c r="I41" s="2">
        <v>246503.38477155243</v>
      </c>
      <c r="J41" s="2">
        <v>8135771.8970295526</v>
      </c>
      <c r="K41" s="2">
        <v>3499</v>
      </c>
      <c r="L41" s="2">
        <v>16760425.258074999</v>
      </c>
      <c r="M41" s="2">
        <f>VLOOKUP('Monthly Data'!B41,'Historic CDM'!$B$111:$J$122,4,FALSE)/12+VLOOKUP('Monthly Data'!B41,'Historic CDM'!$N$111:$V$122,4,FALSE)/12</f>
        <v>980828.76198347693</v>
      </c>
      <c r="N41" s="2">
        <f t="shared" si="14"/>
        <v>17741254.020058475</v>
      </c>
      <c r="O41" s="2">
        <v>41086.844882764424</v>
      </c>
      <c r="P41" s="2">
        <v>383</v>
      </c>
      <c r="Q41" s="2">
        <v>10165366.417399999</v>
      </c>
      <c r="R41" s="2">
        <f>VLOOKUP('Monthly Data'!B41,'Historic CDM'!$B$111:$J$122,5,FALSE)/12+VLOOKUP('Monthly Data'!B41,'Historic CDM'!$N$111:$V$122,5,FALSE)/12</f>
        <v>84723.014434417375</v>
      </c>
      <c r="S41" s="2">
        <f t="shared" si="16"/>
        <v>10250089.431834416</v>
      </c>
      <c r="T41" s="2">
        <v>20572.343817780638</v>
      </c>
      <c r="U41" s="2">
        <v>8</v>
      </c>
      <c r="V41" s="2">
        <v>23805223.8546375</v>
      </c>
      <c r="W41" s="2">
        <f>VLOOKUP('Monthly Data'!B41,'Historic CDM'!$B$111:$J$122,9,FALSE)/12+VLOOKUP('Monthly Data'!B41,'Historic CDM'!$N$111:$V$122,9,FALSE)/12</f>
        <v>17525.697109559766</v>
      </c>
      <c r="X41" s="2">
        <f t="shared" si="1"/>
        <v>23822749.551747061</v>
      </c>
      <c r="Y41" s="2">
        <v>38381.325499454935</v>
      </c>
      <c r="Z41" s="2">
        <v>4</v>
      </c>
      <c r="AA41" s="2">
        <v>491512.79700030002</v>
      </c>
      <c r="AB41" s="2">
        <v>1558.8119999999999</v>
      </c>
      <c r="AC41" s="2">
        <v>10024</v>
      </c>
      <c r="AD41" s="2">
        <v>42257.267999999996</v>
      </c>
      <c r="AE41" s="2">
        <v>66.23</v>
      </c>
      <c r="AF41" s="2">
        <v>414</v>
      </c>
      <c r="AG41" s="2">
        <v>181151.918374</v>
      </c>
      <c r="AH41" s="2">
        <v>263</v>
      </c>
      <c r="AI41">
        <f>Weather!C197</f>
        <v>390.4</v>
      </c>
      <c r="AJ41">
        <f>Weather!D197</f>
        <v>0</v>
      </c>
      <c r="AK41">
        <f>Weather!E197</f>
        <v>330.40000000000003</v>
      </c>
      <c r="AL41">
        <f>Weather!F197</f>
        <v>0</v>
      </c>
      <c r="AM41">
        <f>Weather!G197</f>
        <v>270.40000000000003</v>
      </c>
      <c r="AN41">
        <f>Weather!H197</f>
        <v>0</v>
      </c>
      <c r="AO41">
        <f>Weather!I197</f>
        <v>210.70000000000005</v>
      </c>
      <c r="AP41">
        <f>Weather!J197</f>
        <v>0.30000000000000071</v>
      </c>
      <c r="AQ41">
        <f>Weather!K197</f>
        <v>155.20000000000002</v>
      </c>
      <c r="AR41">
        <f>Weather!L197</f>
        <v>4.8000000000000007</v>
      </c>
      <c r="AS41">
        <f>Weather!M197</f>
        <v>102.1</v>
      </c>
      <c r="AT41">
        <f>Weather!N197</f>
        <v>11.700000000000001</v>
      </c>
      <c r="AU41">
        <f>Weather!O197</f>
        <v>60.499999999999993</v>
      </c>
      <c r="AV41">
        <f>Weather!P197</f>
        <v>30.100000000000005</v>
      </c>
      <c r="AW41" s="7">
        <f>Weather!Q197</f>
        <v>6.9866666666666655</v>
      </c>
      <c r="AX41" s="5">
        <f>'Economic Variables'!D151</f>
        <v>6876.8</v>
      </c>
      <c r="AY41" s="5">
        <f>'Economic Variables'!E151</f>
        <v>6786.4</v>
      </c>
      <c r="AZ41" s="5">
        <f>'Economic Variables'!F151</f>
        <v>242.6</v>
      </c>
      <c r="BA41" s="5">
        <f>'Economic Variables'!G151</f>
        <v>238.8</v>
      </c>
      <c r="BB41" s="5">
        <f>'Economic Variables'!H151</f>
        <v>677384</v>
      </c>
      <c r="BC41" s="5">
        <f>'Economic Variables'!I151</f>
        <v>7339.5</v>
      </c>
      <c r="BD41" s="5">
        <f>'Economic Variables'!J151</f>
        <v>6552.4</v>
      </c>
      <c r="BE41" s="5">
        <f>'Economic Variables'!K151</f>
        <v>411.5</v>
      </c>
      <c r="BF41" s="5">
        <f>'Economic Variables'!L151</f>
        <v>7477.6</v>
      </c>
      <c r="BG41" s="5">
        <f>'Economic Variables'!M151</f>
        <v>23.4</v>
      </c>
      <c r="BH41" s="5">
        <f>'Economic Variables'!N151</f>
        <v>885.4</v>
      </c>
      <c r="BI41" s="5">
        <f t="shared" si="2"/>
        <v>14817.1</v>
      </c>
      <c r="BJ41" s="5">
        <f>'Economic Variables'!P151</f>
        <v>673769</v>
      </c>
      <c r="BK41" s="5">
        <f>'Economic Variables'!Q151</f>
        <v>7389</v>
      </c>
      <c r="BL41" s="5">
        <f>'Economic Variables'!R151</f>
        <v>7270</v>
      </c>
      <c r="BM41" s="5">
        <f>'Economic Variables'!S151</f>
        <v>3066</v>
      </c>
      <c r="BN41" s="5">
        <f t="shared" si="15"/>
        <v>40</v>
      </c>
      <c r="BO41" s="80">
        <f t="shared" si="3"/>
        <v>1.6020599913279623</v>
      </c>
      <c r="BP41" s="5">
        <f t="shared" si="4"/>
        <v>1600</v>
      </c>
      <c r="BQ41">
        <v>0</v>
      </c>
      <c r="BR41">
        <v>0</v>
      </c>
      <c r="BS41">
        <v>0</v>
      </c>
      <c r="BT41">
        <v>1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f t="shared" si="26"/>
        <v>1</v>
      </c>
      <c r="CD41">
        <f t="shared" si="26"/>
        <v>0</v>
      </c>
      <c r="CE41">
        <f t="shared" si="5"/>
        <v>1</v>
      </c>
      <c r="CF41">
        <v>30</v>
      </c>
      <c r="CG41">
        <v>20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 s="80">
        <f t="shared" si="17"/>
        <v>18.143118557782188</v>
      </c>
      <c r="CZ41" s="78">
        <f t="shared" si="18"/>
        <v>77.505686358288585</v>
      </c>
      <c r="DA41" s="5">
        <f t="shared" si="19"/>
        <v>2316.0906031407931</v>
      </c>
      <c r="DB41" s="5">
        <f t="shared" si="20"/>
        <v>64063.058948965103</v>
      </c>
      <c r="DC41" s="5">
        <f t="shared" si="21"/>
        <v>297784.36939683824</v>
      </c>
      <c r="DD41">
        <f t="shared" si="11"/>
        <v>1544.0604020938622</v>
      </c>
      <c r="DE41">
        <f t="shared" si="22"/>
        <v>42708.705965976733</v>
      </c>
      <c r="DF41">
        <f t="shared" si="23"/>
        <v>198522.91293122552</v>
      </c>
      <c r="DG41" s="19">
        <v>32255</v>
      </c>
      <c r="DH41" s="19">
        <v>3499</v>
      </c>
      <c r="DI41" s="19">
        <v>381</v>
      </c>
      <c r="DJ41" s="19">
        <v>12</v>
      </c>
      <c r="DK41" s="19">
        <v>3</v>
      </c>
    </row>
    <row r="42" spans="1:115" s="2" customFormat="1">
      <c r="A42" s="3">
        <v>42125</v>
      </c>
      <c r="B42">
        <f t="shared" si="25"/>
        <v>2015</v>
      </c>
      <c r="C42" s="2">
        <v>80285133.112000003</v>
      </c>
      <c r="D42" s="2">
        <v>17795297.197367899</v>
      </c>
      <c r="E42" s="2">
        <v>411760.43229093729</v>
      </c>
      <c r="F42" s="2">
        <v>18207057.629658837</v>
      </c>
      <c r="G42" s="2">
        <v>32248</v>
      </c>
      <c r="H42" s="2">
        <v>8032624.5570066003</v>
      </c>
      <c r="I42" s="2">
        <v>246503.38477155243</v>
      </c>
      <c r="J42" s="2">
        <v>8279127.9417781532</v>
      </c>
      <c r="K42" s="2">
        <v>3507</v>
      </c>
      <c r="L42" s="2">
        <v>16725997.006238401</v>
      </c>
      <c r="M42" s="2">
        <f>VLOOKUP('Monthly Data'!B42,'Historic CDM'!$B$111:$J$122,4,FALSE)/12+VLOOKUP('Monthly Data'!B42,'Historic CDM'!$N$111:$V$122,4,FALSE)/12</f>
        <v>980828.76198347693</v>
      </c>
      <c r="N42" s="2">
        <f t="shared" si="14"/>
        <v>17706825.768221878</v>
      </c>
      <c r="O42" s="2">
        <v>50853.68221695895</v>
      </c>
      <c r="P42" s="2">
        <v>372</v>
      </c>
      <c r="Q42" s="2">
        <v>11247810.663000001</v>
      </c>
      <c r="R42" s="2">
        <f>VLOOKUP('Monthly Data'!B42,'Historic CDM'!$B$111:$J$122,5,FALSE)/12+VLOOKUP('Monthly Data'!B42,'Historic CDM'!$N$111:$V$122,5,FALSE)/12</f>
        <v>84723.014434417375</v>
      </c>
      <c r="S42" s="2">
        <f t="shared" si="16"/>
        <v>11332533.677434418</v>
      </c>
      <c r="T42" s="2">
        <v>20929.215416547609</v>
      </c>
      <c r="U42" s="2">
        <v>8</v>
      </c>
      <c r="V42" s="2">
        <v>22516146.853447497</v>
      </c>
      <c r="W42" s="2">
        <f>VLOOKUP('Monthly Data'!B42,'Historic CDM'!$B$111:$J$122,9,FALSE)/12+VLOOKUP('Monthly Data'!B42,'Historic CDM'!$N$111:$V$122,9,FALSE)/12</f>
        <v>17525.697109559766</v>
      </c>
      <c r="X42" s="2">
        <f t="shared" si="1"/>
        <v>22533672.550557058</v>
      </c>
      <c r="Y42" s="2">
        <v>38775.001766493442</v>
      </c>
      <c r="Z42" s="2">
        <v>4</v>
      </c>
      <c r="AA42" s="2">
        <v>447801.8658803</v>
      </c>
      <c r="AB42" s="2">
        <v>1492.104</v>
      </c>
      <c r="AC42" s="2">
        <v>10016</v>
      </c>
      <c r="AD42" s="2">
        <v>43880.928</v>
      </c>
      <c r="AE42" s="2">
        <v>101.50800000000001</v>
      </c>
      <c r="AF42" s="2">
        <v>414</v>
      </c>
      <c r="AG42" s="2">
        <v>195635.33735089999</v>
      </c>
      <c r="AH42" s="2">
        <v>263</v>
      </c>
      <c r="AI42">
        <f>Weather!C198</f>
        <v>174.60000000000002</v>
      </c>
      <c r="AJ42">
        <f>Weather!D198</f>
        <v>13.700000000000003</v>
      </c>
      <c r="AK42">
        <f>Weather!E198</f>
        <v>126.8</v>
      </c>
      <c r="AL42">
        <f>Weather!F198</f>
        <v>27.900000000000002</v>
      </c>
      <c r="AM42">
        <f>Weather!G198</f>
        <v>90.4</v>
      </c>
      <c r="AN42">
        <f>Weather!H198</f>
        <v>53.500000000000007</v>
      </c>
      <c r="AO42">
        <f>Weather!I198</f>
        <v>60</v>
      </c>
      <c r="AP42">
        <f>Weather!J198</f>
        <v>85.1</v>
      </c>
      <c r="AQ42">
        <f>Weather!K198</f>
        <v>35.700000000000003</v>
      </c>
      <c r="AR42">
        <f>Weather!L198</f>
        <v>122.79999999999998</v>
      </c>
      <c r="AS42">
        <f>Weather!M198</f>
        <v>17.7</v>
      </c>
      <c r="AT42">
        <f>Weather!N198</f>
        <v>166.8</v>
      </c>
      <c r="AU42">
        <f>Weather!O198</f>
        <v>5.3999999999999995</v>
      </c>
      <c r="AV42">
        <f>Weather!P198</f>
        <v>216.5</v>
      </c>
      <c r="AW42" s="7">
        <f>Weather!Q198</f>
        <v>14.809677419354836</v>
      </c>
      <c r="AX42" s="5">
        <f>'Economic Variables'!D152</f>
        <v>6883.3</v>
      </c>
      <c r="AY42" s="5">
        <f>'Economic Variables'!E152</f>
        <v>6848.1</v>
      </c>
      <c r="AZ42" s="5">
        <f>'Economic Variables'!F152</f>
        <v>242.8</v>
      </c>
      <c r="BA42" s="5">
        <f>'Economic Variables'!G152</f>
        <v>240.6</v>
      </c>
      <c r="BB42" s="5">
        <f>'Economic Variables'!H152</f>
        <v>677384</v>
      </c>
      <c r="BC42" s="5">
        <f>'Economic Variables'!I152</f>
        <v>7339.5</v>
      </c>
      <c r="BD42" s="5">
        <f>'Economic Variables'!J152</f>
        <v>6552.4</v>
      </c>
      <c r="BE42" s="5">
        <f>'Economic Variables'!K152</f>
        <v>411.5</v>
      </c>
      <c r="BF42" s="5">
        <f>'Economic Variables'!L152</f>
        <v>7477.6</v>
      </c>
      <c r="BG42" s="5">
        <f>'Economic Variables'!M152</f>
        <v>23.4</v>
      </c>
      <c r="BH42" s="5">
        <f>'Economic Variables'!N152</f>
        <v>885.4</v>
      </c>
      <c r="BI42" s="5">
        <f t="shared" si="2"/>
        <v>14817.1</v>
      </c>
      <c r="BJ42" s="5">
        <f>'Economic Variables'!P152</f>
        <v>673769</v>
      </c>
      <c r="BK42" s="5">
        <f>'Economic Variables'!Q152</f>
        <v>7389</v>
      </c>
      <c r="BL42" s="5">
        <f>'Economic Variables'!R152</f>
        <v>7270</v>
      </c>
      <c r="BM42" s="5">
        <f>'Economic Variables'!S152</f>
        <v>3066</v>
      </c>
      <c r="BN42" s="5">
        <f t="shared" si="15"/>
        <v>41</v>
      </c>
      <c r="BO42" s="80">
        <f t="shared" si="3"/>
        <v>1.6127838567197355</v>
      </c>
      <c r="BP42" s="5">
        <f t="shared" si="4"/>
        <v>1681</v>
      </c>
      <c r="BQ42">
        <v>0</v>
      </c>
      <c r="BR42">
        <v>0</v>
      </c>
      <c r="BS42">
        <v>0</v>
      </c>
      <c r="BT42">
        <v>0</v>
      </c>
      <c r="BU42">
        <v>1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f t="shared" si="26"/>
        <v>1</v>
      </c>
      <c r="CD42">
        <f t="shared" si="26"/>
        <v>0</v>
      </c>
      <c r="CE42">
        <f t="shared" si="5"/>
        <v>1</v>
      </c>
      <c r="CF42">
        <v>31</v>
      </c>
      <c r="CG42">
        <v>20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 s="80">
        <f t="shared" ref="CY42:CY73" si="27">F42/$CF42/G42</f>
        <v>18.212740004540251</v>
      </c>
      <c r="CZ42" s="78">
        <f t="shared" ref="CZ42:CZ73" si="28">J42/$CF42/K42</f>
        <v>76.153020611110989</v>
      </c>
      <c r="DA42" s="5">
        <f t="shared" ref="DA42:DA73" si="29">N42/$CG42/P42</f>
        <v>2379.9497000298225</v>
      </c>
      <c r="DB42" s="5">
        <f t="shared" ref="DB42:DB73" si="30">S42/$CG42/U42</f>
        <v>70828.335483965115</v>
      </c>
      <c r="DC42" s="5">
        <f t="shared" ref="DC42:DC73" si="31">X42/$CG42/Z42</f>
        <v>281670.90688196325</v>
      </c>
      <c r="DD42">
        <f t="shared" si="11"/>
        <v>1535.4514193740788</v>
      </c>
      <c r="DE42">
        <f t="shared" ref="DE42:DE73" si="32">S42/$CF42/U42</f>
        <v>45695.70031223556</v>
      </c>
      <c r="DF42">
        <f t="shared" ref="DF42:DF73" si="33">X42/$CF42/Z42</f>
        <v>181723.16573029885</v>
      </c>
      <c r="DG42" s="19">
        <v>32248</v>
      </c>
      <c r="DH42" s="19">
        <v>3507</v>
      </c>
      <c r="DI42" s="19">
        <v>370</v>
      </c>
      <c r="DJ42" s="19">
        <v>12</v>
      </c>
      <c r="DK42" s="19">
        <v>3</v>
      </c>
    </row>
    <row r="43" spans="1:115" s="2" customFormat="1">
      <c r="A43" s="3">
        <v>42156</v>
      </c>
      <c r="B43">
        <f t="shared" si="25"/>
        <v>2015</v>
      </c>
      <c r="C43" s="2">
        <v>78913001.973499998</v>
      </c>
      <c r="D43" s="2">
        <v>19421962.746427201</v>
      </c>
      <c r="E43" s="2">
        <v>411760.43229093729</v>
      </c>
      <c r="F43" s="2">
        <v>19833723.178718138</v>
      </c>
      <c r="G43" s="2">
        <v>32247</v>
      </c>
      <c r="H43" s="2">
        <v>8193658.2894118</v>
      </c>
      <c r="I43" s="2">
        <v>246503.38477155243</v>
      </c>
      <c r="J43" s="2">
        <v>8440161.6741833519</v>
      </c>
      <c r="K43" s="2">
        <v>3498</v>
      </c>
      <c r="L43" s="2">
        <v>16956282.536887601</v>
      </c>
      <c r="M43" s="2">
        <f>VLOOKUP('Monthly Data'!B43,'Historic CDM'!$B$111:$J$122,4,FALSE)/12+VLOOKUP('Monthly Data'!B43,'Historic CDM'!$N$111:$V$122,4,FALSE)/12</f>
        <v>980828.76198347693</v>
      </c>
      <c r="N43" s="2">
        <f t="shared" si="14"/>
        <v>17937111.298871078</v>
      </c>
      <c r="O43" s="2">
        <v>57657.058155134873</v>
      </c>
      <c r="P43" s="2">
        <v>373</v>
      </c>
      <c r="Q43" s="2">
        <v>10320893.4268</v>
      </c>
      <c r="R43" s="2">
        <f>VLOOKUP('Monthly Data'!B43,'Historic CDM'!$B$111:$J$122,5,FALSE)/12+VLOOKUP('Monthly Data'!B43,'Historic CDM'!$N$111:$V$122,5,FALSE)/12</f>
        <v>84723.014434417375</v>
      </c>
      <c r="S43" s="2">
        <f t="shared" si="16"/>
        <v>10405616.441234417</v>
      </c>
      <c r="T43" s="2">
        <v>21843.619802795318</v>
      </c>
      <c r="U43" s="2">
        <v>8</v>
      </c>
      <c r="V43" s="2">
        <v>20510257.566892501</v>
      </c>
      <c r="W43" s="2">
        <f>VLOOKUP('Monthly Data'!B43,'Historic CDM'!$B$111:$J$122,9,FALSE)/12+VLOOKUP('Monthly Data'!B43,'Historic CDM'!$N$111:$V$122,9,FALSE)/12</f>
        <v>17525.697109559766</v>
      </c>
      <c r="X43" s="2">
        <f t="shared" si="1"/>
        <v>20527783.264002062</v>
      </c>
      <c r="Y43" s="2">
        <v>38293.602042069811</v>
      </c>
      <c r="Z43" s="2">
        <v>4</v>
      </c>
      <c r="AA43" s="2">
        <v>401992.77179959998</v>
      </c>
      <c r="AB43" s="2">
        <v>1488.2429999999999</v>
      </c>
      <c r="AC43" s="2">
        <v>9988</v>
      </c>
      <c r="AD43" s="2">
        <v>42286.631999999998</v>
      </c>
      <c r="AE43" s="2">
        <v>154.94600000000003</v>
      </c>
      <c r="AF43" s="2">
        <v>414</v>
      </c>
      <c r="AG43" s="2">
        <v>181328.96933340002</v>
      </c>
      <c r="AH43" s="2">
        <v>262</v>
      </c>
      <c r="AI43">
        <f>Weather!C199</f>
        <v>86.600000000000023</v>
      </c>
      <c r="AJ43">
        <f>Weather!D199</f>
        <v>8.4999999999999964</v>
      </c>
      <c r="AK43">
        <f>Weather!E199</f>
        <v>46.900000000000006</v>
      </c>
      <c r="AL43">
        <f>Weather!F199</f>
        <v>28.799999999999997</v>
      </c>
      <c r="AM43">
        <f>Weather!G199</f>
        <v>22.6</v>
      </c>
      <c r="AN43">
        <f>Weather!H199</f>
        <v>64.5</v>
      </c>
      <c r="AO43">
        <f>Weather!I199</f>
        <v>11.9</v>
      </c>
      <c r="AP43">
        <f>Weather!J199</f>
        <v>113.80000000000001</v>
      </c>
      <c r="AQ43">
        <f>Weather!K199</f>
        <v>4.7000000000000011</v>
      </c>
      <c r="AR43">
        <f>Weather!L199</f>
        <v>166.60000000000005</v>
      </c>
      <c r="AS43">
        <f>Weather!M199</f>
        <v>0.5</v>
      </c>
      <c r="AT43">
        <f>Weather!N199</f>
        <v>222.39999999999998</v>
      </c>
      <c r="AU43">
        <f>Weather!O199</f>
        <v>0</v>
      </c>
      <c r="AV43">
        <f>Weather!P199</f>
        <v>281.89999999999992</v>
      </c>
      <c r="AW43" s="7">
        <f>Weather!Q199</f>
        <v>17.396666666666668</v>
      </c>
      <c r="AX43" s="5">
        <f>'Economic Variables'!D153</f>
        <v>6883.6</v>
      </c>
      <c r="AY43" s="5">
        <f>'Economic Variables'!E153</f>
        <v>6930.1</v>
      </c>
      <c r="AZ43" s="5">
        <f>'Economic Variables'!F153</f>
        <v>247.8</v>
      </c>
      <c r="BA43" s="5">
        <f>'Economic Variables'!G153</f>
        <v>250</v>
      </c>
      <c r="BB43" s="5">
        <f>'Economic Variables'!H153</f>
        <v>677384</v>
      </c>
      <c r="BC43" s="5">
        <f>'Economic Variables'!I153</f>
        <v>7339.5</v>
      </c>
      <c r="BD43" s="5">
        <f>'Economic Variables'!J153</f>
        <v>6552.4</v>
      </c>
      <c r="BE43" s="5">
        <f>'Economic Variables'!K153</f>
        <v>411.5</v>
      </c>
      <c r="BF43" s="5">
        <f>'Economic Variables'!L153</f>
        <v>7477.6</v>
      </c>
      <c r="BG43" s="5">
        <f>'Economic Variables'!M153</f>
        <v>23.4</v>
      </c>
      <c r="BH43" s="5">
        <f>'Economic Variables'!N153</f>
        <v>885.4</v>
      </c>
      <c r="BI43" s="5">
        <f t="shared" ref="BI43:BI97" si="34">BC43+BF43</f>
        <v>14817.1</v>
      </c>
      <c r="BJ43" s="5">
        <f>'Economic Variables'!P153</f>
        <v>673769</v>
      </c>
      <c r="BK43" s="5">
        <f>'Economic Variables'!Q153</f>
        <v>7389</v>
      </c>
      <c r="BL43" s="5">
        <f>'Economic Variables'!R153</f>
        <v>7270</v>
      </c>
      <c r="BM43" s="5">
        <f>'Economic Variables'!S153</f>
        <v>3066</v>
      </c>
      <c r="BN43" s="5">
        <f t="shared" ref="BN43:BN107" si="35">BN42+1</f>
        <v>42</v>
      </c>
      <c r="BO43" s="80">
        <f t="shared" ref="BO43:BO97" si="36">LOG(BN43)</f>
        <v>1.6232492903979006</v>
      </c>
      <c r="BP43" s="5">
        <f t="shared" ref="BP43:BP97" si="37">BN43^2</f>
        <v>1764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1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f t="shared" si="26"/>
        <v>0</v>
      </c>
      <c r="CD43">
        <f t="shared" si="26"/>
        <v>0</v>
      </c>
      <c r="CE43">
        <f t="shared" ref="CE43:CE97" si="38">CC43+CD43</f>
        <v>0</v>
      </c>
      <c r="CF43">
        <v>30</v>
      </c>
      <c r="CG43">
        <v>22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 s="80">
        <f t="shared" si="27"/>
        <v>20.501879429319668</v>
      </c>
      <c r="CZ43" s="78">
        <f t="shared" si="28"/>
        <v>80.42845125007959</v>
      </c>
      <c r="DA43" s="5">
        <f t="shared" si="29"/>
        <v>2185.8531926481937</v>
      </c>
      <c r="DB43" s="5">
        <f t="shared" si="30"/>
        <v>59122.820688831918</v>
      </c>
      <c r="DC43" s="5">
        <f t="shared" si="31"/>
        <v>233270.26436365981</v>
      </c>
      <c r="DD43">
        <f t="shared" ref="DD43:DD97" si="39">N43/$CF43/P43</f>
        <v>1602.9590079420088</v>
      </c>
      <c r="DE43">
        <f t="shared" si="32"/>
        <v>43356.735171810069</v>
      </c>
      <c r="DF43">
        <f t="shared" si="33"/>
        <v>171064.86053335053</v>
      </c>
      <c r="DG43" s="19">
        <v>32247</v>
      </c>
      <c r="DH43" s="19">
        <v>3498</v>
      </c>
      <c r="DI43" s="19">
        <v>371</v>
      </c>
      <c r="DJ43" s="19">
        <v>12</v>
      </c>
      <c r="DK43" s="19">
        <v>3</v>
      </c>
    </row>
    <row r="44" spans="1:115" s="2" customFormat="1">
      <c r="A44" s="3">
        <v>42186</v>
      </c>
      <c r="B44">
        <f t="shared" si="25"/>
        <v>2015</v>
      </c>
      <c r="C44" s="2">
        <v>92218313.059249997</v>
      </c>
      <c r="D44" s="2">
        <v>25140718.3564822</v>
      </c>
      <c r="E44" s="2">
        <v>411760.43229093729</v>
      </c>
      <c r="F44" s="2">
        <v>25552478.788773138</v>
      </c>
      <c r="G44" s="2">
        <v>32267</v>
      </c>
      <c r="H44" s="2">
        <v>9573216.3670492005</v>
      </c>
      <c r="I44" s="2">
        <v>246503.38477155243</v>
      </c>
      <c r="J44" s="2">
        <v>9819719.7518207524</v>
      </c>
      <c r="K44" s="2">
        <v>3502</v>
      </c>
      <c r="L44" s="2">
        <v>19544040.175966602</v>
      </c>
      <c r="M44" s="2">
        <f>VLOOKUP('Monthly Data'!B44,'Historic CDM'!$B$111:$J$122,4,FALSE)/12+VLOOKUP('Monthly Data'!B44,'Historic CDM'!$N$111:$V$122,4,FALSE)/12</f>
        <v>980828.76198347693</v>
      </c>
      <c r="N44" s="2">
        <f t="shared" si="14"/>
        <v>20524868.937950078</v>
      </c>
      <c r="O44" s="2">
        <v>51963.901957595561</v>
      </c>
      <c r="P44" s="2">
        <v>374</v>
      </c>
      <c r="Q44" s="2">
        <v>10585479.742399998</v>
      </c>
      <c r="R44" s="2">
        <f>VLOOKUP('Monthly Data'!B44,'Historic CDM'!$B$111:$J$122,5,FALSE)/12+VLOOKUP('Monthly Data'!B44,'Historic CDM'!$N$111:$V$122,5,FALSE)/12</f>
        <v>84723.014434417375</v>
      </c>
      <c r="S44" s="2">
        <f t="shared" si="16"/>
        <v>10670202.756834416</v>
      </c>
      <c r="T44" s="2">
        <v>22057.823942404444</v>
      </c>
      <c r="U44" s="2">
        <v>8</v>
      </c>
      <c r="V44" s="2">
        <v>23340537.250717502</v>
      </c>
      <c r="W44" s="2">
        <f>VLOOKUP('Monthly Data'!B44,'Historic CDM'!$B$111:$J$122,9,FALSE)/12+VLOOKUP('Monthly Data'!B44,'Historic CDM'!$N$111:$V$122,9,FALSE)/12</f>
        <v>17525.697109559766</v>
      </c>
      <c r="X44" s="2">
        <f t="shared" si="1"/>
        <v>23358062.947827064</v>
      </c>
      <c r="Y44" s="2">
        <v>39824.576700000005</v>
      </c>
      <c r="Z44" s="2">
        <v>4</v>
      </c>
      <c r="AA44" s="2">
        <v>434052.45665030001</v>
      </c>
      <c r="AB44" s="2">
        <v>1487.933</v>
      </c>
      <c r="AC44" s="2">
        <v>9989</v>
      </c>
      <c r="AD44" s="2">
        <v>42568.091999999997</v>
      </c>
      <c r="AE44" s="2">
        <v>112.15899999999999</v>
      </c>
      <c r="AF44" s="2">
        <v>414</v>
      </c>
      <c r="AG44" s="2">
        <v>187346.36201060002</v>
      </c>
      <c r="AH44" s="2">
        <v>262</v>
      </c>
      <c r="AI44">
        <f>Weather!C200</f>
        <v>33.399999999999991</v>
      </c>
      <c r="AJ44">
        <f>Weather!D200</f>
        <v>45.6</v>
      </c>
      <c r="AK44">
        <f>Weather!E200</f>
        <v>13.599999999999998</v>
      </c>
      <c r="AL44">
        <f>Weather!F200</f>
        <v>87.800000000000011</v>
      </c>
      <c r="AM44">
        <f>Weather!G200</f>
        <v>1.8999999999999986</v>
      </c>
      <c r="AN44">
        <f>Weather!H200</f>
        <v>138.1</v>
      </c>
      <c r="AO44">
        <f>Weather!I200</f>
        <v>0</v>
      </c>
      <c r="AP44">
        <f>Weather!J200</f>
        <v>198.19999999999996</v>
      </c>
      <c r="AQ44">
        <f>Weather!K200</f>
        <v>0</v>
      </c>
      <c r="AR44">
        <f>Weather!L200</f>
        <v>260.2</v>
      </c>
      <c r="AS44">
        <f>Weather!M200</f>
        <v>0</v>
      </c>
      <c r="AT44">
        <f>Weather!N200</f>
        <v>322.2</v>
      </c>
      <c r="AU44">
        <f>Weather!O200</f>
        <v>0</v>
      </c>
      <c r="AV44">
        <f>Weather!P200</f>
        <v>384.2</v>
      </c>
      <c r="AW44" s="7">
        <f>Weather!Q200</f>
        <v>20.393548387096775</v>
      </c>
      <c r="AX44" s="5">
        <f>'Economic Variables'!D154</f>
        <v>6891.7</v>
      </c>
      <c r="AY44" s="5">
        <f>'Economic Variables'!E154</f>
        <v>6986.1</v>
      </c>
      <c r="AZ44" s="5">
        <f>'Economic Variables'!F154</f>
        <v>250.6</v>
      </c>
      <c r="BA44" s="5">
        <f>'Economic Variables'!G154</f>
        <v>256</v>
      </c>
      <c r="BB44" s="5">
        <f>'Economic Variables'!H154</f>
        <v>677384</v>
      </c>
      <c r="BC44" s="5">
        <f>'Economic Variables'!I154</f>
        <v>7339.5</v>
      </c>
      <c r="BD44" s="5">
        <f>'Economic Variables'!J154</f>
        <v>6552.4</v>
      </c>
      <c r="BE44" s="5">
        <f>'Economic Variables'!K154</f>
        <v>411.5</v>
      </c>
      <c r="BF44" s="5">
        <f>'Economic Variables'!L154</f>
        <v>7477.6</v>
      </c>
      <c r="BG44" s="5">
        <f>'Economic Variables'!M154</f>
        <v>23.4</v>
      </c>
      <c r="BH44" s="5">
        <f>'Economic Variables'!N154</f>
        <v>885.4</v>
      </c>
      <c r="BI44" s="5">
        <f t="shared" si="34"/>
        <v>14817.1</v>
      </c>
      <c r="BJ44" s="5">
        <f>'Economic Variables'!P154</f>
        <v>679927</v>
      </c>
      <c r="BK44" s="5">
        <f>'Economic Variables'!Q154</f>
        <v>7371</v>
      </c>
      <c r="BL44" s="5">
        <f>'Economic Variables'!R154</f>
        <v>7520</v>
      </c>
      <c r="BM44" s="5">
        <f>'Economic Variables'!S154</f>
        <v>3089</v>
      </c>
      <c r="BN44" s="5">
        <f t="shared" si="35"/>
        <v>43</v>
      </c>
      <c r="BO44" s="80">
        <f t="shared" si="36"/>
        <v>1.6334684555795864</v>
      </c>
      <c r="BP44" s="5">
        <f t="shared" si="37"/>
        <v>1849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1</v>
      </c>
      <c r="BX44">
        <v>0</v>
      </c>
      <c r="BY44">
        <v>0</v>
      </c>
      <c r="BZ44">
        <v>0</v>
      </c>
      <c r="CA44">
        <v>0</v>
      </c>
      <c r="CB44">
        <v>0</v>
      </c>
      <c r="CC44">
        <f t="shared" si="26"/>
        <v>0</v>
      </c>
      <c r="CD44">
        <f t="shared" si="26"/>
        <v>0</v>
      </c>
      <c r="CE44">
        <f t="shared" si="38"/>
        <v>0</v>
      </c>
      <c r="CF44">
        <v>31</v>
      </c>
      <c r="CG44">
        <v>22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 s="80">
        <f t="shared" si="27"/>
        <v>25.545402712221854</v>
      </c>
      <c r="CZ44" s="78">
        <f t="shared" si="28"/>
        <v>90.452642285705423</v>
      </c>
      <c r="DA44" s="5">
        <f t="shared" si="29"/>
        <v>2494.5149414134758</v>
      </c>
      <c r="DB44" s="5">
        <f t="shared" si="30"/>
        <v>60626.15202746827</v>
      </c>
      <c r="DC44" s="5">
        <f t="shared" si="31"/>
        <v>265432.53349803481</v>
      </c>
      <c r="DD44">
        <f t="shared" si="39"/>
        <v>1770.300926164402</v>
      </c>
      <c r="DE44">
        <f t="shared" si="32"/>
        <v>43025.011116267808</v>
      </c>
      <c r="DF44">
        <f t="shared" si="33"/>
        <v>188371.47538570213</v>
      </c>
      <c r="DG44" s="19">
        <v>32267</v>
      </c>
      <c r="DH44" s="19">
        <v>3502</v>
      </c>
      <c r="DI44" s="19">
        <v>372</v>
      </c>
      <c r="DJ44" s="19">
        <v>12</v>
      </c>
      <c r="DK44" s="19">
        <v>3</v>
      </c>
    </row>
    <row r="45" spans="1:115" s="2" customFormat="1">
      <c r="A45" s="3">
        <v>42217</v>
      </c>
      <c r="B45">
        <f t="shared" si="25"/>
        <v>2015</v>
      </c>
      <c r="C45" s="2">
        <v>90914283.151999995</v>
      </c>
      <c r="D45" s="2">
        <v>24336690.4962353</v>
      </c>
      <c r="E45" s="2">
        <v>411760.43229093729</v>
      </c>
      <c r="F45" s="2">
        <v>24748450.928526238</v>
      </c>
      <c r="G45" s="2">
        <v>32286</v>
      </c>
      <c r="H45" s="2">
        <v>9079712.5915679</v>
      </c>
      <c r="I45" s="2">
        <v>246503.38477155243</v>
      </c>
      <c r="J45" s="2">
        <v>9326215.976339452</v>
      </c>
      <c r="K45" s="2">
        <v>3502</v>
      </c>
      <c r="L45" s="2">
        <v>18690342.492731102</v>
      </c>
      <c r="M45" s="2">
        <f>VLOOKUP('Monthly Data'!B45,'Historic CDM'!$B$111:$J$122,4,FALSE)/12+VLOOKUP('Monthly Data'!B45,'Historic CDM'!$N$111:$V$122,4,FALSE)/12</f>
        <v>980828.76198347693</v>
      </c>
      <c r="N45" s="2">
        <f t="shared" si="14"/>
        <v>19671171.254714578</v>
      </c>
      <c r="O45" s="2">
        <v>46670.487867734329</v>
      </c>
      <c r="P45" s="2">
        <v>375</v>
      </c>
      <c r="Q45" s="2">
        <v>11092761.632399999</v>
      </c>
      <c r="R45" s="2">
        <f>VLOOKUP('Monthly Data'!B45,'Historic CDM'!$B$111:$J$122,5,FALSE)/12+VLOOKUP('Monthly Data'!B45,'Historic CDM'!$N$111:$V$122,5,FALSE)/12</f>
        <v>84723.014434417375</v>
      </c>
      <c r="S45" s="2">
        <f t="shared" si="16"/>
        <v>11177484.646834416</v>
      </c>
      <c r="T45" s="2">
        <v>22468.89514408524</v>
      </c>
      <c r="U45" s="2">
        <v>8</v>
      </c>
      <c r="V45" s="2">
        <v>23407162.652857501</v>
      </c>
      <c r="W45" s="2">
        <f>VLOOKUP('Monthly Data'!B45,'Historic CDM'!$B$111:$J$122,9,FALSE)/12+VLOOKUP('Monthly Data'!B45,'Historic CDM'!$N$111:$V$122,9,FALSE)/12</f>
        <v>17525.697109559766</v>
      </c>
      <c r="X45" s="2">
        <f t="shared" si="1"/>
        <v>23424688.349967062</v>
      </c>
      <c r="Y45" s="2">
        <v>37723.745988180424</v>
      </c>
      <c r="Z45" s="2">
        <v>4</v>
      </c>
      <c r="AA45" s="2">
        <v>486564.9277304</v>
      </c>
      <c r="AB45" s="2">
        <v>1485.3601000000001</v>
      </c>
      <c r="AC45" s="2">
        <v>10002</v>
      </c>
      <c r="AD45" s="2">
        <v>42456.887999999999</v>
      </c>
      <c r="AE45" s="2">
        <v>59.210999999999999</v>
      </c>
      <c r="AF45" s="2">
        <v>409</v>
      </c>
      <c r="AG45" s="2">
        <v>187380.55379140002</v>
      </c>
      <c r="AH45" s="2">
        <v>262</v>
      </c>
      <c r="AI45">
        <f>Weather!C201</f>
        <v>33.700000000000003</v>
      </c>
      <c r="AJ45">
        <f>Weather!D201</f>
        <v>40.700000000000003</v>
      </c>
      <c r="AK45">
        <f>Weather!E201</f>
        <v>13.3</v>
      </c>
      <c r="AL45">
        <f>Weather!F201</f>
        <v>82.3</v>
      </c>
      <c r="AM45">
        <f>Weather!G201</f>
        <v>1.6000000000000014</v>
      </c>
      <c r="AN45">
        <f>Weather!H201</f>
        <v>132.59999999999997</v>
      </c>
      <c r="AO45">
        <f>Weather!I201</f>
        <v>0</v>
      </c>
      <c r="AP45">
        <f>Weather!J201</f>
        <v>192.99999999999994</v>
      </c>
      <c r="AQ45">
        <f>Weather!K201</f>
        <v>0</v>
      </c>
      <c r="AR45">
        <f>Weather!L201</f>
        <v>254.99999999999994</v>
      </c>
      <c r="AS45">
        <f>Weather!M201</f>
        <v>0</v>
      </c>
      <c r="AT45">
        <f>Weather!N201</f>
        <v>317</v>
      </c>
      <c r="AU45">
        <f>Weather!O201</f>
        <v>0</v>
      </c>
      <c r="AV45">
        <f>Weather!P201</f>
        <v>379</v>
      </c>
      <c r="AW45" s="7">
        <f>Weather!Q201</f>
        <v>20.225806451612904</v>
      </c>
      <c r="AX45" s="5">
        <f>'Economic Variables'!D155</f>
        <v>6896.8</v>
      </c>
      <c r="AY45" s="5">
        <f>'Economic Variables'!E155</f>
        <v>7000.2</v>
      </c>
      <c r="AZ45" s="5">
        <f>'Economic Variables'!F155</f>
        <v>253.2</v>
      </c>
      <c r="BA45" s="5">
        <f>'Economic Variables'!G155</f>
        <v>260.7</v>
      </c>
      <c r="BB45" s="5">
        <f>'Economic Variables'!H155</f>
        <v>677384</v>
      </c>
      <c r="BC45" s="5">
        <f>'Economic Variables'!I155</f>
        <v>7339.5</v>
      </c>
      <c r="BD45" s="5">
        <f>'Economic Variables'!J155</f>
        <v>6552.4</v>
      </c>
      <c r="BE45" s="5">
        <f>'Economic Variables'!K155</f>
        <v>411.5</v>
      </c>
      <c r="BF45" s="5">
        <f>'Economic Variables'!L155</f>
        <v>7477.6</v>
      </c>
      <c r="BG45" s="5">
        <f>'Economic Variables'!M155</f>
        <v>23.4</v>
      </c>
      <c r="BH45" s="5">
        <f>'Economic Variables'!N155</f>
        <v>885.4</v>
      </c>
      <c r="BI45" s="5">
        <f t="shared" si="34"/>
        <v>14817.1</v>
      </c>
      <c r="BJ45" s="5">
        <f>'Economic Variables'!P155</f>
        <v>679927</v>
      </c>
      <c r="BK45" s="5">
        <f>'Economic Variables'!Q155</f>
        <v>7371</v>
      </c>
      <c r="BL45" s="5">
        <f>'Economic Variables'!R155</f>
        <v>7520</v>
      </c>
      <c r="BM45" s="5">
        <f>'Economic Variables'!S155</f>
        <v>3089</v>
      </c>
      <c r="BN45" s="5">
        <f t="shared" si="35"/>
        <v>44</v>
      </c>
      <c r="BO45" s="80">
        <f t="shared" si="36"/>
        <v>1.6434526764861874</v>
      </c>
      <c r="BP45" s="5">
        <f t="shared" si="37"/>
        <v>1936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1</v>
      </c>
      <c r="BY45">
        <v>0</v>
      </c>
      <c r="BZ45">
        <v>0</v>
      </c>
      <c r="CA45">
        <v>0</v>
      </c>
      <c r="CB45">
        <v>0</v>
      </c>
      <c r="CC45">
        <f t="shared" si="26"/>
        <v>0</v>
      </c>
      <c r="CD45">
        <f t="shared" si="26"/>
        <v>0</v>
      </c>
      <c r="CE45">
        <f t="shared" si="38"/>
        <v>0</v>
      </c>
      <c r="CF45">
        <v>31</v>
      </c>
      <c r="CG45">
        <v>20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 s="80">
        <f t="shared" si="27"/>
        <v>24.727037314212129</v>
      </c>
      <c r="CZ45" s="78">
        <f t="shared" si="28"/>
        <v>85.906818005742821</v>
      </c>
      <c r="DA45" s="5">
        <f t="shared" si="29"/>
        <v>2622.8228339619436</v>
      </c>
      <c r="DB45" s="5">
        <f t="shared" si="30"/>
        <v>69859.279042715105</v>
      </c>
      <c r="DC45" s="5">
        <f t="shared" si="31"/>
        <v>292808.60437458829</v>
      </c>
      <c r="DD45">
        <f t="shared" si="39"/>
        <v>1692.1437638464154</v>
      </c>
      <c r="DE45">
        <f t="shared" si="32"/>
        <v>45070.502608203293</v>
      </c>
      <c r="DF45">
        <f t="shared" si="33"/>
        <v>188908.77701586339</v>
      </c>
      <c r="DG45" s="19">
        <v>32286</v>
      </c>
      <c r="DH45" s="19">
        <v>3502</v>
      </c>
      <c r="DI45" s="19">
        <v>373</v>
      </c>
      <c r="DJ45" s="19">
        <v>12</v>
      </c>
      <c r="DK45" s="19">
        <v>3</v>
      </c>
    </row>
    <row r="46" spans="1:115" s="2" customFormat="1">
      <c r="A46" s="3">
        <v>42248</v>
      </c>
      <c r="B46">
        <f t="shared" si="25"/>
        <v>2015</v>
      </c>
      <c r="C46" s="2">
        <v>85803166.102500007</v>
      </c>
      <c r="D46" s="2">
        <v>21744443.9174571</v>
      </c>
      <c r="E46" s="2">
        <v>411760.43229093729</v>
      </c>
      <c r="F46" s="2">
        <v>22156204.349748038</v>
      </c>
      <c r="G46" s="2">
        <v>32292</v>
      </c>
      <c r="H46" s="2">
        <v>8842176.8665085007</v>
      </c>
      <c r="I46" s="2">
        <v>246503.38477155243</v>
      </c>
      <c r="J46" s="2">
        <v>9088680.2512800526</v>
      </c>
      <c r="K46" s="2">
        <v>3499</v>
      </c>
      <c r="L46" s="2">
        <v>18142037.701115999</v>
      </c>
      <c r="M46" s="2">
        <f>VLOOKUP('Monthly Data'!B46,'Historic CDM'!$B$111:$J$122,4,FALSE)/12+VLOOKUP('Monthly Data'!B46,'Historic CDM'!$N$111:$V$122,4,FALSE)/12</f>
        <v>980828.76198347693</v>
      </c>
      <c r="N46" s="2">
        <f t="shared" si="14"/>
        <v>19122866.463099476</v>
      </c>
      <c r="O46" s="2">
        <v>58182.384217442028</v>
      </c>
      <c r="P46" s="2">
        <v>375</v>
      </c>
      <c r="Q46" s="2">
        <v>11219875.156200001</v>
      </c>
      <c r="R46" s="2">
        <f>VLOOKUP('Monthly Data'!B46,'Historic CDM'!$B$111:$J$122,5,FALSE)/12+VLOOKUP('Monthly Data'!B46,'Historic CDM'!$N$111:$V$122,5,FALSE)/12</f>
        <v>84723.014434417375</v>
      </c>
      <c r="S46" s="2">
        <f t="shared" si="16"/>
        <v>11304598.170634419</v>
      </c>
      <c r="T46" s="2">
        <v>22402.005782244472</v>
      </c>
      <c r="U46" s="2">
        <v>8</v>
      </c>
      <c r="V46" s="2">
        <v>21433346.550000001</v>
      </c>
      <c r="W46" s="2">
        <f>VLOOKUP('Monthly Data'!B46,'Historic CDM'!$B$111:$J$122,9,FALSE)/12+VLOOKUP('Monthly Data'!B46,'Historic CDM'!$N$111:$V$122,9,FALSE)/12</f>
        <v>17525.697109559766</v>
      </c>
      <c r="X46" s="2">
        <f t="shared" si="1"/>
        <v>21450872.247109562</v>
      </c>
      <c r="Y46" s="2">
        <v>37592.154400313499</v>
      </c>
      <c r="Z46" s="2">
        <v>4</v>
      </c>
      <c r="AA46" s="2">
        <v>528767.34329979995</v>
      </c>
      <c r="AB46" s="2">
        <v>1417.73</v>
      </c>
      <c r="AC46" s="2">
        <v>9997</v>
      </c>
      <c r="AD46" s="2">
        <v>41275.440000000002</v>
      </c>
      <c r="AE46" s="2">
        <v>141.654</v>
      </c>
      <c r="AF46" s="2">
        <v>409</v>
      </c>
      <c r="AG46" s="2">
        <v>181572.52001900002</v>
      </c>
      <c r="AH46" s="2">
        <v>262</v>
      </c>
      <c r="AI46">
        <f>Weather!C202</f>
        <v>54.5</v>
      </c>
      <c r="AJ46">
        <f>Weather!D202</f>
        <v>42.900000000000006</v>
      </c>
      <c r="AK46">
        <f>Weather!E202</f>
        <v>25</v>
      </c>
      <c r="AL46">
        <f>Weather!F202</f>
        <v>73.400000000000006</v>
      </c>
      <c r="AM46">
        <f>Weather!G202</f>
        <v>9.3000000000000007</v>
      </c>
      <c r="AN46">
        <f>Weather!H202</f>
        <v>117.69999999999999</v>
      </c>
      <c r="AO46">
        <f>Weather!I202</f>
        <v>1.5999999999999996</v>
      </c>
      <c r="AP46">
        <f>Weather!J202</f>
        <v>169.99999999999997</v>
      </c>
      <c r="AQ46">
        <f>Weather!K202</f>
        <v>0</v>
      </c>
      <c r="AR46">
        <f>Weather!L202</f>
        <v>228.39999999999998</v>
      </c>
      <c r="AS46">
        <f>Weather!M202</f>
        <v>0</v>
      </c>
      <c r="AT46">
        <f>Weather!N202</f>
        <v>288.39999999999998</v>
      </c>
      <c r="AU46">
        <f>Weather!O202</f>
        <v>0</v>
      </c>
      <c r="AV46">
        <f>Weather!P202</f>
        <v>348.40000000000003</v>
      </c>
      <c r="AW46" s="7">
        <f>Weather!Q202</f>
        <v>19.613333333333333</v>
      </c>
      <c r="AX46" s="5">
        <f>'Economic Variables'!D156</f>
        <v>6893.1</v>
      </c>
      <c r="AY46" s="5">
        <f>'Economic Variables'!E156</f>
        <v>6953.7</v>
      </c>
      <c r="AZ46" s="5">
        <f>'Economic Variables'!F156</f>
        <v>250.6</v>
      </c>
      <c r="BA46" s="5">
        <f>'Economic Variables'!G156</f>
        <v>253.9</v>
      </c>
      <c r="BB46" s="5">
        <f>'Economic Variables'!H156</f>
        <v>677384</v>
      </c>
      <c r="BC46" s="5">
        <f>'Economic Variables'!I156</f>
        <v>7339.5</v>
      </c>
      <c r="BD46" s="5">
        <f>'Economic Variables'!J156</f>
        <v>6552.4</v>
      </c>
      <c r="BE46" s="5">
        <f>'Economic Variables'!K156</f>
        <v>411.5</v>
      </c>
      <c r="BF46" s="5">
        <f>'Economic Variables'!L156</f>
        <v>7477.6</v>
      </c>
      <c r="BG46" s="5">
        <f>'Economic Variables'!M156</f>
        <v>23.4</v>
      </c>
      <c r="BH46" s="5">
        <f>'Economic Variables'!N156</f>
        <v>885.4</v>
      </c>
      <c r="BI46" s="5">
        <f t="shared" si="34"/>
        <v>14817.1</v>
      </c>
      <c r="BJ46" s="5">
        <f>'Economic Variables'!P156</f>
        <v>679927</v>
      </c>
      <c r="BK46" s="5">
        <f>'Economic Variables'!Q156</f>
        <v>7371</v>
      </c>
      <c r="BL46" s="5">
        <f>'Economic Variables'!R156</f>
        <v>7520</v>
      </c>
      <c r="BM46" s="5">
        <f>'Economic Variables'!S156</f>
        <v>3089</v>
      </c>
      <c r="BN46" s="5">
        <f t="shared" si="35"/>
        <v>45</v>
      </c>
      <c r="BO46" s="80">
        <f t="shared" si="36"/>
        <v>1.6532125137753437</v>
      </c>
      <c r="BP46" s="5">
        <f t="shared" si="37"/>
        <v>2025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1</v>
      </c>
      <c r="BZ46">
        <v>0</v>
      </c>
      <c r="CA46">
        <v>0</v>
      </c>
      <c r="CB46">
        <v>0</v>
      </c>
      <c r="CC46">
        <f t="shared" si="26"/>
        <v>0</v>
      </c>
      <c r="CD46">
        <f t="shared" si="26"/>
        <v>1</v>
      </c>
      <c r="CE46">
        <f t="shared" si="38"/>
        <v>1</v>
      </c>
      <c r="CF46">
        <v>30</v>
      </c>
      <c r="CG46">
        <v>21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 s="80">
        <f t="shared" si="27"/>
        <v>22.870684534609229</v>
      </c>
      <c r="CZ46" s="78">
        <f t="shared" si="28"/>
        <v>86.583597706773858</v>
      </c>
      <c r="DA46" s="5">
        <f t="shared" si="29"/>
        <v>2428.3005032507272</v>
      </c>
      <c r="DB46" s="5">
        <f t="shared" si="30"/>
        <v>67289.274825204877</v>
      </c>
      <c r="DC46" s="5">
        <f t="shared" si="31"/>
        <v>255367.52675130431</v>
      </c>
      <c r="DD46">
        <f t="shared" si="39"/>
        <v>1699.8103522755091</v>
      </c>
      <c r="DE46">
        <f t="shared" si="32"/>
        <v>47102.492377643408</v>
      </c>
      <c r="DF46">
        <f t="shared" si="33"/>
        <v>178757.26872591302</v>
      </c>
      <c r="DG46" s="19">
        <v>32292</v>
      </c>
      <c r="DH46" s="19">
        <v>3499</v>
      </c>
      <c r="DI46" s="19">
        <v>373</v>
      </c>
      <c r="DJ46" s="19">
        <v>12</v>
      </c>
      <c r="DK46" s="19">
        <v>3</v>
      </c>
    </row>
    <row r="47" spans="1:115" s="2" customFormat="1">
      <c r="A47" s="3">
        <v>42278</v>
      </c>
      <c r="B47">
        <f t="shared" si="25"/>
        <v>2015</v>
      </c>
      <c r="C47" s="2">
        <v>78520635.854000002</v>
      </c>
      <c r="D47" s="2">
        <v>17289573.2488713</v>
      </c>
      <c r="E47" s="2">
        <v>411760.43229093729</v>
      </c>
      <c r="F47" s="2">
        <v>17701333.681162238</v>
      </c>
      <c r="G47" s="2">
        <v>32303</v>
      </c>
      <c r="H47" s="2">
        <v>7751548.7202021005</v>
      </c>
      <c r="I47" s="2">
        <v>246503.38477155243</v>
      </c>
      <c r="J47" s="2">
        <v>7998052.1049736533</v>
      </c>
      <c r="K47" s="2">
        <v>3503</v>
      </c>
      <c r="L47" s="2">
        <v>17108387.2078171</v>
      </c>
      <c r="M47" s="2">
        <f>VLOOKUP('Monthly Data'!B47,'Historic CDM'!$B$111:$J$122,4,FALSE)/12+VLOOKUP('Monthly Data'!B47,'Historic CDM'!$N$111:$V$122,4,FALSE)/12</f>
        <v>980828.76198347693</v>
      </c>
      <c r="N47" s="2">
        <f t="shared" si="14"/>
        <v>18089215.969800577</v>
      </c>
      <c r="O47" s="2">
        <v>46026.319354311621</v>
      </c>
      <c r="P47" s="2">
        <v>376</v>
      </c>
      <c r="Q47" s="2">
        <v>10858934.288399998</v>
      </c>
      <c r="R47" s="2">
        <f>VLOOKUP('Monthly Data'!B47,'Historic CDM'!$B$111:$J$122,5,FALSE)/12+VLOOKUP('Monthly Data'!B47,'Historic CDM'!$N$111:$V$122,5,FALSE)/12</f>
        <v>84723.014434417375</v>
      </c>
      <c r="S47" s="2">
        <f t="shared" si="16"/>
        <v>10943657.302834416</v>
      </c>
      <c r="T47" s="2">
        <v>16934.408693357309</v>
      </c>
      <c r="U47" s="2">
        <v>8</v>
      </c>
      <c r="V47" s="2">
        <v>22301204.0493825</v>
      </c>
      <c r="W47" s="2">
        <f>VLOOKUP('Monthly Data'!B47,'Historic CDM'!$B$111:$J$122,9,FALSE)/12+VLOOKUP('Monthly Data'!B47,'Historic CDM'!$N$111:$V$122,9,FALSE)/12</f>
        <v>17525.697109559766</v>
      </c>
      <c r="X47" s="2">
        <f t="shared" si="1"/>
        <v>22318729.746492062</v>
      </c>
      <c r="Y47" s="2">
        <v>37733.848052331072</v>
      </c>
      <c r="Z47" s="2">
        <v>4</v>
      </c>
      <c r="AA47" s="2">
        <v>563702.58329950005</v>
      </c>
      <c r="AB47" s="2">
        <v>1343.29</v>
      </c>
      <c r="AC47" s="2">
        <v>10001</v>
      </c>
      <c r="AD47" s="2">
        <v>42678.648000000001</v>
      </c>
      <c r="AE47" s="2">
        <v>60.691000000000003</v>
      </c>
      <c r="AF47" s="2">
        <v>411</v>
      </c>
      <c r="AG47" s="2">
        <v>187645.54009300002</v>
      </c>
      <c r="AH47" s="2">
        <v>262</v>
      </c>
      <c r="AI47">
        <f>Weather!C203</f>
        <v>279.7</v>
      </c>
      <c r="AJ47">
        <f>Weather!D203</f>
        <v>0</v>
      </c>
      <c r="AK47">
        <f>Weather!E203</f>
        <v>217.70000000000002</v>
      </c>
      <c r="AL47">
        <f>Weather!F203</f>
        <v>0</v>
      </c>
      <c r="AM47">
        <f>Weather!G203</f>
        <v>157.39999999999998</v>
      </c>
      <c r="AN47">
        <f>Weather!H203</f>
        <v>1.6999999999999993</v>
      </c>
      <c r="AO47">
        <f>Weather!I203</f>
        <v>102.69999999999999</v>
      </c>
      <c r="AP47">
        <f>Weather!J203</f>
        <v>8.9999999999999982</v>
      </c>
      <c r="AQ47">
        <f>Weather!K203</f>
        <v>60.500000000000007</v>
      </c>
      <c r="AR47">
        <f>Weather!L203</f>
        <v>28.799999999999997</v>
      </c>
      <c r="AS47">
        <f>Weather!M203</f>
        <v>30.900000000000006</v>
      </c>
      <c r="AT47">
        <f>Weather!N203</f>
        <v>61.199999999999996</v>
      </c>
      <c r="AU47">
        <f>Weather!O203</f>
        <v>10.4</v>
      </c>
      <c r="AV47">
        <f>Weather!P203</f>
        <v>102.70000000000002</v>
      </c>
      <c r="AW47" s="7">
        <f>Weather!Q203</f>
        <v>10.977419354838707</v>
      </c>
      <c r="AX47" s="5">
        <f>'Economic Variables'!D157</f>
        <v>6892.9</v>
      </c>
      <c r="AY47" s="5">
        <f>'Economic Variables'!E157</f>
        <v>6932.8</v>
      </c>
      <c r="AZ47" s="5">
        <f>'Economic Variables'!F157</f>
        <v>251.5</v>
      </c>
      <c r="BA47" s="5">
        <f>'Economic Variables'!G157</f>
        <v>253</v>
      </c>
      <c r="BB47" s="5">
        <f>'Economic Variables'!H157</f>
        <v>677384</v>
      </c>
      <c r="BC47" s="5">
        <f>'Economic Variables'!I157</f>
        <v>7339.5</v>
      </c>
      <c r="BD47" s="5">
        <f>'Economic Variables'!J157</f>
        <v>6552.4</v>
      </c>
      <c r="BE47" s="5">
        <f>'Economic Variables'!K157</f>
        <v>411.5</v>
      </c>
      <c r="BF47" s="5">
        <f>'Economic Variables'!L157</f>
        <v>7477.6</v>
      </c>
      <c r="BG47" s="5">
        <f>'Economic Variables'!M157</f>
        <v>23.4</v>
      </c>
      <c r="BH47" s="5">
        <f>'Economic Variables'!N157</f>
        <v>885.4</v>
      </c>
      <c r="BI47" s="5">
        <f t="shared" si="34"/>
        <v>14817.1</v>
      </c>
      <c r="BJ47" s="5">
        <f>'Economic Variables'!P157</f>
        <v>686855</v>
      </c>
      <c r="BK47" s="5">
        <f>'Economic Variables'!Q157</f>
        <v>7414</v>
      </c>
      <c r="BL47" s="5">
        <f>'Economic Variables'!R157</f>
        <v>7911</v>
      </c>
      <c r="BM47" s="5">
        <f>'Economic Variables'!S157</f>
        <v>2863</v>
      </c>
      <c r="BN47" s="5">
        <f t="shared" si="35"/>
        <v>46</v>
      </c>
      <c r="BO47" s="80">
        <f t="shared" si="36"/>
        <v>1.6627578316815741</v>
      </c>
      <c r="BP47" s="5">
        <f t="shared" si="37"/>
        <v>2116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1</v>
      </c>
      <c r="CA47">
        <v>0</v>
      </c>
      <c r="CB47">
        <v>0</v>
      </c>
      <c r="CC47">
        <f t="shared" si="26"/>
        <v>0</v>
      </c>
      <c r="CD47">
        <f t="shared" si="26"/>
        <v>1</v>
      </c>
      <c r="CE47">
        <f t="shared" si="38"/>
        <v>1</v>
      </c>
      <c r="CF47">
        <v>31</v>
      </c>
      <c r="CG47">
        <v>21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 s="80">
        <f t="shared" si="27"/>
        <v>17.676710024098671</v>
      </c>
      <c r="CZ47" s="78">
        <f t="shared" si="28"/>
        <v>73.65163597076841</v>
      </c>
      <c r="DA47" s="5">
        <f t="shared" si="29"/>
        <v>2290.934140045666</v>
      </c>
      <c r="DB47" s="5">
        <f t="shared" si="30"/>
        <v>65140.817278776281</v>
      </c>
      <c r="DC47" s="5">
        <f t="shared" si="31"/>
        <v>265699.16364871501</v>
      </c>
      <c r="DD47">
        <f t="shared" si="39"/>
        <v>1551.9231271277092</v>
      </c>
      <c r="DE47">
        <f t="shared" si="32"/>
        <v>44127.650414654905</v>
      </c>
      <c r="DF47">
        <f t="shared" si="33"/>
        <v>179989.75602009727</v>
      </c>
      <c r="DG47" s="19">
        <v>32303</v>
      </c>
      <c r="DH47" s="19">
        <v>3503</v>
      </c>
      <c r="DI47" s="19">
        <v>374</v>
      </c>
      <c r="DJ47" s="19">
        <v>12</v>
      </c>
      <c r="DK47" s="19">
        <v>3</v>
      </c>
    </row>
    <row r="48" spans="1:115" s="2" customFormat="1">
      <c r="A48" s="3">
        <v>42309</v>
      </c>
      <c r="B48">
        <f t="shared" si="25"/>
        <v>2015</v>
      </c>
      <c r="C48" s="2">
        <v>78448259.879999995</v>
      </c>
      <c r="D48" s="2">
        <v>17663717.492667399</v>
      </c>
      <c r="E48" s="2">
        <v>411760.43229093729</v>
      </c>
      <c r="F48" s="2">
        <v>18075477.924958337</v>
      </c>
      <c r="G48" s="2">
        <v>32342</v>
      </c>
      <c r="H48" s="2">
        <v>7882262.9902121006</v>
      </c>
      <c r="I48" s="2">
        <v>246503.38477155243</v>
      </c>
      <c r="J48" s="2">
        <v>8128766.3749836534</v>
      </c>
      <c r="K48" s="2">
        <v>3500</v>
      </c>
      <c r="L48" s="2">
        <v>16045706.043221001</v>
      </c>
      <c r="M48" s="2">
        <f>VLOOKUP('Monthly Data'!B48,'Historic CDM'!$B$111:$J$122,4,FALSE)/12+VLOOKUP('Monthly Data'!B48,'Historic CDM'!$N$111:$V$122,4,FALSE)/12</f>
        <v>980828.76198347693</v>
      </c>
      <c r="N48" s="2">
        <f t="shared" si="14"/>
        <v>17026534.805204477</v>
      </c>
      <c r="O48" s="2">
        <v>48084.812298887511</v>
      </c>
      <c r="P48" s="2">
        <v>377</v>
      </c>
      <c r="Q48" s="2">
        <v>10971227.3136</v>
      </c>
      <c r="R48" s="2">
        <f>VLOOKUP('Monthly Data'!B48,'Historic CDM'!$B$111:$J$122,5,FALSE)/12+VLOOKUP('Monthly Data'!B48,'Historic CDM'!$N$111:$V$122,5,FALSE)/12</f>
        <v>84723.014434417375</v>
      </c>
      <c r="S48" s="2">
        <f t="shared" si="16"/>
        <v>11055950.328034418</v>
      </c>
      <c r="T48" s="2">
        <v>23963.78040111249</v>
      </c>
      <c r="U48" s="2">
        <v>8</v>
      </c>
      <c r="V48" s="2">
        <v>21388597.144694999</v>
      </c>
      <c r="W48" s="2">
        <f>VLOOKUP('Monthly Data'!B48,'Historic CDM'!$B$111:$J$122,9,FALSE)/12+VLOOKUP('Monthly Data'!B48,'Historic CDM'!$N$111:$V$122,9,FALSE)/12</f>
        <v>17525.697109559766</v>
      </c>
      <c r="X48" s="2">
        <f t="shared" si="1"/>
        <v>21406122.84180456</v>
      </c>
      <c r="Y48" s="2">
        <v>38304.635000000002</v>
      </c>
      <c r="Z48" s="2">
        <v>4</v>
      </c>
      <c r="AA48" s="2">
        <v>559982.5281005</v>
      </c>
      <c r="AB48" s="2">
        <v>1255.22</v>
      </c>
      <c r="AC48" s="2">
        <v>9998</v>
      </c>
      <c r="AD48" s="2">
        <v>41048.639999999999</v>
      </c>
      <c r="AE48" s="2">
        <v>99.914000000000001</v>
      </c>
      <c r="AF48" s="2">
        <v>410</v>
      </c>
      <c r="AG48" s="2">
        <v>181302.93097800002</v>
      </c>
      <c r="AH48" s="2">
        <v>262</v>
      </c>
      <c r="AI48">
        <f>Weather!C204</f>
        <v>380.49999999999994</v>
      </c>
      <c r="AJ48">
        <f>Weather!D204</f>
        <v>0</v>
      </c>
      <c r="AK48">
        <f>Weather!E204</f>
        <v>320.5</v>
      </c>
      <c r="AL48">
        <f>Weather!F204</f>
        <v>0</v>
      </c>
      <c r="AM48">
        <f>Weather!G204</f>
        <v>261.8</v>
      </c>
      <c r="AN48">
        <f>Weather!H204</f>
        <v>1.3000000000000007</v>
      </c>
      <c r="AO48">
        <f>Weather!I204</f>
        <v>208.1</v>
      </c>
      <c r="AP48">
        <f>Weather!J204</f>
        <v>7.6000000000000014</v>
      </c>
      <c r="AQ48">
        <f>Weather!K204</f>
        <v>157.60000000000002</v>
      </c>
      <c r="AR48">
        <f>Weather!L204</f>
        <v>17.100000000000001</v>
      </c>
      <c r="AS48">
        <f>Weather!M204</f>
        <v>110.9</v>
      </c>
      <c r="AT48">
        <f>Weather!N204</f>
        <v>30.400000000000002</v>
      </c>
      <c r="AU48">
        <f>Weather!O204</f>
        <v>76.7</v>
      </c>
      <c r="AV48">
        <f>Weather!P204</f>
        <v>56.2</v>
      </c>
      <c r="AW48" s="7">
        <f>Weather!Q204</f>
        <v>7.3166666666666673</v>
      </c>
      <c r="AX48" s="5">
        <f>'Economic Variables'!D158</f>
        <v>6886.2</v>
      </c>
      <c r="AY48" s="5">
        <f>'Economic Variables'!E158</f>
        <v>6898.2</v>
      </c>
      <c r="AZ48" s="5">
        <f>'Economic Variables'!F158</f>
        <v>250.3</v>
      </c>
      <c r="BA48" s="5">
        <f>'Economic Variables'!G158</f>
        <v>248.9</v>
      </c>
      <c r="BB48" s="5">
        <f>'Economic Variables'!H158</f>
        <v>677384</v>
      </c>
      <c r="BC48" s="5">
        <f>'Economic Variables'!I158</f>
        <v>7339.5</v>
      </c>
      <c r="BD48" s="5">
        <f>'Economic Variables'!J158</f>
        <v>6552.4</v>
      </c>
      <c r="BE48" s="5">
        <f>'Economic Variables'!K158</f>
        <v>411.5</v>
      </c>
      <c r="BF48" s="5">
        <f>'Economic Variables'!L158</f>
        <v>7477.6</v>
      </c>
      <c r="BG48" s="5">
        <f>'Economic Variables'!M158</f>
        <v>23.4</v>
      </c>
      <c r="BH48" s="5">
        <f>'Economic Variables'!N158</f>
        <v>885.4</v>
      </c>
      <c r="BI48" s="5">
        <f t="shared" si="34"/>
        <v>14817.1</v>
      </c>
      <c r="BJ48" s="5">
        <f>'Economic Variables'!P158</f>
        <v>686855</v>
      </c>
      <c r="BK48" s="5">
        <f>'Economic Variables'!Q158</f>
        <v>7414</v>
      </c>
      <c r="BL48" s="5">
        <f>'Economic Variables'!R158</f>
        <v>7911</v>
      </c>
      <c r="BM48" s="5">
        <f>'Economic Variables'!S158</f>
        <v>2863</v>
      </c>
      <c r="BN48" s="5">
        <f t="shared" si="35"/>
        <v>47</v>
      </c>
      <c r="BO48" s="80">
        <f t="shared" si="36"/>
        <v>1.6720978579357175</v>
      </c>
      <c r="BP48" s="5">
        <f t="shared" si="37"/>
        <v>2209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1</v>
      </c>
      <c r="CB48">
        <v>0</v>
      </c>
      <c r="CC48">
        <f t="shared" si="26"/>
        <v>0</v>
      </c>
      <c r="CD48">
        <f t="shared" si="26"/>
        <v>0</v>
      </c>
      <c r="CE48">
        <f t="shared" si="38"/>
        <v>0</v>
      </c>
      <c r="CF48">
        <v>30</v>
      </c>
      <c r="CG48">
        <v>21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 s="80">
        <f t="shared" si="27"/>
        <v>18.629519845153194</v>
      </c>
      <c r="CZ48" s="78">
        <f t="shared" si="28"/>
        <v>77.416822618891928</v>
      </c>
      <c r="DA48" s="5">
        <f t="shared" si="29"/>
        <v>2150.629633093909</v>
      </c>
      <c r="DB48" s="5">
        <f t="shared" si="30"/>
        <v>65809.228143062006</v>
      </c>
      <c r="DC48" s="5">
        <f t="shared" si="31"/>
        <v>254834.79573576857</v>
      </c>
      <c r="DD48">
        <f t="shared" si="39"/>
        <v>1505.4407431657364</v>
      </c>
      <c r="DE48">
        <f t="shared" si="32"/>
        <v>46066.459700143409</v>
      </c>
      <c r="DF48">
        <f t="shared" si="33"/>
        <v>178384.357015038</v>
      </c>
      <c r="DG48" s="19">
        <v>32342</v>
      </c>
      <c r="DH48" s="19">
        <v>3500</v>
      </c>
      <c r="DI48" s="19">
        <v>375</v>
      </c>
      <c r="DJ48" s="19">
        <v>12</v>
      </c>
      <c r="DK48" s="19">
        <v>3</v>
      </c>
    </row>
    <row r="49" spans="1:115" s="2" customFormat="1">
      <c r="A49" s="3">
        <v>42339</v>
      </c>
      <c r="B49">
        <f t="shared" si="25"/>
        <v>2015</v>
      </c>
      <c r="C49" s="2">
        <v>86033469.79975</v>
      </c>
      <c r="D49" s="2">
        <v>20383570.0151303</v>
      </c>
      <c r="E49" s="2">
        <v>411760.43229093729</v>
      </c>
      <c r="F49" s="2">
        <v>20795330.447421238</v>
      </c>
      <c r="G49" s="2">
        <v>32350</v>
      </c>
      <c r="H49" s="2">
        <v>8695582.1504587997</v>
      </c>
      <c r="I49" s="2">
        <v>246503.38477155243</v>
      </c>
      <c r="J49" s="2">
        <v>8942085.5352303516</v>
      </c>
      <c r="K49" s="2">
        <v>3496</v>
      </c>
      <c r="L49" s="2">
        <v>18216584.057305101</v>
      </c>
      <c r="M49" s="2">
        <f>VLOOKUP('Monthly Data'!B49,'Historic CDM'!$B$111:$J$122,4,FALSE)/12+VLOOKUP('Monthly Data'!B49,'Historic CDM'!$N$111:$V$122,4,FALSE)/12</f>
        <v>980828.76198347693</v>
      </c>
      <c r="N49" s="2">
        <f t="shared" si="14"/>
        <v>19197412.819288578</v>
      </c>
      <c r="O49" s="2">
        <v>49771.882072434899</v>
      </c>
      <c r="P49" s="2">
        <v>371</v>
      </c>
      <c r="Q49" s="2">
        <v>10301874.989400001</v>
      </c>
      <c r="R49" s="2">
        <f>VLOOKUP('Monthly Data'!B49,'Historic CDM'!$B$111:$J$122,5,FALSE)/12+VLOOKUP('Monthly Data'!B49,'Historic CDM'!$N$111:$V$122,5,FALSE)/12</f>
        <v>84723.014434417375</v>
      </c>
      <c r="S49" s="2">
        <f t="shared" si="16"/>
        <v>10386598.003834419</v>
      </c>
      <c r="T49" s="2">
        <v>20381.042327565097</v>
      </c>
      <c r="U49" s="2">
        <v>8</v>
      </c>
      <c r="V49" s="2">
        <v>25389973.547235001</v>
      </c>
      <c r="W49" s="2">
        <f>VLOOKUP('Monthly Data'!B49,'Historic CDM'!$B$111:$J$122,9,FALSE)/12+VLOOKUP('Monthly Data'!B49,'Historic CDM'!$N$111:$V$122,9,FALSE)/12</f>
        <v>17525.697109559766</v>
      </c>
      <c r="X49" s="2">
        <f t="shared" si="1"/>
        <v>25407499.244344562</v>
      </c>
      <c r="Y49" s="2">
        <v>40246.492599999998</v>
      </c>
      <c r="Z49" s="2">
        <v>4</v>
      </c>
      <c r="AA49" s="2">
        <v>605952.9668995</v>
      </c>
      <c r="AB49" s="2">
        <v>1252.1489999999999</v>
      </c>
      <c r="AC49" s="2">
        <v>10011</v>
      </c>
      <c r="AD49" s="2">
        <v>42416.928</v>
      </c>
      <c r="AE49" s="2">
        <v>148.41600000000003</v>
      </c>
      <c r="AF49" s="2">
        <v>410</v>
      </c>
      <c r="AG49" s="2">
        <v>187346.36201060002</v>
      </c>
      <c r="AH49" s="2">
        <v>262</v>
      </c>
      <c r="AI49">
        <f>Weather!C205</f>
        <v>494.4</v>
      </c>
      <c r="AJ49">
        <f>Weather!D205</f>
        <v>0</v>
      </c>
      <c r="AK49">
        <f>Weather!E205</f>
        <v>432.4</v>
      </c>
      <c r="AL49">
        <f>Weather!F205</f>
        <v>0</v>
      </c>
      <c r="AM49">
        <f>Weather!G205</f>
        <v>370.4</v>
      </c>
      <c r="AN49">
        <f>Weather!H205</f>
        <v>0</v>
      </c>
      <c r="AO49">
        <f>Weather!I205</f>
        <v>308.40000000000003</v>
      </c>
      <c r="AP49">
        <f>Weather!J205</f>
        <v>0</v>
      </c>
      <c r="AQ49">
        <f>Weather!K205</f>
        <v>246.39999999999998</v>
      </c>
      <c r="AR49">
        <f>Weather!L205</f>
        <v>0</v>
      </c>
      <c r="AS49">
        <f>Weather!M205</f>
        <v>187.29999999999998</v>
      </c>
      <c r="AT49">
        <f>Weather!N205</f>
        <v>2.9000000000000004</v>
      </c>
      <c r="AU49">
        <f>Weather!O205</f>
        <v>132.10000000000002</v>
      </c>
      <c r="AV49">
        <f>Weather!P205</f>
        <v>9.7000000000000011</v>
      </c>
      <c r="AW49" s="7">
        <f>Weather!Q205</f>
        <v>4.0516129032258066</v>
      </c>
      <c r="AX49" s="5">
        <f>'Economic Variables'!D159</f>
        <v>6895.6</v>
      </c>
      <c r="AY49" s="5">
        <f>'Economic Variables'!E159</f>
        <v>6902.3</v>
      </c>
      <c r="AZ49" s="5">
        <f>'Economic Variables'!F159</f>
        <v>251.8</v>
      </c>
      <c r="BA49" s="5">
        <f>'Economic Variables'!G159</f>
        <v>250.6</v>
      </c>
      <c r="BB49" s="5">
        <f>'Economic Variables'!H159</f>
        <v>677384</v>
      </c>
      <c r="BC49" s="5">
        <f>'Economic Variables'!I159</f>
        <v>7339.5</v>
      </c>
      <c r="BD49" s="5">
        <f>'Economic Variables'!J159</f>
        <v>6552.4</v>
      </c>
      <c r="BE49" s="5">
        <f>'Economic Variables'!K159</f>
        <v>411.5</v>
      </c>
      <c r="BF49" s="5">
        <f>'Economic Variables'!L159</f>
        <v>7477.6</v>
      </c>
      <c r="BG49" s="5">
        <f>'Economic Variables'!M159</f>
        <v>23.4</v>
      </c>
      <c r="BH49" s="5">
        <f>'Economic Variables'!N159</f>
        <v>885.4</v>
      </c>
      <c r="BI49" s="5">
        <f t="shared" si="34"/>
        <v>14817.1</v>
      </c>
      <c r="BJ49" s="5">
        <f>'Economic Variables'!P159</f>
        <v>686855</v>
      </c>
      <c r="BK49" s="5">
        <f>'Economic Variables'!Q159</f>
        <v>7414</v>
      </c>
      <c r="BL49" s="5">
        <f>'Economic Variables'!R159</f>
        <v>7911</v>
      </c>
      <c r="BM49" s="5">
        <f>'Economic Variables'!S159</f>
        <v>2863</v>
      </c>
      <c r="BN49" s="5">
        <f t="shared" si="35"/>
        <v>48</v>
      </c>
      <c r="BO49" s="80">
        <f t="shared" si="36"/>
        <v>1.6812412373755872</v>
      </c>
      <c r="BP49" s="5">
        <f t="shared" si="37"/>
        <v>2304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1</v>
      </c>
      <c r="CC49">
        <f t="shared" si="26"/>
        <v>0</v>
      </c>
      <c r="CD49">
        <f t="shared" si="26"/>
        <v>0</v>
      </c>
      <c r="CE49">
        <f t="shared" si="38"/>
        <v>0</v>
      </c>
      <c r="CF49">
        <v>31</v>
      </c>
      <c r="CG49">
        <v>21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 s="80">
        <f t="shared" si="27"/>
        <v>20.736232185692014</v>
      </c>
      <c r="CZ49" s="78">
        <f t="shared" si="28"/>
        <v>82.509831837587214</v>
      </c>
      <c r="DA49" s="5">
        <f t="shared" si="29"/>
        <v>2464.0499062108302</v>
      </c>
      <c r="DB49" s="5">
        <f t="shared" si="30"/>
        <v>61824.988118062014</v>
      </c>
      <c r="DC49" s="5">
        <f t="shared" si="31"/>
        <v>302470.22909934004</v>
      </c>
      <c r="DD49">
        <f t="shared" si="39"/>
        <v>1669.1950977557235</v>
      </c>
      <c r="DE49">
        <f t="shared" si="32"/>
        <v>41881.443563848465</v>
      </c>
      <c r="DF49">
        <f t="shared" si="33"/>
        <v>204899.18745439162</v>
      </c>
      <c r="DG49" s="19">
        <v>32350</v>
      </c>
      <c r="DH49" s="19">
        <v>3496</v>
      </c>
      <c r="DI49" s="19">
        <v>369</v>
      </c>
      <c r="DJ49" s="19">
        <v>12</v>
      </c>
      <c r="DK49" s="19">
        <v>3</v>
      </c>
    </row>
    <row r="50" spans="1:115" s="2" customFormat="1">
      <c r="A50" s="3">
        <v>42370</v>
      </c>
      <c r="B50">
        <f t="shared" si="25"/>
        <v>2016</v>
      </c>
      <c r="C50" s="2">
        <v>91445250.039694995</v>
      </c>
      <c r="D50" s="2">
        <v>21981111.146497801</v>
      </c>
      <c r="E50" s="2">
        <v>587474.37918478565</v>
      </c>
      <c r="F50" s="2">
        <v>22568585.525682587</v>
      </c>
      <c r="G50" s="2">
        <v>32375</v>
      </c>
      <c r="H50" s="2">
        <v>9419154.0245449003</v>
      </c>
      <c r="I50" s="2">
        <v>294605.99945387192</v>
      </c>
      <c r="J50" s="2">
        <v>9713760.0239987727</v>
      </c>
      <c r="K50" s="2">
        <v>3473</v>
      </c>
      <c r="L50" s="2">
        <v>19583848.354348801</v>
      </c>
      <c r="M50" s="2">
        <f>VLOOKUP('Monthly Data'!B50,'Historic CDM'!$B$111:$J$122,4,FALSE)/12+VLOOKUP('Monthly Data'!B50,'Historic CDM'!$N$111:$V$122,4,FALSE)/12</f>
        <v>1380905.3946414078</v>
      </c>
      <c r="N50" s="2">
        <f t="shared" si="14"/>
        <v>20964753.748990208</v>
      </c>
      <c r="O50" s="2">
        <v>43138.714042759668</v>
      </c>
      <c r="P50" s="2">
        <v>378</v>
      </c>
      <c r="Q50" s="2">
        <v>10824210.685199998</v>
      </c>
      <c r="R50" s="2">
        <f>VLOOKUP('Monthly Data'!B50,'Historic CDM'!$B$111:$J$122,5,FALSE)/12+VLOOKUP('Monthly Data'!B50,'Historic CDM'!$N$111:$V$122,5,FALSE)/12</f>
        <v>104250.71313278732</v>
      </c>
      <c r="S50" s="2">
        <f t="shared" si="16"/>
        <v>10928461.398332786</v>
      </c>
      <c r="T50" s="2">
        <v>20064.18518261108</v>
      </c>
      <c r="U50" s="2">
        <v>8</v>
      </c>
      <c r="V50" s="2">
        <v>26218283.231744997</v>
      </c>
      <c r="W50" s="2">
        <f>VLOOKUP('Monthly Data'!B50,'Historic CDM'!$B$111:$J$122,9,FALSE)/12+VLOOKUP('Monthly Data'!B50,'Historic CDM'!$N$111:$V$122,9,FALSE)/12</f>
        <v>22500.618052518097</v>
      </c>
      <c r="X50" s="2">
        <f t="shared" si="1"/>
        <v>26240783.849797517</v>
      </c>
      <c r="Y50" s="2">
        <v>40110.559829999998</v>
      </c>
      <c r="Z50" s="2">
        <v>4</v>
      </c>
      <c r="AA50" s="2">
        <v>603432.78067000001</v>
      </c>
      <c r="AB50" s="2">
        <v>1281.1508972267511</v>
      </c>
      <c r="AC50" s="2">
        <v>10012</v>
      </c>
      <c r="AD50" s="2">
        <v>42484.968000000001</v>
      </c>
      <c r="AE50" s="2">
        <v>54.728999999999999</v>
      </c>
      <c r="AF50" s="2">
        <v>410</v>
      </c>
      <c r="AG50" s="2">
        <v>187346.36201060002</v>
      </c>
      <c r="AH50" s="2">
        <v>262</v>
      </c>
      <c r="AI50">
        <f>Weather!C206</f>
        <v>713.49999999999989</v>
      </c>
      <c r="AJ50">
        <f>Weather!D206</f>
        <v>0</v>
      </c>
      <c r="AK50">
        <f>Weather!E206</f>
        <v>651.49999999999977</v>
      </c>
      <c r="AL50">
        <f>Weather!F206</f>
        <v>0</v>
      </c>
      <c r="AM50">
        <f>Weather!G206</f>
        <v>589.49999999999977</v>
      </c>
      <c r="AN50">
        <f>Weather!H206</f>
        <v>0</v>
      </c>
      <c r="AO50">
        <f>Weather!I206</f>
        <v>527.49999999999989</v>
      </c>
      <c r="AP50">
        <f>Weather!J206</f>
        <v>0</v>
      </c>
      <c r="AQ50">
        <f>Weather!K206</f>
        <v>465.49999999999989</v>
      </c>
      <c r="AR50">
        <f>Weather!L206</f>
        <v>0</v>
      </c>
      <c r="AS50">
        <f>Weather!M206</f>
        <v>403.49999999999989</v>
      </c>
      <c r="AT50">
        <f>Weather!N206</f>
        <v>0</v>
      </c>
      <c r="AU50">
        <f>Weather!O206</f>
        <v>341.49999999999994</v>
      </c>
      <c r="AV50">
        <f>Weather!P206</f>
        <v>0</v>
      </c>
      <c r="AW50" s="7">
        <f>Weather!Q206</f>
        <v>-3.0161290322580654</v>
      </c>
      <c r="AX50" s="5">
        <f>'Economic Variables'!D160</f>
        <v>6908.4</v>
      </c>
      <c r="AY50" s="5">
        <f>'Economic Variables'!E160</f>
        <v>6871.2</v>
      </c>
      <c r="AZ50" s="5">
        <f>'Economic Variables'!F160</f>
        <v>252.2</v>
      </c>
      <c r="BA50" s="5">
        <f>'Economic Variables'!G160</f>
        <v>249.8</v>
      </c>
      <c r="BB50" s="5">
        <f>'Economic Variables'!H160</f>
        <v>692620.80000000005</v>
      </c>
      <c r="BC50" s="5">
        <f>'Economic Variables'!I160</f>
        <v>7420.6</v>
      </c>
      <c r="BD50" s="5">
        <f>'Economic Variables'!J160</f>
        <v>6600.8</v>
      </c>
      <c r="BE50" s="5">
        <f>'Economic Variables'!K160</f>
        <v>427.5</v>
      </c>
      <c r="BF50" s="5">
        <f>'Economic Variables'!L160</f>
        <v>7596.5</v>
      </c>
      <c r="BG50" s="5">
        <f>'Economic Variables'!M160</f>
        <v>377.2</v>
      </c>
      <c r="BH50" s="5">
        <f>'Economic Variables'!N160</f>
        <v>784.9</v>
      </c>
      <c r="BI50" s="5">
        <f t="shared" si="34"/>
        <v>15017.1</v>
      </c>
      <c r="BJ50" s="5">
        <f>'Economic Variables'!P160</f>
        <v>691978</v>
      </c>
      <c r="BK50" s="5">
        <f>'Economic Variables'!Q160</f>
        <v>7414</v>
      </c>
      <c r="BL50" s="5">
        <f>'Economic Variables'!R160</f>
        <v>7769</v>
      </c>
      <c r="BM50" s="5">
        <f>'Economic Variables'!S160</f>
        <v>2819</v>
      </c>
      <c r="BN50" s="5">
        <f t="shared" si="35"/>
        <v>49</v>
      </c>
      <c r="BO50" s="80">
        <f t="shared" si="36"/>
        <v>1.6901960800285136</v>
      </c>
      <c r="BP50" s="5">
        <f t="shared" si="37"/>
        <v>2401</v>
      </c>
      <c r="BQ50">
        <v>1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f t="shared" ref="CC50:CD69" si="40">CC38</f>
        <v>0</v>
      </c>
      <c r="CD50">
        <f t="shared" si="40"/>
        <v>0</v>
      </c>
      <c r="CE50">
        <f t="shared" si="38"/>
        <v>0</v>
      </c>
      <c r="CF50">
        <v>31</v>
      </c>
      <c r="CG50">
        <v>20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 s="80">
        <f t="shared" si="27"/>
        <v>22.487069897304856</v>
      </c>
      <c r="CZ50" s="78">
        <f t="shared" si="28"/>
        <v>90.223753973034121</v>
      </c>
      <c r="DA50" s="5">
        <f t="shared" si="29"/>
        <v>2773.1155752632553</v>
      </c>
      <c r="DB50" s="5">
        <f t="shared" si="30"/>
        <v>68302.883739579906</v>
      </c>
      <c r="DC50" s="5">
        <f t="shared" si="31"/>
        <v>328009.79812246899</v>
      </c>
      <c r="DD50">
        <f t="shared" si="39"/>
        <v>1789.106822750487</v>
      </c>
      <c r="DE50">
        <f t="shared" si="32"/>
        <v>44066.376606180587</v>
      </c>
      <c r="DF50">
        <f t="shared" si="33"/>
        <v>211619.22459514128</v>
      </c>
      <c r="DG50" s="19">
        <v>32375</v>
      </c>
      <c r="DH50" s="19">
        <v>3473</v>
      </c>
      <c r="DI50" s="19">
        <v>376</v>
      </c>
      <c r="DJ50" s="19">
        <v>12</v>
      </c>
      <c r="DK50" s="19">
        <v>3</v>
      </c>
    </row>
    <row r="51" spans="1:115" s="2" customFormat="1">
      <c r="A51" s="3">
        <v>42401</v>
      </c>
      <c r="B51">
        <f t="shared" si="25"/>
        <v>2016</v>
      </c>
      <c r="C51" s="2">
        <v>83837146.554887503</v>
      </c>
      <c r="D51" s="2">
        <v>19653906.020062201</v>
      </c>
      <c r="E51" s="2">
        <v>587474.37918478565</v>
      </c>
      <c r="F51" s="2">
        <v>20241380.399246987</v>
      </c>
      <c r="G51" s="2">
        <v>32383</v>
      </c>
      <c r="H51" s="2">
        <v>8776121.786551699</v>
      </c>
      <c r="I51" s="2">
        <v>294605.99945387192</v>
      </c>
      <c r="J51" s="2">
        <v>9070727.7860055715</v>
      </c>
      <c r="K51" s="2">
        <v>3476</v>
      </c>
      <c r="L51" s="2">
        <v>18000427.905306503</v>
      </c>
      <c r="M51" s="2">
        <f>VLOOKUP('Monthly Data'!B51,'Historic CDM'!$B$111:$J$122,4,FALSE)/12+VLOOKUP('Monthly Data'!B51,'Historic CDM'!$N$111:$V$122,4,FALSE)/12</f>
        <v>1380905.3946414078</v>
      </c>
      <c r="N51" s="2">
        <f t="shared" si="14"/>
        <v>19381333.29994791</v>
      </c>
      <c r="O51" s="2">
        <v>51480.662499845261</v>
      </c>
      <c r="P51" s="2">
        <v>384</v>
      </c>
      <c r="Q51" s="2">
        <v>10104615.043399999</v>
      </c>
      <c r="R51" s="2">
        <f>VLOOKUP('Monthly Data'!B51,'Historic CDM'!$B$111:$J$122,5,FALSE)/12+VLOOKUP('Monthly Data'!B51,'Historic CDM'!$N$111:$V$122,5,FALSE)/12</f>
        <v>104250.71313278732</v>
      </c>
      <c r="S51" s="2">
        <f t="shared" si="16"/>
        <v>10208865.756532786</v>
      </c>
      <c r="T51" s="2">
        <v>20120.08053637893</v>
      </c>
      <c r="U51" s="2">
        <v>8</v>
      </c>
      <c r="V51" s="2">
        <v>24059531.4708375</v>
      </c>
      <c r="W51" s="2">
        <f>VLOOKUP('Monthly Data'!B51,'Historic CDM'!$B$111:$J$122,9,FALSE)/12+VLOOKUP('Monthly Data'!B51,'Historic CDM'!$N$111:$V$122,9,FALSE)/12</f>
        <v>22500.618052518097</v>
      </c>
      <c r="X51" s="2">
        <f t="shared" si="1"/>
        <v>24082032.08889002</v>
      </c>
      <c r="Y51" s="2">
        <v>39811.427330622348</v>
      </c>
      <c r="Z51" s="2">
        <v>4</v>
      </c>
      <c r="AA51" s="2">
        <v>509188.79093000008</v>
      </c>
      <c r="AB51" s="2">
        <v>1250.8460032626358</v>
      </c>
      <c r="AC51" s="2">
        <v>10014</v>
      </c>
      <c r="AD51" s="2">
        <v>39834.792000000001</v>
      </c>
      <c r="AE51" s="2">
        <v>103.011</v>
      </c>
      <c r="AF51" s="2">
        <v>410</v>
      </c>
      <c r="AG51" s="2">
        <v>175259.49994539999</v>
      </c>
      <c r="AH51" s="2">
        <v>262</v>
      </c>
      <c r="AI51">
        <f>Weather!C207</f>
        <v>640.29999999999995</v>
      </c>
      <c r="AJ51">
        <f>Weather!D207</f>
        <v>0</v>
      </c>
      <c r="AK51">
        <f>Weather!E207</f>
        <v>582.29999999999995</v>
      </c>
      <c r="AL51">
        <f>Weather!F207</f>
        <v>0</v>
      </c>
      <c r="AM51">
        <f>Weather!G207</f>
        <v>524.29999999999995</v>
      </c>
      <c r="AN51">
        <f>Weather!H207</f>
        <v>0</v>
      </c>
      <c r="AO51">
        <f>Weather!I207</f>
        <v>466.3</v>
      </c>
      <c r="AP51">
        <f>Weather!J207</f>
        <v>0</v>
      </c>
      <c r="AQ51">
        <f>Weather!K207</f>
        <v>408.3</v>
      </c>
      <c r="AR51">
        <f>Weather!L207</f>
        <v>0</v>
      </c>
      <c r="AS51">
        <f>Weather!M207</f>
        <v>350.3</v>
      </c>
      <c r="AT51">
        <f>Weather!N207</f>
        <v>0</v>
      </c>
      <c r="AU51">
        <f>Weather!O207</f>
        <v>293.79999999999995</v>
      </c>
      <c r="AV51">
        <f>Weather!P207</f>
        <v>1.5</v>
      </c>
      <c r="AW51" s="7">
        <f>Weather!Q207</f>
        <v>-2.0793103448275865</v>
      </c>
      <c r="AX51" s="5">
        <f>'Economic Variables'!D161</f>
        <v>6922.3</v>
      </c>
      <c r="AY51" s="5">
        <f>'Economic Variables'!E161</f>
        <v>6850.4</v>
      </c>
      <c r="AZ51" s="5">
        <f>'Economic Variables'!F161</f>
        <v>250.6</v>
      </c>
      <c r="BA51" s="5">
        <f>'Economic Variables'!G161</f>
        <v>247.8</v>
      </c>
      <c r="BB51" s="5">
        <f>'Economic Variables'!H161</f>
        <v>692620.80000000005</v>
      </c>
      <c r="BC51" s="5">
        <f>'Economic Variables'!I161</f>
        <v>7420.6</v>
      </c>
      <c r="BD51" s="5">
        <f>'Economic Variables'!J161</f>
        <v>6600.8</v>
      </c>
      <c r="BE51" s="5">
        <f>'Economic Variables'!K161</f>
        <v>427.5</v>
      </c>
      <c r="BF51" s="5">
        <f>'Economic Variables'!L161</f>
        <v>7596.5</v>
      </c>
      <c r="BG51" s="5">
        <f>'Economic Variables'!M161</f>
        <v>377.2</v>
      </c>
      <c r="BH51" s="5">
        <f>'Economic Variables'!N161</f>
        <v>784.9</v>
      </c>
      <c r="BI51" s="5">
        <f t="shared" si="34"/>
        <v>15017.1</v>
      </c>
      <c r="BJ51" s="5">
        <f>'Economic Variables'!P161</f>
        <v>691978</v>
      </c>
      <c r="BK51" s="5">
        <f>'Economic Variables'!Q161</f>
        <v>7414</v>
      </c>
      <c r="BL51" s="5">
        <f>'Economic Variables'!R161</f>
        <v>7769</v>
      </c>
      <c r="BM51" s="5">
        <f>'Economic Variables'!S161</f>
        <v>2819</v>
      </c>
      <c r="BN51" s="5">
        <f t="shared" si="35"/>
        <v>50</v>
      </c>
      <c r="BO51" s="80">
        <f t="shared" si="36"/>
        <v>1.6989700043360187</v>
      </c>
      <c r="BP51" s="5">
        <f t="shared" si="37"/>
        <v>2500</v>
      </c>
      <c r="BQ51">
        <v>0</v>
      </c>
      <c r="BR51">
        <v>1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f t="shared" si="40"/>
        <v>0</v>
      </c>
      <c r="CD51">
        <f t="shared" si="40"/>
        <v>0</v>
      </c>
      <c r="CE51">
        <f t="shared" si="38"/>
        <v>0</v>
      </c>
      <c r="CF51">
        <v>29</v>
      </c>
      <c r="CG51">
        <v>20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 s="80">
        <f t="shared" si="27"/>
        <v>21.553859570045784</v>
      </c>
      <c r="CZ51" s="78">
        <f t="shared" si="28"/>
        <v>89.983808043386887</v>
      </c>
      <c r="DA51" s="5">
        <f t="shared" si="29"/>
        <v>2523.6111067640509</v>
      </c>
      <c r="DB51" s="5">
        <f t="shared" si="30"/>
        <v>63805.410978329914</v>
      </c>
      <c r="DC51" s="5">
        <f t="shared" si="31"/>
        <v>301025.40111112525</v>
      </c>
      <c r="DD51">
        <f t="shared" si="39"/>
        <v>1740.4214529407247</v>
      </c>
      <c r="DE51">
        <f t="shared" si="32"/>
        <v>44003.731709193045</v>
      </c>
      <c r="DF51">
        <f t="shared" si="33"/>
        <v>207603.72490422431</v>
      </c>
      <c r="DG51" s="19">
        <v>32383</v>
      </c>
      <c r="DH51" s="19">
        <v>3476</v>
      </c>
      <c r="DI51" s="19">
        <v>382</v>
      </c>
      <c r="DJ51" s="19">
        <v>12</v>
      </c>
      <c r="DK51" s="19">
        <v>3</v>
      </c>
    </row>
    <row r="52" spans="1:115" s="2" customFormat="1">
      <c r="A52" s="3">
        <v>42430</v>
      </c>
      <c r="B52">
        <f t="shared" si="25"/>
        <v>2016</v>
      </c>
      <c r="C52" s="2">
        <v>85651993.75830251</v>
      </c>
      <c r="D52" s="2">
        <v>18771897.607580002</v>
      </c>
      <c r="E52" s="2">
        <v>587474.37918478565</v>
      </c>
      <c r="F52" s="2">
        <v>19359371.986764789</v>
      </c>
      <c r="G52" s="2">
        <v>32395</v>
      </c>
      <c r="H52" s="2">
        <v>8566442.2163024005</v>
      </c>
      <c r="I52" s="2">
        <v>294605.99945387192</v>
      </c>
      <c r="J52" s="2">
        <v>8861048.2157562729</v>
      </c>
      <c r="K52" s="2">
        <v>3477</v>
      </c>
      <c r="L52" s="2">
        <v>17643965.074446797</v>
      </c>
      <c r="M52" s="2">
        <f>VLOOKUP('Monthly Data'!B52,'Historic CDM'!$B$111:$J$122,4,FALSE)/12+VLOOKUP('Monthly Data'!B52,'Historic CDM'!$N$111:$V$122,4,FALSE)/12</f>
        <v>1380905.3946414078</v>
      </c>
      <c r="N52" s="2">
        <f t="shared" si="14"/>
        <v>19024870.469088204</v>
      </c>
      <c r="O52" s="2">
        <v>47229.757944906436</v>
      </c>
      <c r="P52" s="2">
        <v>382</v>
      </c>
      <c r="Q52" s="2">
        <v>10908723.3796</v>
      </c>
      <c r="R52" s="2">
        <f>VLOOKUP('Monthly Data'!B52,'Historic CDM'!$B$111:$J$122,5,FALSE)/12+VLOOKUP('Monthly Data'!B52,'Historic CDM'!$N$111:$V$122,5,FALSE)/12</f>
        <v>104250.71313278732</v>
      </c>
      <c r="S52" s="2">
        <f t="shared" si="16"/>
        <v>11012974.092732787</v>
      </c>
      <c r="T52" s="2">
        <v>20173.787798354268</v>
      </c>
      <c r="U52" s="2">
        <v>8</v>
      </c>
      <c r="V52" s="2">
        <v>26039535.468952499</v>
      </c>
      <c r="W52" s="2">
        <f>VLOOKUP('Monthly Data'!B52,'Historic CDM'!$B$111:$J$122,9,FALSE)/12+VLOOKUP('Monthly Data'!B52,'Historic CDM'!$N$111:$V$122,9,FALSE)/12</f>
        <v>22500.618052518097</v>
      </c>
      <c r="X52" s="2">
        <f t="shared" si="1"/>
        <v>26062036.087005019</v>
      </c>
      <c r="Y52" s="2">
        <v>39807.266025970086</v>
      </c>
      <c r="Z52" s="2">
        <v>4</v>
      </c>
      <c r="AA52" s="2">
        <v>486373.22372999997</v>
      </c>
      <c r="AB52" s="2">
        <v>1251.506016697052</v>
      </c>
      <c r="AC52" s="2">
        <v>10027</v>
      </c>
      <c r="AD52" s="2">
        <v>42432.767999999996</v>
      </c>
      <c r="AE52" s="2">
        <v>139.464</v>
      </c>
      <c r="AF52" s="2">
        <v>410</v>
      </c>
      <c r="AG52" s="2">
        <v>195590.49351659999</v>
      </c>
      <c r="AH52" s="2">
        <v>262</v>
      </c>
      <c r="AI52">
        <f>Weather!C208</f>
        <v>501.10000000000008</v>
      </c>
      <c r="AJ52">
        <f>Weather!D208</f>
        <v>0</v>
      </c>
      <c r="AK52">
        <f>Weather!E208</f>
        <v>439.10000000000008</v>
      </c>
      <c r="AL52">
        <f>Weather!F208</f>
        <v>0</v>
      </c>
      <c r="AM52">
        <f>Weather!G208</f>
        <v>377.10000000000008</v>
      </c>
      <c r="AN52">
        <f>Weather!H208</f>
        <v>0</v>
      </c>
      <c r="AO52">
        <f>Weather!I208</f>
        <v>316.90000000000003</v>
      </c>
      <c r="AP52">
        <f>Weather!J208</f>
        <v>1.8000000000000007</v>
      </c>
      <c r="AQ52">
        <f>Weather!K208</f>
        <v>260.19999999999993</v>
      </c>
      <c r="AR52">
        <f>Weather!L208</f>
        <v>7.1000000000000014</v>
      </c>
      <c r="AS52">
        <f>Weather!M208</f>
        <v>206.99999999999997</v>
      </c>
      <c r="AT52">
        <f>Weather!N208</f>
        <v>15.900000000000002</v>
      </c>
      <c r="AU52">
        <f>Weather!O208</f>
        <v>155.19999999999993</v>
      </c>
      <c r="AV52">
        <f>Weather!P208</f>
        <v>26.1</v>
      </c>
      <c r="AW52" s="7">
        <f>Weather!Q208</f>
        <v>3.8354838709677428</v>
      </c>
      <c r="AX52" s="5">
        <f>'Economic Variables'!D162</f>
        <v>6930.2</v>
      </c>
      <c r="AY52" s="5">
        <f>'Economic Variables'!E162</f>
        <v>6827.3</v>
      </c>
      <c r="AZ52" s="5">
        <f>'Economic Variables'!F162</f>
        <v>248.1</v>
      </c>
      <c r="BA52" s="5">
        <f>'Economic Variables'!G162</f>
        <v>244.7</v>
      </c>
      <c r="BB52" s="5">
        <f>'Economic Variables'!H162</f>
        <v>692620.80000000005</v>
      </c>
      <c r="BC52" s="5">
        <f>'Economic Variables'!I162</f>
        <v>7420.6</v>
      </c>
      <c r="BD52" s="5">
        <f>'Economic Variables'!J162</f>
        <v>6600.8</v>
      </c>
      <c r="BE52" s="5">
        <f>'Economic Variables'!K162</f>
        <v>427.5</v>
      </c>
      <c r="BF52" s="5">
        <f>'Economic Variables'!L162</f>
        <v>7596.5</v>
      </c>
      <c r="BG52" s="5">
        <f>'Economic Variables'!M162</f>
        <v>377.2</v>
      </c>
      <c r="BH52" s="5">
        <f>'Economic Variables'!N162</f>
        <v>784.9</v>
      </c>
      <c r="BI52" s="5">
        <f t="shared" si="34"/>
        <v>15017.1</v>
      </c>
      <c r="BJ52" s="5">
        <f>'Economic Variables'!P162</f>
        <v>691978</v>
      </c>
      <c r="BK52" s="5">
        <f>'Economic Variables'!Q162</f>
        <v>7414</v>
      </c>
      <c r="BL52" s="5">
        <f>'Economic Variables'!R162</f>
        <v>7769</v>
      </c>
      <c r="BM52" s="5">
        <f>'Economic Variables'!S162</f>
        <v>2819</v>
      </c>
      <c r="BN52" s="5">
        <f t="shared" si="35"/>
        <v>51</v>
      </c>
      <c r="BO52" s="80">
        <f t="shared" si="36"/>
        <v>1.7075701760979363</v>
      </c>
      <c r="BP52" s="5">
        <f t="shared" si="37"/>
        <v>2601</v>
      </c>
      <c r="BQ52">
        <v>0</v>
      </c>
      <c r="BR52">
        <v>0</v>
      </c>
      <c r="BS52">
        <v>1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f t="shared" si="40"/>
        <v>1</v>
      </c>
      <c r="CD52">
        <f t="shared" si="40"/>
        <v>0</v>
      </c>
      <c r="CE52">
        <f t="shared" si="38"/>
        <v>1</v>
      </c>
      <c r="CF52">
        <v>31</v>
      </c>
      <c r="CG52">
        <v>21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 s="80">
        <f t="shared" si="27"/>
        <v>19.277538834412709</v>
      </c>
      <c r="CZ52" s="78">
        <f t="shared" si="28"/>
        <v>82.208876912394558</v>
      </c>
      <c r="DA52" s="5">
        <f t="shared" si="29"/>
        <v>2371.5869445385447</v>
      </c>
      <c r="DB52" s="5">
        <f t="shared" si="30"/>
        <v>65553.417218647548</v>
      </c>
      <c r="DC52" s="5">
        <f t="shared" si="31"/>
        <v>310262.33436910738</v>
      </c>
      <c r="DD52">
        <f t="shared" si="39"/>
        <v>1606.5588979132074</v>
      </c>
      <c r="DE52">
        <f t="shared" si="32"/>
        <v>44407.153599728983</v>
      </c>
      <c r="DF52">
        <f t="shared" si="33"/>
        <v>210177.71037907273</v>
      </c>
      <c r="DG52" s="19">
        <v>32395</v>
      </c>
      <c r="DH52" s="19">
        <v>3477</v>
      </c>
      <c r="DI52" s="19">
        <v>380</v>
      </c>
      <c r="DJ52" s="19">
        <v>12</v>
      </c>
      <c r="DK52" s="19">
        <v>3</v>
      </c>
    </row>
    <row r="53" spans="1:115" s="2" customFormat="1">
      <c r="A53" s="3">
        <v>42461</v>
      </c>
      <c r="B53">
        <f t="shared" si="25"/>
        <v>2016</v>
      </c>
      <c r="C53" s="2">
        <v>80793092.349907503</v>
      </c>
      <c r="D53" s="2">
        <v>17386044.966892898</v>
      </c>
      <c r="E53" s="2">
        <v>587474.37918478565</v>
      </c>
      <c r="F53" s="2">
        <v>17973519.346077684</v>
      </c>
      <c r="G53" s="2">
        <v>32401</v>
      </c>
      <c r="H53" s="2">
        <v>7888731.5869184993</v>
      </c>
      <c r="I53" s="2">
        <v>294605.99945387192</v>
      </c>
      <c r="J53" s="2">
        <v>8183337.5863723708</v>
      </c>
      <c r="K53" s="2">
        <v>3484</v>
      </c>
      <c r="L53" s="2">
        <v>16500949.659951998</v>
      </c>
      <c r="M53" s="2">
        <f>VLOOKUP('Monthly Data'!B53,'Historic CDM'!$B$111:$J$122,4,FALSE)/12+VLOOKUP('Monthly Data'!B53,'Historic CDM'!$N$111:$V$122,4,FALSE)/12</f>
        <v>1380905.3946414078</v>
      </c>
      <c r="N53" s="2">
        <f t="shared" si="14"/>
        <v>17881855.054593407</v>
      </c>
      <c r="O53" s="2">
        <v>44178.248490362857</v>
      </c>
      <c r="P53" s="2">
        <v>382</v>
      </c>
      <c r="Q53" s="2">
        <v>10279460.201999998</v>
      </c>
      <c r="R53" s="2">
        <f>VLOOKUP('Monthly Data'!B53,'Historic CDM'!$B$111:$J$122,5,FALSE)/12+VLOOKUP('Monthly Data'!B53,'Historic CDM'!$N$111:$V$122,5,FALSE)/12</f>
        <v>104250.71313278732</v>
      </c>
      <c r="S53" s="2">
        <f t="shared" si="16"/>
        <v>10383710.915132785</v>
      </c>
      <c r="T53" s="2">
        <v>20815.6484906103</v>
      </c>
      <c r="U53" s="2">
        <v>8</v>
      </c>
      <c r="V53" s="2">
        <v>25437554.855707496</v>
      </c>
      <c r="W53" s="2">
        <f>VLOOKUP('Monthly Data'!B53,'Historic CDM'!$B$111:$J$122,9,FALSE)/12+VLOOKUP('Monthly Data'!B53,'Historic CDM'!$N$111:$V$122,9,FALSE)/12</f>
        <v>22500.618052518097</v>
      </c>
      <c r="X53" s="2">
        <f t="shared" si="1"/>
        <v>25460055.473760016</v>
      </c>
      <c r="Y53" s="2">
        <v>40943.353873086919</v>
      </c>
      <c r="Z53" s="2">
        <v>4</v>
      </c>
      <c r="AA53" s="2">
        <v>409981.63140000001</v>
      </c>
      <c r="AB53" s="2">
        <v>1245.390010555602</v>
      </c>
      <c r="AC53" s="2">
        <v>10009</v>
      </c>
      <c r="AD53" s="2">
        <v>40808.879999999997</v>
      </c>
      <c r="AE53" s="2">
        <v>60.591000000000001</v>
      </c>
      <c r="AF53" s="2">
        <v>409</v>
      </c>
      <c r="AG53" s="2">
        <v>181382.32823840002</v>
      </c>
      <c r="AH53" s="2">
        <v>262</v>
      </c>
      <c r="AI53">
        <f>Weather!C209</f>
        <v>451.00000000000006</v>
      </c>
      <c r="AJ53">
        <f>Weather!D209</f>
        <v>0</v>
      </c>
      <c r="AK53">
        <f>Weather!E209</f>
        <v>391.00000000000011</v>
      </c>
      <c r="AL53">
        <f>Weather!F209</f>
        <v>0</v>
      </c>
      <c r="AM53">
        <f>Weather!G209</f>
        <v>331</v>
      </c>
      <c r="AN53">
        <f>Weather!H209</f>
        <v>0</v>
      </c>
      <c r="AO53">
        <f>Weather!I209</f>
        <v>272.60000000000002</v>
      </c>
      <c r="AP53">
        <f>Weather!J209</f>
        <v>1.5999999999999996</v>
      </c>
      <c r="AQ53">
        <f>Weather!K209</f>
        <v>217.89999999999998</v>
      </c>
      <c r="AR53">
        <f>Weather!L209</f>
        <v>6.9</v>
      </c>
      <c r="AS53">
        <f>Weather!M209</f>
        <v>163.89999999999998</v>
      </c>
      <c r="AT53">
        <f>Weather!N209</f>
        <v>12.9</v>
      </c>
      <c r="AU53">
        <f>Weather!O209</f>
        <v>115.39999999999998</v>
      </c>
      <c r="AV53">
        <f>Weather!P209</f>
        <v>24.4</v>
      </c>
      <c r="AW53" s="7">
        <f>Weather!Q209</f>
        <v>4.9666666666666668</v>
      </c>
      <c r="AX53" s="5">
        <f>'Economic Variables'!D163</f>
        <v>6931.9</v>
      </c>
      <c r="AY53" s="5">
        <f>'Economic Variables'!E163</f>
        <v>6843.7</v>
      </c>
      <c r="AZ53" s="5">
        <f>'Economic Variables'!F163</f>
        <v>245.3</v>
      </c>
      <c r="BA53" s="5">
        <f>'Economic Variables'!G163</f>
        <v>241.5</v>
      </c>
      <c r="BB53" s="5">
        <f>'Economic Variables'!H163</f>
        <v>692620.80000000005</v>
      </c>
      <c r="BC53" s="5">
        <f>'Economic Variables'!I163</f>
        <v>7420.6</v>
      </c>
      <c r="BD53" s="5">
        <f>'Economic Variables'!J163</f>
        <v>6600.8</v>
      </c>
      <c r="BE53" s="5">
        <f>'Economic Variables'!K163</f>
        <v>427.5</v>
      </c>
      <c r="BF53" s="5">
        <f>'Economic Variables'!L163</f>
        <v>7596.5</v>
      </c>
      <c r="BG53" s="5">
        <f>'Economic Variables'!M163</f>
        <v>377.2</v>
      </c>
      <c r="BH53" s="5">
        <f>'Economic Variables'!N163</f>
        <v>784.9</v>
      </c>
      <c r="BI53" s="5">
        <f t="shared" si="34"/>
        <v>15017.1</v>
      </c>
      <c r="BJ53" s="5">
        <f>'Economic Variables'!P163</f>
        <v>689507</v>
      </c>
      <c r="BK53" s="5">
        <f>'Economic Variables'!Q163</f>
        <v>7421</v>
      </c>
      <c r="BL53" s="5">
        <f>'Economic Variables'!R163</f>
        <v>7619</v>
      </c>
      <c r="BM53" s="5">
        <f>'Economic Variables'!S163</f>
        <v>2937</v>
      </c>
      <c r="BN53" s="5">
        <f t="shared" si="35"/>
        <v>52</v>
      </c>
      <c r="BO53" s="80">
        <f t="shared" si="36"/>
        <v>1.7160033436347992</v>
      </c>
      <c r="BP53" s="5">
        <f t="shared" si="37"/>
        <v>2704</v>
      </c>
      <c r="BQ53">
        <v>0</v>
      </c>
      <c r="BR53">
        <v>0</v>
      </c>
      <c r="BS53">
        <v>0</v>
      </c>
      <c r="BT53">
        <v>1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f t="shared" si="40"/>
        <v>1</v>
      </c>
      <c r="CD53">
        <f t="shared" si="40"/>
        <v>0</v>
      </c>
      <c r="CE53">
        <f t="shared" si="38"/>
        <v>1</v>
      </c>
      <c r="CF53">
        <v>30</v>
      </c>
      <c r="CG53">
        <v>21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 s="80">
        <f t="shared" si="27"/>
        <v>18.490704346653587</v>
      </c>
      <c r="CZ53" s="78">
        <f t="shared" si="28"/>
        <v>78.29446600050106</v>
      </c>
      <c r="DA53" s="5">
        <f t="shared" si="29"/>
        <v>2229.101851731913</v>
      </c>
      <c r="DB53" s="5">
        <f t="shared" si="30"/>
        <v>61807.803066266577</v>
      </c>
      <c r="DC53" s="5">
        <f t="shared" si="31"/>
        <v>303095.89849714306</v>
      </c>
      <c r="DD53">
        <f t="shared" si="39"/>
        <v>1560.3712962123393</v>
      </c>
      <c r="DE53">
        <f t="shared" si="32"/>
        <v>43265.462146386606</v>
      </c>
      <c r="DF53">
        <f t="shared" si="33"/>
        <v>212167.12894800014</v>
      </c>
      <c r="DG53" s="19">
        <v>32401</v>
      </c>
      <c r="DH53" s="19">
        <v>3484</v>
      </c>
      <c r="DI53" s="19">
        <v>380</v>
      </c>
      <c r="DJ53" s="19">
        <v>12</v>
      </c>
      <c r="DK53" s="19">
        <v>3</v>
      </c>
    </row>
    <row r="54" spans="1:115" s="2" customFormat="1">
      <c r="A54" s="3">
        <v>42491</v>
      </c>
      <c r="B54">
        <f t="shared" si="25"/>
        <v>2016</v>
      </c>
      <c r="C54" s="2">
        <v>83448894.454400003</v>
      </c>
      <c r="D54" s="2">
        <v>18459616.889982197</v>
      </c>
      <c r="E54" s="2">
        <v>587474.37918478565</v>
      </c>
      <c r="F54" s="2">
        <v>19047091.269166984</v>
      </c>
      <c r="G54" s="2">
        <v>32387</v>
      </c>
      <c r="H54" s="2">
        <v>8017658.3299872</v>
      </c>
      <c r="I54" s="2">
        <v>294605.99945387192</v>
      </c>
      <c r="J54" s="2">
        <v>8312264.3294410715</v>
      </c>
      <c r="K54" s="2">
        <v>3482</v>
      </c>
      <c r="L54" s="2">
        <v>17380868.119343199</v>
      </c>
      <c r="M54" s="2">
        <f>VLOOKUP('Monthly Data'!B54,'Historic CDM'!$B$111:$J$122,4,FALSE)/12+VLOOKUP('Monthly Data'!B54,'Historic CDM'!$N$111:$V$122,4,FALSE)/12</f>
        <v>1380905.3946414078</v>
      </c>
      <c r="N54" s="2">
        <f t="shared" si="14"/>
        <v>18761773.513984606</v>
      </c>
      <c r="O54" s="2">
        <v>58693.80144725072</v>
      </c>
      <c r="P54" s="2">
        <v>371</v>
      </c>
      <c r="Q54" s="2">
        <v>11018984.188000001</v>
      </c>
      <c r="R54" s="2">
        <f>VLOOKUP('Monthly Data'!B54,'Historic CDM'!$B$111:$J$122,5,FALSE)/12+VLOOKUP('Monthly Data'!B54,'Historic CDM'!$N$111:$V$122,5,FALSE)/12</f>
        <v>104250.71313278732</v>
      </c>
      <c r="S54" s="2">
        <f t="shared" si="16"/>
        <v>11123234.901132789</v>
      </c>
      <c r="T54" s="2">
        <v>21750.396665960649</v>
      </c>
      <c r="U54" s="2">
        <v>8</v>
      </c>
      <c r="V54" s="2">
        <v>25822909.327050004</v>
      </c>
      <c r="W54" s="2">
        <f>VLOOKUP('Monthly Data'!B54,'Historic CDM'!$B$111:$J$122,9,FALSE)/12+VLOOKUP('Monthly Data'!B54,'Historic CDM'!$N$111:$V$122,9,FALSE)/12</f>
        <v>22500.618052518097</v>
      </c>
      <c r="X54" s="2">
        <f t="shared" si="1"/>
        <v>25845409.945102524</v>
      </c>
      <c r="Y54" s="2">
        <v>39847.056701603084</v>
      </c>
      <c r="Z54" s="2">
        <v>4</v>
      </c>
      <c r="AA54" s="2">
        <v>373487.84561999998</v>
      </c>
      <c r="AB54" s="2">
        <v>1244.4850110354053</v>
      </c>
      <c r="AC54" s="2">
        <v>10009</v>
      </c>
      <c r="AD54" s="2">
        <v>42137.928</v>
      </c>
      <c r="AE54" s="2">
        <v>142.10400000000001</v>
      </c>
      <c r="AF54" s="2">
        <v>409</v>
      </c>
      <c r="AG54" s="2">
        <v>187187.56748980001</v>
      </c>
      <c r="AH54" s="2">
        <v>262</v>
      </c>
      <c r="AI54">
        <f>Weather!C210</f>
        <v>221.39999999999998</v>
      </c>
      <c r="AJ54">
        <f>Weather!D210</f>
        <v>19.999999999999996</v>
      </c>
      <c r="AK54">
        <f>Weather!E210</f>
        <v>172.49999999999997</v>
      </c>
      <c r="AL54">
        <f>Weather!F210</f>
        <v>33.099999999999994</v>
      </c>
      <c r="AM54">
        <f>Weather!G210</f>
        <v>125.19999999999999</v>
      </c>
      <c r="AN54">
        <f>Weather!H210</f>
        <v>47.8</v>
      </c>
      <c r="AO54">
        <f>Weather!I210</f>
        <v>84.6</v>
      </c>
      <c r="AP54">
        <f>Weather!J210</f>
        <v>69.2</v>
      </c>
      <c r="AQ54">
        <f>Weather!K210</f>
        <v>47.200000000000017</v>
      </c>
      <c r="AR54">
        <f>Weather!L210</f>
        <v>93.800000000000011</v>
      </c>
      <c r="AS54">
        <f>Weather!M210</f>
        <v>19.999999999999996</v>
      </c>
      <c r="AT54">
        <f>Weather!N210</f>
        <v>128.60000000000002</v>
      </c>
      <c r="AU54">
        <f>Weather!O210</f>
        <v>5.8999999999999995</v>
      </c>
      <c r="AV54">
        <f>Weather!P210</f>
        <v>176.49999999999994</v>
      </c>
      <c r="AW54" s="7">
        <f>Weather!Q210</f>
        <v>13.503225806451612</v>
      </c>
      <c r="AX54" s="5">
        <f>'Economic Variables'!D164</f>
        <v>6944.7</v>
      </c>
      <c r="AY54" s="5">
        <f>'Economic Variables'!E164</f>
        <v>6913.7</v>
      </c>
      <c r="AZ54" s="5">
        <f>'Economic Variables'!F164</f>
        <v>244.7</v>
      </c>
      <c r="BA54" s="5">
        <f>'Economic Variables'!G164</f>
        <v>243.5</v>
      </c>
      <c r="BB54" s="5">
        <f>'Economic Variables'!H164</f>
        <v>692620.80000000005</v>
      </c>
      <c r="BC54" s="5">
        <f>'Economic Variables'!I164</f>
        <v>7420.6</v>
      </c>
      <c r="BD54" s="5">
        <f>'Economic Variables'!J164</f>
        <v>6600.8</v>
      </c>
      <c r="BE54" s="5">
        <f>'Economic Variables'!K164</f>
        <v>427.5</v>
      </c>
      <c r="BF54" s="5">
        <f>'Economic Variables'!L164</f>
        <v>7596.5</v>
      </c>
      <c r="BG54" s="5">
        <f>'Economic Variables'!M164</f>
        <v>377.2</v>
      </c>
      <c r="BH54" s="5">
        <f>'Economic Variables'!N164</f>
        <v>784.9</v>
      </c>
      <c r="BI54" s="5">
        <f t="shared" si="34"/>
        <v>15017.1</v>
      </c>
      <c r="BJ54" s="5">
        <f>'Economic Variables'!P164</f>
        <v>689507</v>
      </c>
      <c r="BK54" s="5">
        <f>'Economic Variables'!Q164</f>
        <v>7421</v>
      </c>
      <c r="BL54" s="5">
        <f>'Economic Variables'!R164</f>
        <v>7619</v>
      </c>
      <c r="BM54" s="5">
        <f>'Economic Variables'!S164</f>
        <v>2937</v>
      </c>
      <c r="BN54" s="5">
        <f t="shared" si="35"/>
        <v>53</v>
      </c>
      <c r="BO54" s="80">
        <f t="shared" si="36"/>
        <v>1.7242758696007889</v>
      </c>
      <c r="BP54" s="5">
        <f t="shared" si="37"/>
        <v>2809</v>
      </c>
      <c r="BQ54">
        <v>0</v>
      </c>
      <c r="BR54">
        <v>0</v>
      </c>
      <c r="BS54">
        <v>0</v>
      </c>
      <c r="BT54">
        <v>0</v>
      </c>
      <c r="BU54">
        <v>1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f t="shared" si="40"/>
        <v>1</v>
      </c>
      <c r="CD54">
        <f t="shared" si="40"/>
        <v>0</v>
      </c>
      <c r="CE54">
        <f t="shared" si="38"/>
        <v>1</v>
      </c>
      <c r="CF54">
        <v>31</v>
      </c>
      <c r="CG54">
        <v>21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 s="80">
        <f t="shared" si="27"/>
        <v>18.971263130434636</v>
      </c>
      <c r="CZ54" s="78">
        <f t="shared" si="28"/>
        <v>77.006765943201643</v>
      </c>
      <c r="DA54" s="5">
        <f t="shared" si="29"/>
        <v>2408.1341950949309</v>
      </c>
      <c r="DB54" s="5">
        <f t="shared" si="30"/>
        <v>66209.731554361832</v>
      </c>
      <c r="DC54" s="5">
        <f t="shared" si="31"/>
        <v>307683.45172741101</v>
      </c>
      <c r="DD54">
        <f t="shared" si="39"/>
        <v>1631.3167128062435</v>
      </c>
      <c r="DE54">
        <f t="shared" si="32"/>
        <v>44851.753633599954</v>
      </c>
      <c r="DF54">
        <f t="shared" si="33"/>
        <v>208430.72536373005</v>
      </c>
      <c r="DG54" s="19">
        <v>32387</v>
      </c>
      <c r="DH54" s="19">
        <v>3482</v>
      </c>
      <c r="DI54" s="19">
        <v>369</v>
      </c>
      <c r="DJ54" s="19">
        <v>12</v>
      </c>
      <c r="DK54" s="19">
        <v>3</v>
      </c>
    </row>
    <row r="55" spans="1:115" s="2" customFormat="1">
      <c r="A55" s="3">
        <v>42522</v>
      </c>
      <c r="B55">
        <f t="shared" si="25"/>
        <v>2016</v>
      </c>
      <c r="C55" s="2">
        <v>85816488.117992491</v>
      </c>
      <c r="D55" s="2">
        <v>21538029.770927701</v>
      </c>
      <c r="E55" s="2">
        <v>587474.37918478565</v>
      </c>
      <c r="F55" s="2">
        <v>22125504.150112487</v>
      </c>
      <c r="G55" s="2">
        <v>32414</v>
      </c>
      <c r="H55" s="2">
        <v>8301086.9994669007</v>
      </c>
      <c r="I55" s="2">
        <v>294605.99945387192</v>
      </c>
      <c r="J55" s="2">
        <v>8595692.9989207722</v>
      </c>
      <c r="K55" s="2">
        <v>3471</v>
      </c>
      <c r="L55" s="2">
        <v>17747348.474716201</v>
      </c>
      <c r="M55" s="2">
        <f>VLOOKUP('Monthly Data'!B55,'Historic CDM'!$B$111:$J$122,4,FALSE)/12+VLOOKUP('Monthly Data'!B55,'Historic CDM'!$N$111:$V$122,4,FALSE)/12</f>
        <v>1380905.3946414078</v>
      </c>
      <c r="N55" s="2">
        <f t="shared" si="14"/>
        <v>19128253.869357608</v>
      </c>
      <c r="O55" s="2">
        <v>45510.254285134404</v>
      </c>
      <c r="P55" s="2">
        <v>370</v>
      </c>
      <c r="Q55" s="2">
        <v>9687678.3747999985</v>
      </c>
      <c r="R55" s="2">
        <f>VLOOKUP('Monthly Data'!B55,'Historic CDM'!$B$111:$J$122,5,FALSE)/12+VLOOKUP('Monthly Data'!B55,'Historic CDM'!$N$111:$V$122,5,FALSE)/12</f>
        <v>104250.71313278732</v>
      </c>
      <c r="S55" s="2">
        <f t="shared" si="16"/>
        <v>9791929.087932786</v>
      </c>
      <c r="T55" s="2">
        <v>19264.141444428948</v>
      </c>
      <c r="U55" s="2">
        <v>8</v>
      </c>
      <c r="V55" s="2">
        <v>24302556.051592499</v>
      </c>
      <c r="W55" s="2">
        <f>VLOOKUP('Monthly Data'!B55,'Historic CDM'!$B$111:$J$122,9,FALSE)/12+VLOOKUP('Monthly Data'!B55,'Historic CDM'!$N$111:$V$122,9,FALSE)/12</f>
        <v>22500.618052518097</v>
      </c>
      <c r="X55" s="2">
        <f t="shared" si="1"/>
        <v>24325056.669645019</v>
      </c>
      <c r="Y55" s="2">
        <v>40485.000129329666</v>
      </c>
      <c r="Z55" s="2">
        <v>4</v>
      </c>
      <c r="AA55" s="2">
        <v>320397.78360000002</v>
      </c>
      <c r="AB55" s="2">
        <v>1186.1650129546108</v>
      </c>
      <c r="AC55" s="2">
        <v>10013</v>
      </c>
      <c r="AD55" s="2">
        <v>40794.239999999998</v>
      </c>
      <c r="AE55" s="2">
        <v>64.566000000000003</v>
      </c>
      <c r="AF55" s="2">
        <v>407</v>
      </c>
      <c r="AG55" s="2">
        <v>181251.33558040002</v>
      </c>
      <c r="AH55" s="2">
        <v>263</v>
      </c>
      <c r="AI55">
        <f>Weather!C211</f>
        <v>67.700000000000017</v>
      </c>
      <c r="AJ55">
        <f>Weather!D211</f>
        <v>21.100000000000005</v>
      </c>
      <c r="AK55">
        <f>Weather!E211</f>
        <v>32.299999999999997</v>
      </c>
      <c r="AL55">
        <f>Weather!F211</f>
        <v>45.70000000000001</v>
      </c>
      <c r="AM55">
        <f>Weather!G211</f>
        <v>13.6</v>
      </c>
      <c r="AN55">
        <f>Weather!H211</f>
        <v>87</v>
      </c>
      <c r="AO55">
        <f>Weather!I211</f>
        <v>3.4000000000000004</v>
      </c>
      <c r="AP55">
        <f>Weather!J211</f>
        <v>136.80000000000001</v>
      </c>
      <c r="AQ55">
        <f>Weather!K211</f>
        <v>0.40000000000000036</v>
      </c>
      <c r="AR55">
        <f>Weather!L211</f>
        <v>193.8</v>
      </c>
      <c r="AS55">
        <f>Weather!M211</f>
        <v>0</v>
      </c>
      <c r="AT55">
        <f>Weather!N211</f>
        <v>253.4</v>
      </c>
      <c r="AU55">
        <f>Weather!O211</f>
        <v>0</v>
      </c>
      <c r="AV55">
        <f>Weather!P211</f>
        <v>313.40000000000003</v>
      </c>
      <c r="AW55" s="7">
        <f>Weather!Q211</f>
        <v>18.446666666666669</v>
      </c>
      <c r="AX55" s="5">
        <f>'Economic Variables'!D165</f>
        <v>6955.5</v>
      </c>
      <c r="AY55" s="5">
        <f>'Economic Variables'!E165</f>
        <v>7000.2</v>
      </c>
      <c r="AZ55" s="5">
        <f>'Economic Variables'!F165</f>
        <v>243.3</v>
      </c>
      <c r="BA55" s="5">
        <f>'Economic Variables'!G165</f>
        <v>246.8</v>
      </c>
      <c r="BB55" s="5">
        <f>'Economic Variables'!H165</f>
        <v>692620.80000000005</v>
      </c>
      <c r="BC55" s="5">
        <f>'Economic Variables'!I165</f>
        <v>7420.6</v>
      </c>
      <c r="BD55" s="5">
        <f>'Economic Variables'!J165</f>
        <v>6600.8</v>
      </c>
      <c r="BE55" s="5">
        <f>'Economic Variables'!K165</f>
        <v>427.5</v>
      </c>
      <c r="BF55" s="5">
        <f>'Economic Variables'!L165</f>
        <v>7596.5</v>
      </c>
      <c r="BG55" s="5">
        <f>'Economic Variables'!M165</f>
        <v>377.2</v>
      </c>
      <c r="BH55" s="5">
        <f>'Economic Variables'!N165</f>
        <v>784.9</v>
      </c>
      <c r="BI55" s="5">
        <f t="shared" si="34"/>
        <v>15017.1</v>
      </c>
      <c r="BJ55" s="5">
        <f>'Economic Variables'!P165</f>
        <v>689507</v>
      </c>
      <c r="BK55" s="5">
        <f>'Economic Variables'!Q165</f>
        <v>7421</v>
      </c>
      <c r="BL55" s="5">
        <f>'Economic Variables'!R165</f>
        <v>7619</v>
      </c>
      <c r="BM55" s="5">
        <f>'Economic Variables'!S165</f>
        <v>2937</v>
      </c>
      <c r="BN55" s="5">
        <f t="shared" si="35"/>
        <v>54</v>
      </c>
      <c r="BO55" s="80">
        <f t="shared" si="36"/>
        <v>1.7323937598229686</v>
      </c>
      <c r="BP55" s="5">
        <f t="shared" si="37"/>
        <v>2916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1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f t="shared" si="40"/>
        <v>0</v>
      </c>
      <c r="CD55">
        <f t="shared" si="40"/>
        <v>0</v>
      </c>
      <c r="CE55">
        <f t="shared" si="38"/>
        <v>0</v>
      </c>
      <c r="CF55">
        <v>30</v>
      </c>
      <c r="CG55">
        <v>22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 s="80">
        <f t="shared" si="27"/>
        <v>22.753032794587202</v>
      </c>
      <c r="CZ55" s="78">
        <f t="shared" si="28"/>
        <v>82.547709583412768</v>
      </c>
      <c r="DA55" s="5">
        <f t="shared" si="29"/>
        <v>2349.90833775892</v>
      </c>
      <c r="DB55" s="5">
        <f t="shared" si="30"/>
        <v>55635.960726890829</v>
      </c>
      <c r="DC55" s="5">
        <f t="shared" si="31"/>
        <v>276421.09851869341</v>
      </c>
      <c r="DD55">
        <f t="shared" si="39"/>
        <v>1723.2661143565413</v>
      </c>
      <c r="DE55">
        <f t="shared" si="32"/>
        <v>40799.704533053278</v>
      </c>
      <c r="DF55">
        <f t="shared" si="33"/>
        <v>202708.80558037516</v>
      </c>
      <c r="DG55" s="19">
        <v>32414</v>
      </c>
      <c r="DH55" s="19">
        <v>3471</v>
      </c>
      <c r="DI55" s="19">
        <v>368</v>
      </c>
      <c r="DJ55" s="19">
        <v>12</v>
      </c>
      <c r="DK55" s="19">
        <v>3</v>
      </c>
    </row>
    <row r="56" spans="1:115" s="2" customFormat="1">
      <c r="A56" s="3">
        <v>42552</v>
      </c>
      <c r="B56">
        <f t="shared" si="25"/>
        <v>2016</v>
      </c>
      <c r="C56" s="2">
        <v>100212176.77169</v>
      </c>
      <c r="D56" s="2">
        <v>28862642.328792401</v>
      </c>
      <c r="E56" s="2">
        <v>587474.37918478565</v>
      </c>
      <c r="F56" s="2">
        <v>29450116.707977187</v>
      </c>
      <c r="G56" s="2">
        <v>32430</v>
      </c>
      <c r="H56" s="2">
        <v>9924884.1903480012</v>
      </c>
      <c r="I56" s="2">
        <v>294605.99945387192</v>
      </c>
      <c r="J56" s="2">
        <v>10219490.189801874</v>
      </c>
      <c r="K56" s="2">
        <v>3472</v>
      </c>
      <c r="L56" s="2">
        <v>19424889.390562199</v>
      </c>
      <c r="M56" s="2">
        <f>VLOOKUP('Monthly Data'!B56,'Historic CDM'!$B$111:$J$122,4,FALSE)/12+VLOOKUP('Monthly Data'!B56,'Historic CDM'!$N$111:$V$122,4,FALSE)/12</f>
        <v>1380905.3946414078</v>
      </c>
      <c r="N56" s="2">
        <f t="shared" si="14"/>
        <v>20805794.785203606</v>
      </c>
      <c r="O56" s="2">
        <v>57910.022304409664</v>
      </c>
      <c r="P56" s="2">
        <v>371</v>
      </c>
      <c r="Q56" s="2">
        <v>10692829.267999999</v>
      </c>
      <c r="R56" s="2">
        <f>VLOOKUP('Monthly Data'!B56,'Historic CDM'!$B$111:$J$122,5,FALSE)/12+VLOOKUP('Monthly Data'!B56,'Historic CDM'!$N$111:$V$122,5,FALSE)/12</f>
        <v>104250.71313278732</v>
      </c>
      <c r="S56" s="2">
        <f t="shared" si="16"/>
        <v>10797079.981132787</v>
      </c>
      <c r="T56" s="2">
        <v>20217.457850727063</v>
      </c>
      <c r="U56" s="2">
        <v>8</v>
      </c>
      <c r="V56" s="2">
        <v>25912332.335340001</v>
      </c>
      <c r="W56" s="2">
        <f>VLOOKUP('Monthly Data'!B56,'Historic CDM'!$B$111:$J$122,9,FALSE)/12+VLOOKUP('Monthly Data'!B56,'Historic CDM'!$N$111:$V$122,9,FALSE)/12</f>
        <v>22500.618052518097</v>
      </c>
      <c r="X56" s="2">
        <f t="shared" si="1"/>
        <v>25934832.953392521</v>
      </c>
      <c r="Y56" s="2">
        <v>40492.818445059347</v>
      </c>
      <c r="Z56" s="2">
        <v>4</v>
      </c>
      <c r="AA56" s="2">
        <v>322217.36536</v>
      </c>
      <c r="AB56" s="2">
        <v>1104.5620094040878</v>
      </c>
      <c r="AC56" s="2">
        <v>10019</v>
      </c>
      <c r="AD56" s="2">
        <v>42231.648000000001</v>
      </c>
      <c r="AE56" s="2">
        <v>136.38900000000001</v>
      </c>
      <c r="AF56" s="2">
        <v>409</v>
      </c>
      <c r="AG56" s="2">
        <v>187735.00518830001</v>
      </c>
      <c r="AH56" s="2">
        <v>261</v>
      </c>
      <c r="AI56">
        <f>Weather!C212</f>
        <v>11.100000000000001</v>
      </c>
      <c r="AJ56">
        <f>Weather!D212</f>
        <v>83.899999999999977</v>
      </c>
      <c r="AK56">
        <f>Weather!E212</f>
        <v>1.7000000000000028</v>
      </c>
      <c r="AL56">
        <f>Weather!F212</f>
        <v>136.49999999999997</v>
      </c>
      <c r="AM56">
        <f>Weather!G212</f>
        <v>0</v>
      </c>
      <c r="AN56">
        <f>Weather!H212</f>
        <v>196.80000000000004</v>
      </c>
      <c r="AO56">
        <f>Weather!I212</f>
        <v>0</v>
      </c>
      <c r="AP56">
        <f>Weather!J212</f>
        <v>258.8</v>
      </c>
      <c r="AQ56">
        <f>Weather!K212</f>
        <v>0</v>
      </c>
      <c r="AR56">
        <f>Weather!L212</f>
        <v>320.8</v>
      </c>
      <c r="AS56">
        <f>Weather!M212</f>
        <v>0</v>
      </c>
      <c r="AT56">
        <f>Weather!N212</f>
        <v>382.79999999999995</v>
      </c>
      <c r="AU56">
        <f>Weather!O212</f>
        <v>0</v>
      </c>
      <c r="AV56">
        <f>Weather!P212</f>
        <v>444.8</v>
      </c>
      <c r="AW56" s="7">
        <f>Weather!Q212</f>
        <v>22.348387096774193</v>
      </c>
      <c r="AX56" s="5">
        <f>'Economic Variables'!D166</f>
        <v>6956.3</v>
      </c>
      <c r="AY56" s="5">
        <f>'Economic Variables'!E166</f>
        <v>7049.5</v>
      </c>
      <c r="AZ56" s="5">
        <f>'Economic Variables'!F166</f>
        <v>243.3</v>
      </c>
      <c r="BA56" s="5">
        <f>'Economic Variables'!G166</f>
        <v>249.6</v>
      </c>
      <c r="BB56" s="5">
        <f>'Economic Variables'!H166</f>
        <v>692620.80000000005</v>
      </c>
      <c r="BC56" s="5">
        <f>'Economic Variables'!I166</f>
        <v>7420.6</v>
      </c>
      <c r="BD56" s="5">
        <f>'Economic Variables'!J166</f>
        <v>6600.8</v>
      </c>
      <c r="BE56" s="5">
        <f>'Economic Variables'!K166</f>
        <v>427.5</v>
      </c>
      <c r="BF56" s="5">
        <f>'Economic Variables'!L166</f>
        <v>7596.5</v>
      </c>
      <c r="BG56" s="5">
        <f>'Economic Variables'!M166</f>
        <v>377.2</v>
      </c>
      <c r="BH56" s="5">
        <f>'Economic Variables'!N166</f>
        <v>784.9</v>
      </c>
      <c r="BI56" s="5">
        <f t="shared" si="34"/>
        <v>15017.1</v>
      </c>
      <c r="BJ56" s="5">
        <f>'Economic Variables'!P166</f>
        <v>695069</v>
      </c>
      <c r="BK56" s="5">
        <f>'Economic Variables'!Q166</f>
        <v>7438</v>
      </c>
      <c r="BL56" s="5">
        <f>'Economic Variables'!R166</f>
        <v>7449</v>
      </c>
      <c r="BM56" s="5">
        <f>'Economic Variables'!S166</f>
        <v>3045</v>
      </c>
      <c r="BN56" s="5">
        <f t="shared" si="35"/>
        <v>55</v>
      </c>
      <c r="BO56" s="80">
        <f t="shared" si="36"/>
        <v>1.7403626894942439</v>
      </c>
      <c r="BP56" s="5">
        <f t="shared" si="37"/>
        <v>3025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1</v>
      </c>
      <c r="BX56">
        <v>0</v>
      </c>
      <c r="BY56">
        <v>0</v>
      </c>
      <c r="BZ56">
        <v>0</v>
      </c>
      <c r="CA56">
        <v>0</v>
      </c>
      <c r="CB56">
        <v>0</v>
      </c>
      <c r="CC56">
        <f t="shared" si="40"/>
        <v>0</v>
      </c>
      <c r="CD56">
        <f t="shared" si="40"/>
        <v>0</v>
      </c>
      <c r="CE56">
        <f t="shared" si="38"/>
        <v>0</v>
      </c>
      <c r="CF56">
        <v>31</v>
      </c>
      <c r="CG56">
        <v>20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 s="80">
        <f t="shared" si="27"/>
        <v>29.293979795666285</v>
      </c>
      <c r="CZ56" s="78">
        <f t="shared" si="28"/>
        <v>94.948437172977123</v>
      </c>
      <c r="DA56" s="5">
        <f t="shared" si="29"/>
        <v>2804.0154697039898</v>
      </c>
      <c r="DB56" s="5">
        <f t="shared" si="30"/>
        <v>67481.749882079923</v>
      </c>
      <c r="DC56" s="5">
        <f t="shared" si="31"/>
        <v>324185.41191740648</v>
      </c>
      <c r="DD56">
        <f t="shared" si="39"/>
        <v>1809.0422385187032</v>
      </c>
      <c r="DE56">
        <f t="shared" si="32"/>
        <v>43536.612827148332</v>
      </c>
      <c r="DF56">
        <f t="shared" si="33"/>
        <v>209151.87865639129</v>
      </c>
      <c r="DG56" s="19">
        <v>32430</v>
      </c>
      <c r="DH56" s="19">
        <v>3472</v>
      </c>
      <c r="DI56" s="19">
        <v>369</v>
      </c>
      <c r="DJ56" s="19">
        <v>12</v>
      </c>
      <c r="DK56" s="19">
        <v>3</v>
      </c>
    </row>
    <row r="57" spans="1:115" s="2" customFormat="1">
      <c r="A57" s="3">
        <v>42583</v>
      </c>
      <c r="B57">
        <f t="shared" si="25"/>
        <v>2016</v>
      </c>
      <c r="C57" s="2">
        <v>101591980.82842501</v>
      </c>
      <c r="D57" s="2">
        <v>30190514.5105628</v>
      </c>
      <c r="E57" s="2">
        <v>587474.37918478565</v>
      </c>
      <c r="F57" s="2">
        <v>30777988.889747586</v>
      </c>
      <c r="G57" s="2">
        <v>32434</v>
      </c>
      <c r="H57" s="2">
        <v>10292244.476312801</v>
      </c>
      <c r="I57" s="2">
        <v>294605.99945387192</v>
      </c>
      <c r="J57" s="2">
        <v>10586850.475766674</v>
      </c>
      <c r="K57" s="2">
        <v>3467</v>
      </c>
      <c r="L57" s="2">
        <v>20774898.1709162</v>
      </c>
      <c r="M57" s="2">
        <f>VLOOKUP('Monthly Data'!B57,'Historic CDM'!$B$111:$J$122,4,FALSE)/12+VLOOKUP('Monthly Data'!B57,'Historic CDM'!$N$111:$V$122,4,FALSE)/12</f>
        <v>1380905.3946414078</v>
      </c>
      <c r="N57" s="2">
        <f t="shared" si="14"/>
        <v>22155803.565557607</v>
      </c>
      <c r="O57" s="2">
        <v>54129.387911494283</v>
      </c>
      <c r="P57" s="2">
        <v>374</v>
      </c>
      <c r="Q57" s="2">
        <v>10869741.3254</v>
      </c>
      <c r="R57" s="2">
        <f>VLOOKUP('Monthly Data'!B57,'Historic CDM'!$B$111:$J$122,5,FALSE)/12+VLOOKUP('Monthly Data'!B57,'Historic CDM'!$N$111:$V$122,5,FALSE)/12</f>
        <v>104250.71313278732</v>
      </c>
      <c r="S57" s="2">
        <f t="shared" si="16"/>
        <v>10973992.038532788</v>
      </c>
      <c r="T57" s="2">
        <v>19070.371383757312</v>
      </c>
      <c r="U57" s="2">
        <v>8</v>
      </c>
      <c r="V57" s="2">
        <v>24607718.677575</v>
      </c>
      <c r="W57" s="2">
        <f>VLOOKUP('Monthly Data'!B57,'Historic CDM'!$B$111:$J$122,9,FALSE)/12+VLOOKUP('Monthly Data'!B57,'Historic CDM'!$N$111:$V$122,9,FALSE)/12</f>
        <v>22500.618052518097</v>
      </c>
      <c r="X57" s="2">
        <f t="shared" si="1"/>
        <v>24630219.295627519</v>
      </c>
      <c r="Y57" s="2">
        <v>40223.597723122723</v>
      </c>
      <c r="Z57" s="2">
        <v>4</v>
      </c>
      <c r="AA57" s="2">
        <v>350579.87481999997</v>
      </c>
      <c r="AB57" s="2">
        <v>1070.2320122828896</v>
      </c>
      <c r="AC57" s="2">
        <v>10028</v>
      </c>
      <c r="AD57" s="2">
        <v>42305.088000000003</v>
      </c>
      <c r="AE57" s="2">
        <v>105.85600000000001</v>
      </c>
      <c r="AF57" s="2">
        <v>409</v>
      </c>
      <c r="AG57" s="2">
        <v>187800.59422950001</v>
      </c>
      <c r="AH57" s="2">
        <v>261</v>
      </c>
      <c r="AI57">
        <f>Weather!C213</f>
        <v>2.4000000000000021</v>
      </c>
      <c r="AJ57">
        <f>Weather!D213</f>
        <v>101.00000000000001</v>
      </c>
      <c r="AK57">
        <f>Weather!E213</f>
        <v>0</v>
      </c>
      <c r="AL57">
        <f>Weather!F213</f>
        <v>160.59999999999997</v>
      </c>
      <c r="AM57">
        <f>Weather!G213</f>
        <v>0</v>
      </c>
      <c r="AN57">
        <f>Weather!H213</f>
        <v>222.59999999999997</v>
      </c>
      <c r="AO57">
        <f>Weather!I213</f>
        <v>0</v>
      </c>
      <c r="AP57">
        <f>Weather!J213</f>
        <v>284.59999999999991</v>
      </c>
      <c r="AQ57">
        <f>Weather!K213</f>
        <v>0</v>
      </c>
      <c r="AR57">
        <f>Weather!L213</f>
        <v>346.59999999999997</v>
      </c>
      <c r="AS57">
        <f>Weather!M213</f>
        <v>0</v>
      </c>
      <c r="AT57">
        <f>Weather!N213</f>
        <v>408.6</v>
      </c>
      <c r="AU57">
        <f>Weather!O213</f>
        <v>0</v>
      </c>
      <c r="AV57">
        <f>Weather!P213</f>
        <v>470.59999999999997</v>
      </c>
      <c r="AW57" s="7">
        <f>Weather!Q213</f>
        <v>23.180645161290325</v>
      </c>
      <c r="AX57" s="5">
        <f>'Economic Variables'!D167</f>
        <v>6953.5</v>
      </c>
      <c r="AY57" s="5">
        <f>'Economic Variables'!E167</f>
        <v>7045.6</v>
      </c>
      <c r="AZ57" s="5">
        <f>'Economic Variables'!F167</f>
        <v>245.1</v>
      </c>
      <c r="BA57" s="5">
        <f>'Economic Variables'!G167</f>
        <v>251</v>
      </c>
      <c r="BB57" s="5">
        <f>'Economic Variables'!H167</f>
        <v>692620.80000000005</v>
      </c>
      <c r="BC57" s="5">
        <f>'Economic Variables'!I167</f>
        <v>7420.6</v>
      </c>
      <c r="BD57" s="5">
        <f>'Economic Variables'!J167</f>
        <v>6600.8</v>
      </c>
      <c r="BE57" s="5">
        <f>'Economic Variables'!K167</f>
        <v>427.5</v>
      </c>
      <c r="BF57" s="5">
        <f>'Economic Variables'!L167</f>
        <v>7596.5</v>
      </c>
      <c r="BG57" s="5">
        <f>'Economic Variables'!M167</f>
        <v>377.2</v>
      </c>
      <c r="BH57" s="5">
        <f>'Economic Variables'!N167</f>
        <v>784.9</v>
      </c>
      <c r="BI57" s="5">
        <f t="shared" si="34"/>
        <v>15017.1</v>
      </c>
      <c r="BJ57" s="5">
        <f>'Economic Variables'!P167</f>
        <v>695069</v>
      </c>
      <c r="BK57" s="5">
        <f>'Economic Variables'!Q167</f>
        <v>7438</v>
      </c>
      <c r="BL57" s="5">
        <f>'Economic Variables'!R167</f>
        <v>7449</v>
      </c>
      <c r="BM57" s="5">
        <f>'Economic Variables'!S167</f>
        <v>3045</v>
      </c>
      <c r="BN57" s="5">
        <f t="shared" si="35"/>
        <v>56</v>
      </c>
      <c r="BO57" s="80">
        <f t="shared" si="36"/>
        <v>1.7481880270062005</v>
      </c>
      <c r="BP57" s="5">
        <f t="shared" si="37"/>
        <v>3136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1</v>
      </c>
      <c r="BY57">
        <v>0</v>
      </c>
      <c r="BZ57">
        <v>0</v>
      </c>
      <c r="CA57">
        <v>0</v>
      </c>
      <c r="CB57">
        <v>0</v>
      </c>
      <c r="CC57">
        <f t="shared" si="40"/>
        <v>0</v>
      </c>
      <c r="CD57">
        <f t="shared" si="40"/>
        <v>0</v>
      </c>
      <c r="CE57">
        <f t="shared" si="38"/>
        <v>0</v>
      </c>
      <c r="CF57">
        <v>31</v>
      </c>
      <c r="CG57">
        <v>22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 s="80">
        <f t="shared" si="27"/>
        <v>30.611036297779496</v>
      </c>
      <c r="CZ57" s="78">
        <f t="shared" si="28"/>
        <v>98.50340515428114</v>
      </c>
      <c r="DA57" s="5">
        <f t="shared" si="29"/>
        <v>2692.7325675203701</v>
      </c>
      <c r="DB57" s="5">
        <f t="shared" si="30"/>
        <v>62352.227491663565</v>
      </c>
      <c r="DC57" s="5">
        <f t="shared" si="31"/>
        <v>279888.85563213093</v>
      </c>
      <c r="DD57">
        <f t="shared" si="39"/>
        <v>1910.9714995305856</v>
      </c>
      <c r="DE57">
        <f t="shared" si="32"/>
        <v>44249.967897309631</v>
      </c>
      <c r="DF57">
        <f t="shared" si="33"/>
        <v>198630.80077118968</v>
      </c>
      <c r="DG57" s="19">
        <v>32434</v>
      </c>
      <c r="DH57" s="19">
        <v>3467</v>
      </c>
      <c r="DI57" s="19">
        <v>372</v>
      </c>
      <c r="DJ57" s="19">
        <v>11</v>
      </c>
      <c r="DK57" s="19">
        <v>4</v>
      </c>
    </row>
    <row r="58" spans="1:115" s="2" customFormat="1">
      <c r="A58" s="3">
        <v>42614</v>
      </c>
      <c r="B58">
        <f t="shared" si="25"/>
        <v>2016</v>
      </c>
      <c r="C58" s="2">
        <v>80535952.241277516</v>
      </c>
      <c r="D58" s="2">
        <v>21339589.321890101</v>
      </c>
      <c r="E58" s="2">
        <v>587474.37918478565</v>
      </c>
      <c r="F58" s="2">
        <v>21927063.701074887</v>
      </c>
      <c r="G58" s="2">
        <v>32458</v>
      </c>
      <c r="H58" s="2">
        <v>8229594.2561866008</v>
      </c>
      <c r="I58" s="2">
        <v>294605.99945387192</v>
      </c>
      <c r="J58" s="2">
        <v>8524200.2556404732</v>
      </c>
      <c r="K58" s="2">
        <v>3476</v>
      </c>
      <c r="L58" s="2">
        <v>17627771.601162001</v>
      </c>
      <c r="M58" s="2">
        <f>VLOOKUP('Monthly Data'!B58,'Historic CDM'!$B$111:$J$122,4,FALSE)/12+VLOOKUP('Monthly Data'!B58,'Historic CDM'!$N$111:$V$122,4,FALSE)/12</f>
        <v>1380905.3946414078</v>
      </c>
      <c r="N58" s="2">
        <f t="shared" si="14"/>
        <v>19008676.995803408</v>
      </c>
      <c r="O58" s="2">
        <v>54978.691801323213</v>
      </c>
      <c r="P58" s="2">
        <v>375</v>
      </c>
      <c r="Q58" s="2">
        <v>10181866.5372</v>
      </c>
      <c r="R58" s="2">
        <f>VLOOKUP('Monthly Data'!B58,'Historic CDM'!$B$111:$J$122,5,FALSE)/12+VLOOKUP('Monthly Data'!B58,'Historic CDM'!$N$111:$V$122,5,FALSE)/12</f>
        <v>104250.71313278732</v>
      </c>
      <c r="S58" s="2">
        <f t="shared" si="16"/>
        <v>10286117.250332788</v>
      </c>
      <c r="T58" s="2">
        <v>18974.106951493726</v>
      </c>
      <c r="U58" s="2">
        <v>8</v>
      </c>
      <c r="V58" s="2">
        <v>23490941.519677501</v>
      </c>
      <c r="W58" s="2">
        <f>VLOOKUP('Monthly Data'!B58,'Historic CDM'!$B$111:$J$122,9,FALSE)/12+VLOOKUP('Monthly Data'!B58,'Historic CDM'!$N$111:$V$122,9,FALSE)/12</f>
        <v>22500.618052518097</v>
      </c>
      <c r="X58" s="2">
        <f t="shared" si="1"/>
        <v>23513442.137730021</v>
      </c>
      <c r="Y58" s="2">
        <v>40677.512735879602</v>
      </c>
      <c r="Z58" s="2">
        <v>4</v>
      </c>
      <c r="AA58" s="2">
        <v>381526.08060000004</v>
      </c>
      <c r="AB58" s="2">
        <v>1022.9470108434887</v>
      </c>
      <c r="AC58" s="2">
        <v>10027</v>
      </c>
      <c r="AD58" s="2">
        <v>40773.480000000003</v>
      </c>
      <c r="AE58" s="2">
        <v>95.088999999999999</v>
      </c>
      <c r="AF58" s="2">
        <v>409</v>
      </c>
      <c r="AG58" s="2">
        <v>181599.64001860001</v>
      </c>
      <c r="AH58" s="2">
        <v>261</v>
      </c>
      <c r="AI58">
        <f>Weather!C214</f>
        <v>68.699999999999974</v>
      </c>
      <c r="AJ58">
        <f>Weather!D214</f>
        <v>28.8</v>
      </c>
      <c r="AK58">
        <f>Weather!E214</f>
        <v>32.299999999999997</v>
      </c>
      <c r="AL58">
        <f>Weather!F214</f>
        <v>52.4</v>
      </c>
      <c r="AM58">
        <f>Weather!G214</f>
        <v>8.3000000000000007</v>
      </c>
      <c r="AN58">
        <f>Weather!H214</f>
        <v>88.399999999999977</v>
      </c>
      <c r="AO58">
        <f>Weather!I214</f>
        <v>0.69999999999999929</v>
      </c>
      <c r="AP58">
        <f>Weather!J214</f>
        <v>140.79999999999995</v>
      </c>
      <c r="AQ58">
        <f>Weather!K214</f>
        <v>0</v>
      </c>
      <c r="AR58">
        <f>Weather!L214</f>
        <v>200.1</v>
      </c>
      <c r="AS58">
        <f>Weather!M214</f>
        <v>0</v>
      </c>
      <c r="AT58">
        <f>Weather!N214</f>
        <v>260.09999999999997</v>
      </c>
      <c r="AU58">
        <f>Weather!O214</f>
        <v>0</v>
      </c>
      <c r="AV58">
        <f>Weather!P214</f>
        <v>320.10000000000002</v>
      </c>
      <c r="AW58" s="7">
        <f>Weather!Q214</f>
        <v>18.670000000000005</v>
      </c>
      <c r="AX58" s="5">
        <f>'Economic Variables'!D168</f>
        <v>6950.1</v>
      </c>
      <c r="AY58" s="5">
        <f>'Economic Variables'!E168</f>
        <v>6998.1</v>
      </c>
      <c r="AZ58" s="5">
        <f>'Economic Variables'!F168</f>
        <v>246.6</v>
      </c>
      <c r="BA58" s="5">
        <f>'Economic Variables'!G168</f>
        <v>248.4</v>
      </c>
      <c r="BB58" s="5">
        <f>'Economic Variables'!H168</f>
        <v>692620.80000000005</v>
      </c>
      <c r="BC58" s="5">
        <f>'Economic Variables'!I168</f>
        <v>7420.6</v>
      </c>
      <c r="BD58" s="5">
        <f>'Economic Variables'!J168</f>
        <v>6600.8</v>
      </c>
      <c r="BE58" s="5">
        <f>'Economic Variables'!K168</f>
        <v>427.5</v>
      </c>
      <c r="BF58" s="5">
        <f>'Economic Variables'!L168</f>
        <v>7596.5</v>
      </c>
      <c r="BG58" s="5">
        <f>'Economic Variables'!M168</f>
        <v>377.2</v>
      </c>
      <c r="BH58" s="5">
        <f>'Economic Variables'!N168</f>
        <v>784.9</v>
      </c>
      <c r="BI58" s="5">
        <f t="shared" si="34"/>
        <v>15017.1</v>
      </c>
      <c r="BJ58" s="5">
        <f>'Economic Variables'!P168</f>
        <v>695069</v>
      </c>
      <c r="BK58" s="5">
        <f>'Economic Variables'!Q168</f>
        <v>7438</v>
      </c>
      <c r="BL58" s="5">
        <f>'Economic Variables'!R168</f>
        <v>7449</v>
      </c>
      <c r="BM58" s="5">
        <f>'Economic Variables'!S168</f>
        <v>3045</v>
      </c>
      <c r="BN58" s="5">
        <f t="shared" si="35"/>
        <v>57</v>
      </c>
      <c r="BO58" s="80">
        <f t="shared" si="36"/>
        <v>1.7558748556724915</v>
      </c>
      <c r="BP58" s="5">
        <f t="shared" si="37"/>
        <v>3249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1</v>
      </c>
      <c r="BZ58">
        <v>0</v>
      </c>
      <c r="CA58">
        <v>0</v>
      </c>
      <c r="CB58">
        <v>0</v>
      </c>
      <c r="CC58">
        <f t="shared" si="40"/>
        <v>0</v>
      </c>
      <c r="CD58">
        <f t="shared" si="40"/>
        <v>1</v>
      </c>
      <c r="CE58">
        <f t="shared" si="38"/>
        <v>1</v>
      </c>
      <c r="CF58">
        <v>30</v>
      </c>
      <c r="CG58">
        <v>21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 s="80">
        <f t="shared" si="27"/>
        <v>22.518396801071013</v>
      </c>
      <c r="CZ58" s="78">
        <f t="shared" si="28"/>
        <v>81.743385650560739</v>
      </c>
      <c r="DA58" s="5">
        <f t="shared" si="29"/>
        <v>2413.8002534353536</v>
      </c>
      <c r="DB58" s="5">
        <f t="shared" si="30"/>
        <v>61226.888394838024</v>
      </c>
      <c r="DC58" s="5">
        <f t="shared" si="31"/>
        <v>279921.93021107168</v>
      </c>
      <c r="DD58">
        <f t="shared" si="39"/>
        <v>1689.6601774047474</v>
      </c>
      <c r="DE58">
        <f t="shared" si="32"/>
        <v>42858.821876386617</v>
      </c>
      <c r="DF58">
        <f t="shared" si="33"/>
        <v>195945.35114775019</v>
      </c>
      <c r="DG58" s="19">
        <v>32458</v>
      </c>
      <c r="DH58" s="19">
        <v>3476</v>
      </c>
      <c r="DI58" s="19">
        <v>373</v>
      </c>
      <c r="DJ58" s="19">
        <v>11</v>
      </c>
      <c r="DK58" s="19">
        <v>4</v>
      </c>
    </row>
    <row r="59" spans="1:115" s="2" customFormat="1">
      <c r="A59" s="3">
        <v>42644</v>
      </c>
      <c r="B59">
        <f t="shared" si="25"/>
        <v>2016</v>
      </c>
      <c r="C59" s="2">
        <v>84029539.364562497</v>
      </c>
      <c r="D59" s="2">
        <v>17367880.3863049</v>
      </c>
      <c r="E59" s="2">
        <v>587474.37918478565</v>
      </c>
      <c r="F59" s="2">
        <v>17955354.765489686</v>
      </c>
      <c r="G59" s="2">
        <v>32491</v>
      </c>
      <c r="H59" s="2">
        <v>7606709.6127639003</v>
      </c>
      <c r="I59" s="2">
        <v>294605.99945387192</v>
      </c>
      <c r="J59" s="2">
        <v>7901315.6122177718</v>
      </c>
      <c r="K59" s="2">
        <v>3471</v>
      </c>
      <c r="L59" s="2">
        <v>17011330.862486698</v>
      </c>
      <c r="M59" s="2">
        <f>VLOOKUP('Monthly Data'!B59,'Historic CDM'!$B$111:$J$122,4,FALSE)/12+VLOOKUP('Monthly Data'!B59,'Historic CDM'!$N$111:$V$122,4,FALSE)/12</f>
        <v>1380905.3946414078</v>
      </c>
      <c r="N59" s="2">
        <f t="shared" si="14"/>
        <v>18392236.257128105</v>
      </c>
      <c r="O59" s="2">
        <v>45722.561093745011</v>
      </c>
      <c r="P59" s="2">
        <v>371</v>
      </c>
      <c r="Q59" s="2">
        <v>10249682.838000001</v>
      </c>
      <c r="R59" s="2">
        <f>VLOOKUP('Monthly Data'!B59,'Historic CDM'!$B$111:$J$122,5,FALSE)/12+VLOOKUP('Monthly Data'!B59,'Historic CDM'!$N$111:$V$122,5,FALSE)/12</f>
        <v>104250.71313278732</v>
      </c>
      <c r="S59" s="2">
        <f t="shared" si="16"/>
        <v>10353933.551132789</v>
      </c>
      <c r="T59" s="2">
        <v>18604.208522075529</v>
      </c>
      <c r="U59" s="2">
        <v>8</v>
      </c>
      <c r="V59" s="2">
        <v>24788405.078662504</v>
      </c>
      <c r="W59" s="2">
        <f>VLOOKUP('Monthly Data'!B59,'Historic CDM'!$B$111:$J$122,9,FALSE)/12+VLOOKUP('Monthly Data'!B59,'Historic CDM'!$N$111:$V$122,9,FALSE)/12</f>
        <v>22500.618052518097</v>
      </c>
      <c r="X59" s="2">
        <f t="shared" si="1"/>
        <v>24810905.696715023</v>
      </c>
      <c r="Y59" s="2">
        <v>39902.213264897531</v>
      </c>
      <c r="Z59" s="2">
        <v>4</v>
      </c>
      <c r="AA59" s="2">
        <v>423791.42658000003</v>
      </c>
      <c r="AB59" s="2">
        <v>1009.8850110354086</v>
      </c>
      <c r="AC59" s="2">
        <v>10020</v>
      </c>
      <c r="AD59" s="2">
        <v>41577.887999999999</v>
      </c>
      <c r="AE59" s="2">
        <v>64.085999999999999</v>
      </c>
      <c r="AF59" s="2">
        <v>403</v>
      </c>
      <c r="AG59" s="2">
        <v>187520.97779070001</v>
      </c>
      <c r="AH59" s="2">
        <v>259</v>
      </c>
      <c r="AI59">
        <f>Weather!C215</f>
        <v>240.5</v>
      </c>
      <c r="AJ59">
        <f>Weather!D215</f>
        <v>2</v>
      </c>
      <c r="AK59">
        <f>Weather!E215</f>
        <v>187.1</v>
      </c>
      <c r="AL59">
        <f>Weather!F215</f>
        <v>10.599999999999998</v>
      </c>
      <c r="AM59">
        <f>Weather!G215</f>
        <v>137.99999999999997</v>
      </c>
      <c r="AN59">
        <f>Weather!H215</f>
        <v>23.499999999999996</v>
      </c>
      <c r="AO59">
        <f>Weather!I215</f>
        <v>97.40000000000002</v>
      </c>
      <c r="AP59">
        <f>Weather!J215</f>
        <v>44.899999999999991</v>
      </c>
      <c r="AQ59">
        <f>Weather!K215</f>
        <v>65.8</v>
      </c>
      <c r="AR59">
        <f>Weather!L215</f>
        <v>75.3</v>
      </c>
      <c r="AS59">
        <f>Weather!M215</f>
        <v>38.300000000000004</v>
      </c>
      <c r="AT59">
        <f>Weather!N215</f>
        <v>109.80000000000001</v>
      </c>
      <c r="AU59">
        <f>Weather!O215</f>
        <v>16.400000000000002</v>
      </c>
      <c r="AV59">
        <f>Weather!P215</f>
        <v>149.89999999999998</v>
      </c>
      <c r="AW59" s="7">
        <f>Weather!Q215</f>
        <v>12.306451612903224</v>
      </c>
      <c r="AX59" s="5">
        <f>'Economic Variables'!D169</f>
        <v>6963.9</v>
      </c>
      <c r="AY59" s="5">
        <f>'Economic Variables'!E169</f>
        <v>6990.5</v>
      </c>
      <c r="AZ59" s="5">
        <f>'Economic Variables'!F169</f>
        <v>246.8</v>
      </c>
      <c r="BA59" s="5">
        <f>'Economic Variables'!G169</f>
        <v>247.4</v>
      </c>
      <c r="BB59" s="5">
        <f>'Economic Variables'!H169</f>
        <v>692620.80000000005</v>
      </c>
      <c r="BC59" s="5">
        <f>'Economic Variables'!I169</f>
        <v>7420.6</v>
      </c>
      <c r="BD59" s="5">
        <f>'Economic Variables'!J169</f>
        <v>6600.8</v>
      </c>
      <c r="BE59" s="5">
        <f>'Economic Variables'!K169</f>
        <v>427.5</v>
      </c>
      <c r="BF59" s="5">
        <f>'Economic Variables'!L169</f>
        <v>7596.5</v>
      </c>
      <c r="BG59" s="5">
        <f>'Economic Variables'!M169</f>
        <v>377.2</v>
      </c>
      <c r="BH59" s="5">
        <f>'Economic Variables'!N169</f>
        <v>784.9</v>
      </c>
      <c r="BI59" s="5">
        <f t="shared" si="34"/>
        <v>15017.1</v>
      </c>
      <c r="BJ59" s="5">
        <f>'Economic Variables'!P169</f>
        <v>693929</v>
      </c>
      <c r="BK59" s="5">
        <f>'Economic Variables'!Q169</f>
        <v>7409</v>
      </c>
      <c r="BL59" s="5">
        <f>'Economic Variables'!R169</f>
        <v>7549</v>
      </c>
      <c r="BM59" s="5">
        <f>'Economic Variables'!S169</f>
        <v>3070</v>
      </c>
      <c r="BN59" s="5">
        <f t="shared" si="35"/>
        <v>58</v>
      </c>
      <c r="BO59" s="80">
        <f t="shared" si="36"/>
        <v>1.7634279935629373</v>
      </c>
      <c r="BP59" s="5">
        <f t="shared" si="37"/>
        <v>3364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1</v>
      </c>
      <c r="CA59">
        <v>0</v>
      </c>
      <c r="CB59">
        <v>0</v>
      </c>
      <c r="CC59">
        <f t="shared" si="40"/>
        <v>0</v>
      </c>
      <c r="CD59">
        <f t="shared" si="40"/>
        <v>1</v>
      </c>
      <c r="CE59">
        <f t="shared" si="38"/>
        <v>1</v>
      </c>
      <c r="CF59">
        <v>31</v>
      </c>
      <c r="CG59">
        <v>20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 s="80">
        <f t="shared" si="27"/>
        <v>17.826628679792901</v>
      </c>
      <c r="CZ59" s="78">
        <f t="shared" si="28"/>
        <v>73.431618778801052</v>
      </c>
      <c r="DA59" s="5">
        <f t="shared" si="29"/>
        <v>2478.7380400442189</v>
      </c>
      <c r="DB59" s="5">
        <f t="shared" si="30"/>
        <v>64712.084694579928</v>
      </c>
      <c r="DC59" s="5">
        <f t="shared" si="31"/>
        <v>310136.32120893779</v>
      </c>
      <c r="DD59">
        <f t="shared" si="39"/>
        <v>1599.1858322865928</v>
      </c>
      <c r="DE59">
        <f t="shared" si="32"/>
        <v>41749.732061019313</v>
      </c>
      <c r="DF59">
        <f t="shared" si="33"/>
        <v>200087.94916705665</v>
      </c>
      <c r="DG59" s="19">
        <v>32491</v>
      </c>
      <c r="DH59" s="19">
        <v>3471</v>
      </c>
      <c r="DI59" s="19">
        <v>369</v>
      </c>
      <c r="DJ59" s="19">
        <v>11</v>
      </c>
      <c r="DK59" s="19">
        <v>4</v>
      </c>
    </row>
    <row r="60" spans="1:115" s="2" customFormat="1">
      <c r="A60" s="3">
        <v>42675</v>
      </c>
      <c r="B60">
        <f t="shared" si="25"/>
        <v>2016</v>
      </c>
      <c r="C60" s="2">
        <v>79552519.654420003</v>
      </c>
      <c r="D60" s="2">
        <v>17601026.815976698</v>
      </c>
      <c r="E60" s="2">
        <v>587474.37918478565</v>
      </c>
      <c r="F60" s="2">
        <v>18188501.195161484</v>
      </c>
      <c r="G60" s="2">
        <v>32510</v>
      </c>
      <c r="H60" s="2">
        <v>7699997.2373477006</v>
      </c>
      <c r="I60" s="2">
        <v>294605.99945387192</v>
      </c>
      <c r="J60" s="2">
        <v>7994603.2368015721</v>
      </c>
      <c r="K60" s="2">
        <v>3473</v>
      </c>
      <c r="L60" s="2">
        <v>16295329.8016597</v>
      </c>
      <c r="M60" s="2">
        <f>VLOOKUP('Monthly Data'!B60,'Historic CDM'!$B$111:$J$122,4,FALSE)/12+VLOOKUP('Monthly Data'!B60,'Historic CDM'!$N$111:$V$122,4,FALSE)/12</f>
        <v>1380905.3946414078</v>
      </c>
      <c r="N60" s="2">
        <f t="shared" si="14"/>
        <v>17676235.196301106</v>
      </c>
      <c r="O60" s="2">
        <v>47044.945378153505</v>
      </c>
      <c r="P60" s="2">
        <v>371</v>
      </c>
      <c r="Q60" s="2">
        <v>9905470.0390000008</v>
      </c>
      <c r="R60" s="2">
        <f>VLOOKUP('Monthly Data'!B60,'Historic CDM'!$B$111:$J$122,5,FALSE)/12+VLOOKUP('Monthly Data'!B60,'Historic CDM'!$N$111:$V$122,5,FALSE)/12</f>
        <v>104250.71313278732</v>
      </c>
      <c r="S60" s="2">
        <f t="shared" si="16"/>
        <v>10009720.752132788</v>
      </c>
      <c r="T60" s="2">
        <v>18245.185761867775</v>
      </c>
      <c r="U60" s="2">
        <v>8</v>
      </c>
      <c r="V60" s="2">
        <v>24587580.652470004</v>
      </c>
      <c r="W60" s="2">
        <f>VLOOKUP('Monthly Data'!B60,'Historic CDM'!$B$111:$J$122,9,FALSE)/12+VLOOKUP('Monthly Data'!B60,'Historic CDM'!$N$111:$V$122,9,FALSE)/12</f>
        <v>22500.618052518097</v>
      </c>
      <c r="X60" s="2">
        <f t="shared" si="1"/>
        <v>24610081.270522524</v>
      </c>
      <c r="Y60" s="2">
        <v>39823.809459046628</v>
      </c>
      <c r="Z60" s="2">
        <v>4</v>
      </c>
      <c r="AA60" s="2">
        <v>450495.01980000001</v>
      </c>
      <c r="AB60" s="2">
        <v>1009.8000095960076</v>
      </c>
      <c r="AC60" s="2">
        <v>10020</v>
      </c>
      <c r="AD60" s="2">
        <v>40209.839999999997</v>
      </c>
      <c r="AE60" s="2">
        <v>95.069000000000003</v>
      </c>
      <c r="AF60" s="2">
        <v>403</v>
      </c>
      <c r="AG60" s="2">
        <v>181471.91399100001</v>
      </c>
      <c r="AH60" s="2">
        <v>259</v>
      </c>
      <c r="AI60">
        <f>Weather!C216</f>
        <v>390.60000000000008</v>
      </c>
      <c r="AJ60">
        <f>Weather!D216</f>
        <v>0</v>
      </c>
      <c r="AK60">
        <f>Weather!E216</f>
        <v>330.6</v>
      </c>
      <c r="AL60">
        <f>Weather!F216</f>
        <v>0</v>
      </c>
      <c r="AM60">
        <f>Weather!G216</f>
        <v>270.59999999999997</v>
      </c>
      <c r="AN60">
        <f>Weather!H216</f>
        <v>0</v>
      </c>
      <c r="AO60">
        <f>Weather!I216</f>
        <v>213.29999999999998</v>
      </c>
      <c r="AP60">
        <f>Weather!J216</f>
        <v>2.6999999999999993</v>
      </c>
      <c r="AQ60">
        <f>Weather!K216</f>
        <v>159.29999999999998</v>
      </c>
      <c r="AR60">
        <f>Weather!L216</f>
        <v>8.6999999999999993</v>
      </c>
      <c r="AS60">
        <f>Weather!M216</f>
        <v>108.19999999999997</v>
      </c>
      <c r="AT60">
        <f>Weather!N216</f>
        <v>17.600000000000001</v>
      </c>
      <c r="AU60">
        <f>Weather!O216</f>
        <v>69.5</v>
      </c>
      <c r="AV60">
        <f>Weather!P216</f>
        <v>38.900000000000006</v>
      </c>
      <c r="AW60" s="7">
        <f>Weather!Q216</f>
        <v>6.9800000000000013</v>
      </c>
      <c r="AX60" s="5">
        <f>'Economic Variables'!D170</f>
        <v>6977.8</v>
      </c>
      <c r="AY60" s="5">
        <f>'Economic Variables'!E170</f>
        <v>6983.4</v>
      </c>
      <c r="AZ60" s="5">
        <f>'Economic Variables'!F170</f>
        <v>244.1</v>
      </c>
      <c r="BA60" s="5">
        <f>'Economic Variables'!G170</f>
        <v>242.2</v>
      </c>
      <c r="BB60" s="5">
        <f>'Economic Variables'!H170</f>
        <v>692620.80000000005</v>
      </c>
      <c r="BC60" s="5">
        <f>'Economic Variables'!I170</f>
        <v>7420.6</v>
      </c>
      <c r="BD60" s="5">
        <f>'Economic Variables'!J170</f>
        <v>6600.8</v>
      </c>
      <c r="BE60" s="5">
        <f>'Economic Variables'!K170</f>
        <v>427.5</v>
      </c>
      <c r="BF60" s="5">
        <f>'Economic Variables'!L170</f>
        <v>7596.5</v>
      </c>
      <c r="BG60" s="5">
        <f>'Economic Variables'!M170</f>
        <v>377.2</v>
      </c>
      <c r="BH60" s="5">
        <f>'Economic Variables'!N170</f>
        <v>784.9</v>
      </c>
      <c r="BI60" s="5">
        <f t="shared" si="34"/>
        <v>15017.1</v>
      </c>
      <c r="BJ60" s="5">
        <f>'Economic Variables'!P170</f>
        <v>693929</v>
      </c>
      <c r="BK60" s="5">
        <f>'Economic Variables'!Q170</f>
        <v>7409</v>
      </c>
      <c r="BL60" s="5">
        <f>'Economic Variables'!R170</f>
        <v>7549</v>
      </c>
      <c r="BM60" s="5">
        <f>'Economic Variables'!S170</f>
        <v>3070</v>
      </c>
      <c r="BN60" s="5">
        <f t="shared" si="35"/>
        <v>59</v>
      </c>
      <c r="BO60" s="80">
        <f t="shared" si="36"/>
        <v>1.7708520116421442</v>
      </c>
      <c r="BP60" s="5">
        <f t="shared" si="37"/>
        <v>3481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1</v>
      </c>
      <c r="CB60">
        <v>0</v>
      </c>
      <c r="CC60">
        <f t="shared" si="40"/>
        <v>0</v>
      </c>
      <c r="CD60">
        <f t="shared" si="40"/>
        <v>0</v>
      </c>
      <c r="CE60">
        <f t="shared" si="38"/>
        <v>0</v>
      </c>
      <c r="CF60">
        <v>30</v>
      </c>
      <c r="CG60">
        <v>22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 s="80">
        <f t="shared" si="27"/>
        <v>18.64913482534757</v>
      </c>
      <c r="CZ60" s="78">
        <f t="shared" si="28"/>
        <v>76.731003328549491</v>
      </c>
      <c r="DA60" s="5">
        <f t="shared" si="29"/>
        <v>2165.6744910930047</v>
      </c>
      <c r="DB60" s="5">
        <f t="shared" si="30"/>
        <v>56873.413364390843</v>
      </c>
      <c r="DC60" s="5">
        <f t="shared" si="31"/>
        <v>279660.01443775598</v>
      </c>
      <c r="DD60">
        <f t="shared" si="39"/>
        <v>1588.1612934682037</v>
      </c>
      <c r="DE60">
        <f t="shared" si="32"/>
        <v>41707.169800553282</v>
      </c>
      <c r="DF60">
        <f t="shared" si="33"/>
        <v>205084.01058768769</v>
      </c>
      <c r="DG60" s="19">
        <v>32510</v>
      </c>
      <c r="DH60" s="19">
        <v>3473</v>
      </c>
      <c r="DI60" s="19">
        <v>369</v>
      </c>
      <c r="DJ60" s="19">
        <v>11</v>
      </c>
      <c r="DK60" s="19">
        <v>4</v>
      </c>
    </row>
    <row r="61" spans="1:115" s="2" customFormat="1">
      <c r="A61" s="3">
        <v>42705</v>
      </c>
      <c r="B61">
        <f t="shared" si="25"/>
        <v>2016</v>
      </c>
      <c r="C61" s="2">
        <v>86948817.664284989</v>
      </c>
      <c r="D61" s="2">
        <v>21677355.179024599</v>
      </c>
      <c r="E61" s="2">
        <v>587474.37918478565</v>
      </c>
      <c r="F61" s="2">
        <v>22264829.558209386</v>
      </c>
      <c r="G61" s="2">
        <v>32533</v>
      </c>
      <c r="H61" s="2">
        <v>9135455.9251949005</v>
      </c>
      <c r="I61" s="2">
        <v>294605.99945387192</v>
      </c>
      <c r="J61" s="2">
        <v>9430061.9246487729</v>
      </c>
      <c r="K61" s="2">
        <v>3475</v>
      </c>
      <c r="L61" s="2">
        <v>18065072.1998896</v>
      </c>
      <c r="M61" s="2">
        <f>VLOOKUP('Monthly Data'!B61,'Historic CDM'!$B$111:$J$122,4,FALSE)/12+VLOOKUP('Monthly Data'!B61,'Historic CDM'!$N$111:$V$122,4,FALSE)/12</f>
        <v>1380905.3946414078</v>
      </c>
      <c r="N61" s="2">
        <f t="shared" si="14"/>
        <v>19445977.594531007</v>
      </c>
      <c r="O61" s="2">
        <v>50271.649688086873</v>
      </c>
      <c r="P61" s="2">
        <v>371</v>
      </c>
      <c r="Q61" s="2">
        <v>9522763.8850000016</v>
      </c>
      <c r="R61" s="2">
        <f>VLOOKUP('Monthly Data'!B61,'Historic CDM'!$B$111:$J$122,5,FALSE)/12+VLOOKUP('Monthly Data'!B61,'Historic CDM'!$N$111:$V$122,5,FALSE)/12</f>
        <v>104250.71313278732</v>
      </c>
      <c r="S61" s="2">
        <f t="shared" si="16"/>
        <v>9627014.5981327891</v>
      </c>
      <c r="T61" s="2">
        <v>20020.368298145029</v>
      </c>
      <c r="U61" s="2">
        <v>8</v>
      </c>
      <c r="V61" s="2">
        <v>24769933.849484999</v>
      </c>
      <c r="W61" s="2">
        <f>VLOOKUP('Monthly Data'!B61,'Historic CDM'!$B$111:$J$122,9,FALSE)/12+VLOOKUP('Monthly Data'!B61,'Historic CDM'!$N$111:$V$122,9,FALSE)/12</f>
        <v>22500.618052518097</v>
      </c>
      <c r="X61" s="2">
        <f t="shared" si="1"/>
        <v>24792434.467537519</v>
      </c>
      <c r="Y61" s="2">
        <v>39725.400539068105</v>
      </c>
      <c r="Z61" s="2">
        <v>4</v>
      </c>
      <c r="AA61" s="2">
        <v>488134.30954999995</v>
      </c>
      <c r="AB61" s="2">
        <v>1008.687016601093</v>
      </c>
      <c r="AC61" s="2">
        <v>10019</v>
      </c>
      <c r="AD61" s="2">
        <v>41477.447999999997</v>
      </c>
      <c r="AE61" s="2">
        <v>144</v>
      </c>
      <c r="AF61" s="2">
        <v>400</v>
      </c>
      <c r="AG61" s="2">
        <v>187520.97779070001</v>
      </c>
      <c r="AH61" s="2">
        <v>259</v>
      </c>
      <c r="AI61">
        <f>Weather!C217</f>
        <v>686.49999999999989</v>
      </c>
      <c r="AJ61">
        <f>Weather!D217</f>
        <v>0</v>
      </c>
      <c r="AK61">
        <f>Weather!E217</f>
        <v>624.49999999999989</v>
      </c>
      <c r="AL61">
        <f>Weather!F217</f>
        <v>0</v>
      </c>
      <c r="AM61">
        <f>Weather!G217</f>
        <v>562.5</v>
      </c>
      <c r="AN61">
        <f>Weather!H217</f>
        <v>0</v>
      </c>
      <c r="AO61">
        <f>Weather!I217</f>
        <v>500.50000000000006</v>
      </c>
      <c r="AP61">
        <f>Weather!J217</f>
        <v>0</v>
      </c>
      <c r="AQ61">
        <f>Weather!K217</f>
        <v>438.5</v>
      </c>
      <c r="AR61">
        <f>Weather!L217</f>
        <v>0</v>
      </c>
      <c r="AS61">
        <f>Weather!M217</f>
        <v>376.50000000000006</v>
      </c>
      <c r="AT61">
        <f>Weather!N217</f>
        <v>0</v>
      </c>
      <c r="AU61">
        <f>Weather!O217</f>
        <v>314.50000000000006</v>
      </c>
      <c r="AV61">
        <f>Weather!P217</f>
        <v>0</v>
      </c>
      <c r="AW61" s="7">
        <f>Weather!Q217</f>
        <v>-2.1451612903225801</v>
      </c>
      <c r="AX61" s="5">
        <f>'Economic Variables'!D171</f>
        <v>6992.4</v>
      </c>
      <c r="AY61" s="5">
        <f>'Economic Variables'!E171</f>
        <v>6999.9</v>
      </c>
      <c r="AZ61" s="5">
        <f>'Economic Variables'!F171</f>
        <v>242.9</v>
      </c>
      <c r="BA61" s="5">
        <f>'Economic Variables'!G171</f>
        <v>241.1</v>
      </c>
      <c r="BB61" s="5">
        <f>'Economic Variables'!H171</f>
        <v>692620.80000000005</v>
      </c>
      <c r="BC61" s="5">
        <f>'Economic Variables'!I171</f>
        <v>7420.6</v>
      </c>
      <c r="BD61" s="5">
        <f>'Economic Variables'!J171</f>
        <v>6600.8</v>
      </c>
      <c r="BE61" s="5">
        <f>'Economic Variables'!K171</f>
        <v>427.5</v>
      </c>
      <c r="BF61" s="5">
        <f>'Economic Variables'!L171</f>
        <v>7596.5</v>
      </c>
      <c r="BG61" s="5">
        <f>'Economic Variables'!M171</f>
        <v>377.2</v>
      </c>
      <c r="BH61" s="5">
        <f>'Economic Variables'!N171</f>
        <v>784.9</v>
      </c>
      <c r="BI61" s="5">
        <f t="shared" si="34"/>
        <v>15017.1</v>
      </c>
      <c r="BJ61" s="5">
        <f>'Economic Variables'!P171</f>
        <v>693929</v>
      </c>
      <c r="BK61" s="5">
        <f>'Economic Variables'!Q171</f>
        <v>7409</v>
      </c>
      <c r="BL61" s="5">
        <f>'Economic Variables'!R171</f>
        <v>7549</v>
      </c>
      <c r="BM61" s="5">
        <f>'Economic Variables'!S171</f>
        <v>3070</v>
      </c>
      <c r="BN61" s="5">
        <f t="shared" si="35"/>
        <v>60</v>
      </c>
      <c r="BO61" s="80">
        <f t="shared" si="36"/>
        <v>1.7781512503836436</v>
      </c>
      <c r="BP61" s="5">
        <f t="shared" si="37"/>
        <v>3600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1</v>
      </c>
      <c r="CC61">
        <f t="shared" si="40"/>
        <v>0</v>
      </c>
      <c r="CD61">
        <f t="shared" si="40"/>
        <v>0</v>
      </c>
      <c r="CE61">
        <f t="shared" si="38"/>
        <v>0</v>
      </c>
      <c r="CF61">
        <v>31</v>
      </c>
      <c r="CG61">
        <v>20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 s="80">
        <f t="shared" si="27"/>
        <v>22.076670098955987</v>
      </c>
      <c r="CZ61" s="78">
        <f t="shared" si="28"/>
        <v>87.538286606161734</v>
      </c>
      <c r="DA61" s="5">
        <f t="shared" si="29"/>
        <v>2620.7516973761462</v>
      </c>
      <c r="DB61" s="5">
        <f t="shared" si="30"/>
        <v>60168.841238329929</v>
      </c>
      <c r="DC61" s="5">
        <f t="shared" si="31"/>
        <v>309905.43084421899</v>
      </c>
      <c r="DD61">
        <f t="shared" si="39"/>
        <v>1690.807546694288</v>
      </c>
      <c r="DE61">
        <f t="shared" si="32"/>
        <v>38818.607250535439</v>
      </c>
      <c r="DF61">
        <f t="shared" si="33"/>
        <v>199938.98764143159</v>
      </c>
      <c r="DG61" s="19">
        <v>32533</v>
      </c>
      <c r="DH61" s="19">
        <v>3475</v>
      </c>
      <c r="DI61" s="19">
        <v>369</v>
      </c>
      <c r="DJ61" s="19">
        <v>11</v>
      </c>
      <c r="DK61" s="19">
        <v>4</v>
      </c>
    </row>
    <row r="62" spans="1:115" s="2" customFormat="1">
      <c r="A62" s="3">
        <v>42736</v>
      </c>
      <c r="B62">
        <f t="shared" si="25"/>
        <v>2017</v>
      </c>
      <c r="C62" s="2">
        <v>86745142.784774989</v>
      </c>
      <c r="D62" s="2">
        <v>21143529.271619998</v>
      </c>
      <c r="E62" s="2">
        <v>1018535.7425474873</v>
      </c>
      <c r="F62" s="2">
        <v>22162065.014167484</v>
      </c>
      <c r="G62" s="2">
        <v>32544</v>
      </c>
      <c r="H62" s="2">
        <v>9131076.9452968687</v>
      </c>
      <c r="I62" s="2">
        <v>263459.19564712438</v>
      </c>
      <c r="J62" s="2">
        <v>9394536.1409439929</v>
      </c>
      <c r="K62" s="2">
        <v>3465</v>
      </c>
      <c r="L62" s="2">
        <v>18712894.887075432</v>
      </c>
      <c r="M62" s="2">
        <f>VLOOKUP('Monthly Data'!B62,'Historic CDM'!$B$111:$J$122,4,FALSE)/12+VLOOKUP('Monthly Data'!B62,'Historic CDM'!$N$111:$V$122,4,FALSE)/12</f>
        <v>1692155.3467497702</v>
      </c>
      <c r="N62" s="2">
        <f t="shared" si="14"/>
        <v>20405050.233825203</v>
      </c>
      <c r="O62" s="2">
        <v>43990.626073735242</v>
      </c>
      <c r="P62" s="2">
        <v>384</v>
      </c>
      <c r="Q62" s="2">
        <v>9496330.2606000006</v>
      </c>
      <c r="R62" s="2">
        <f>VLOOKUP('Monthly Data'!B62,'Historic CDM'!$B$111:$J$122,5,FALSE)/12+VLOOKUP('Monthly Data'!B62,'Historic CDM'!$N$111:$V$122,5,FALSE)/12</f>
        <v>95435.104272384284</v>
      </c>
      <c r="S62" s="2">
        <f t="shared" si="16"/>
        <v>9591765.3648723848</v>
      </c>
      <c r="T62" s="2">
        <v>19131.8403239338</v>
      </c>
      <c r="U62" s="2">
        <v>8</v>
      </c>
      <c r="V62" s="2">
        <v>24744485.895524997</v>
      </c>
      <c r="W62" s="2">
        <f>VLOOKUP('Monthly Data'!B62,'Historic CDM'!$B$111:$J$122,9,FALSE)/12+VLOOKUP('Monthly Data'!B62,'Historic CDM'!$N$111:$V$122,9,FALSE)/12</f>
        <v>25801.245766517874</v>
      </c>
      <c r="X62" s="2">
        <f t="shared" si="1"/>
        <v>24770287.141291514</v>
      </c>
      <c r="Y62" s="2">
        <v>41527.111081435556</v>
      </c>
      <c r="Z62" s="2">
        <v>4</v>
      </c>
      <c r="AA62" s="2">
        <v>473910.67876999901</v>
      </c>
      <c r="AB62" s="2">
        <v>1008.639</v>
      </c>
      <c r="AC62" s="2">
        <v>10036</v>
      </c>
      <c r="AD62" s="2">
        <v>41492.539216130252</v>
      </c>
      <c r="AE62" s="2">
        <v>70.163000000000011</v>
      </c>
      <c r="AF62" s="2">
        <v>400</v>
      </c>
      <c r="AG62" s="2">
        <v>186365.171816371</v>
      </c>
      <c r="AH62" s="2">
        <v>259</v>
      </c>
      <c r="AI62">
        <f>Weather!C218</f>
        <v>660.30000000000007</v>
      </c>
      <c r="AJ62">
        <f>Weather!D218</f>
        <v>0</v>
      </c>
      <c r="AK62">
        <f>Weather!E218</f>
        <v>598.29999999999995</v>
      </c>
      <c r="AL62">
        <f>Weather!F218</f>
        <v>0</v>
      </c>
      <c r="AM62">
        <f>Weather!G218</f>
        <v>536.30000000000007</v>
      </c>
      <c r="AN62">
        <f>Weather!H218</f>
        <v>0</v>
      </c>
      <c r="AO62">
        <f>Weather!I218</f>
        <v>474.3</v>
      </c>
      <c r="AP62">
        <f>Weather!J218</f>
        <v>0</v>
      </c>
      <c r="AQ62">
        <f>Weather!K218</f>
        <v>412.30000000000007</v>
      </c>
      <c r="AR62">
        <f>Weather!L218</f>
        <v>0</v>
      </c>
      <c r="AS62">
        <f>Weather!M218</f>
        <v>350.30000000000007</v>
      </c>
      <c r="AT62">
        <f>Weather!N218</f>
        <v>0</v>
      </c>
      <c r="AU62">
        <f>Weather!O218</f>
        <v>288.3</v>
      </c>
      <c r="AV62">
        <f>Weather!P218</f>
        <v>0</v>
      </c>
      <c r="AW62" s="7">
        <f>Weather!Q218</f>
        <v>-1.3000000000000003</v>
      </c>
      <c r="AX62" s="5">
        <f>'Economic Variables'!D172</f>
        <v>7014.6</v>
      </c>
      <c r="AY62" s="5">
        <f>'Economic Variables'!E172</f>
        <v>6982.5</v>
      </c>
      <c r="AZ62" s="5">
        <f>'Economic Variables'!F172</f>
        <v>241.3</v>
      </c>
      <c r="BA62" s="5">
        <f>'Economic Variables'!G172</f>
        <v>238.5</v>
      </c>
      <c r="BB62" s="5">
        <f>'Economic Variables'!H172</f>
        <v>711695.1</v>
      </c>
      <c r="BC62" s="5">
        <f>'Economic Variables'!I172</f>
        <v>7780.9</v>
      </c>
      <c r="BD62" s="5">
        <f>'Economic Variables'!J172</f>
        <v>6969</v>
      </c>
      <c r="BE62" s="5">
        <f>'Economic Variables'!K172</f>
        <v>457.1</v>
      </c>
      <c r="BF62" s="5">
        <f>'Economic Variables'!L172</f>
        <v>7434.8</v>
      </c>
      <c r="BG62" s="5">
        <f>'Economic Variables'!M172</f>
        <v>287.5</v>
      </c>
      <c r="BH62" s="5">
        <f>'Economic Variables'!N172</f>
        <v>971.8</v>
      </c>
      <c r="BI62" s="5">
        <f t="shared" si="34"/>
        <v>15215.7</v>
      </c>
      <c r="BJ62" s="5">
        <f>'Economic Variables'!P172</f>
        <v>704469</v>
      </c>
      <c r="BK62" s="5">
        <f>'Economic Variables'!Q172</f>
        <v>7584</v>
      </c>
      <c r="BL62" s="5">
        <f>'Economic Variables'!R172</f>
        <v>7619</v>
      </c>
      <c r="BM62" s="5">
        <f>'Economic Variables'!S172</f>
        <v>3039</v>
      </c>
      <c r="BN62" s="5">
        <f t="shared" si="35"/>
        <v>61</v>
      </c>
      <c r="BO62" s="80">
        <f t="shared" si="36"/>
        <v>1.7853298350107671</v>
      </c>
      <c r="BP62" s="5">
        <f t="shared" si="37"/>
        <v>3721</v>
      </c>
      <c r="BQ62">
        <v>1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f t="shared" si="40"/>
        <v>0</v>
      </c>
      <c r="CD62">
        <f t="shared" si="40"/>
        <v>0</v>
      </c>
      <c r="CE62">
        <f t="shared" si="38"/>
        <v>0</v>
      </c>
      <c r="CF62">
        <v>31</v>
      </c>
      <c r="CG62">
        <v>22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 s="80">
        <f t="shared" si="27"/>
        <v>21.967346455188693</v>
      </c>
      <c r="CZ62" s="78">
        <f t="shared" si="28"/>
        <v>87.460188436847687</v>
      </c>
      <c r="DA62" s="5">
        <f t="shared" si="29"/>
        <v>2415.370529572112</v>
      </c>
      <c r="DB62" s="5">
        <f t="shared" si="30"/>
        <v>54498.666845865824</v>
      </c>
      <c r="DC62" s="5">
        <f t="shared" si="31"/>
        <v>281480.53569649445</v>
      </c>
      <c r="DD62">
        <f t="shared" si="39"/>
        <v>1714.1339242124666</v>
      </c>
      <c r="DE62">
        <f t="shared" si="32"/>
        <v>38676.473245453162</v>
      </c>
      <c r="DF62">
        <f t="shared" si="33"/>
        <v>199760.38017170576</v>
      </c>
      <c r="DG62" s="19">
        <v>32544</v>
      </c>
      <c r="DH62" s="19">
        <v>3465</v>
      </c>
      <c r="DI62" s="19">
        <v>382</v>
      </c>
      <c r="DJ62" s="19">
        <v>11</v>
      </c>
      <c r="DK62" s="19">
        <v>4</v>
      </c>
    </row>
    <row r="63" spans="1:115" s="2" customFormat="1">
      <c r="A63" s="3">
        <v>42767</v>
      </c>
      <c r="B63">
        <f t="shared" si="25"/>
        <v>2017</v>
      </c>
      <c r="C63" s="2">
        <v>77288098.742602512</v>
      </c>
      <c r="D63" s="2">
        <v>17619034.479083374</v>
      </c>
      <c r="E63" s="2">
        <v>1018535.7425474873</v>
      </c>
      <c r="F63" s="2">
        <v>18637570.22163086</v>
      </c>
      <c r="G63" s="2">
        <v>32558</v>
      </c>
      <c r="H63" s="2">
        <v>7942358.7890208513</v>
      </c>
      <c r="I63" s="2">
        <v>263459.19564712438</v>
      </c>
      <c r="J63" s="2">
        <v>8205817.9846679755</v>
      </c>
      <c r="K63" s="2">
        <v>3465</v>
      </c>
      <c r="L63" s="2">
        <v>16837957.949668545</v>
      </c>
      <c r="M63" s="2">
        <f>VLOOKUP('Monthly Data'!B63,'Historic CDM'!$B$111:$J$122,4,FALSE)/12+VLOOKUP('Monthly Data'!B63,'Historic CDM'!$N$111:$V$122,4,FALSE)/12</f>
        <v>1692155.3467497702</v>
      </c>
      <c r="N63" s="2">
        <f t="shared" si="14"/>
        <v>18530113.296418317</v>
      </c>
      <c r="O63" s="2">
        <v>53365.648561610171</v>
      </c>
      <c r="P63" s="2">
        <v>385</v>
      </c>
      <c r="Q63" s="2">
        <v>9012726.1417999994</v>
      </c>
      <c r="R63" s="2">
        <f>VLOOKUP('Monthly Data'!B63,'Historic CDM'!$B$111:$J$122,5,FALSE)/12+VLOOKUP('Monthly Data'!B63,'Historic CDM'!$N$111:$V$122,5,FALSE)/12</f>
        <v>95435.104272384284</v>
      </c>
      <c r="S63" s="2">
        <f t="shared" si="16"/>
        <v>9108161.2460723836</v>
      </c>
      <c r="T63" s="2">
        <v>19432.354196597989</v>
      </c>
      <c r="U63" s="2">
        <v>8</v>
      </c>
      <c r="V63" s="2">
        <v>22936116.9606525</v>
      </c>
      <c r="W63" s="2">
        <f>VLOOKUP('Monthly Data'!B63,'Historic CDM'!$B$111:$J$122,9,FALSE)/12+VLOOKUP('Monthly Data'!B63,'Historic CDM'!$N$111:$V$122,9,FALSE)/12</f>
        <v>25801.245766517874</v>
      </c>
      <c r="X63" s="2">
        <f t="shared" si="1"/>
        <v>22961918.206419017</v>
      </c>
      <c r="Y63" s="2">
        <v>39675.87483044235</v>
      </c>
      <c r="Z63" s="2">
        <v>4</v>
      </c>
      <c r="AA63" s="2">
        <v>403016.50115999999</v>
      </c>
      <c r="AB63" s="2">
        <v>1025.3869999999999</v>
      </c>
      <c r="AC63" s="2">
        <v>10040</v>
      </c>
      <c r="AD63" s="2">
        <v>36816.270036969487</v>
      </c>
      <c r="AE63" s="2">
        <v>157.37099999999998</v>
      </c>
      <c r="AF63" s="2">
        <v>393</v>
      </c>
      <c r="AG63" s="2">
        <v>166909.10060075336</v>
      </c>
      <c r="AH63" s="2">
        <v>259</v>
      </c>
      <c r="AI63">
        <f>Weather!C219</f>
        <v>520.5</v>
      </c>
      <c r="AJ63">
        <f>Weather!D219</f>
        <v>0</v>
      </c>
      <c r="AK63">
        <f>Weather!E219</f>
        <v>464.50000000000006</v>
      </c>
      <c r="AL63">
        <f>Weather!F219</f>
        <v>0</v>
      </c>
      <c r="AM63">
        <f>Weather!G219</f>
        <v>408.5</v>
      </c>
      <c r="AN63">
        <f>Weather!H219</f>
        <v>0</v>
      </c>
      <c r="AO63">
        <f>Weather!I219</f>
        <v>352.5</v>
      </c>
      <c r="AP63">
        <f>Weather!J219</f>
        <v>0</v>
      </c>
      <c r="AQ63">
        <f>Weather!K219</f>
        <v>296.49999999999994</v>
      </c>
      <c r="AR63">
        <f>Weather!L219</f>
        <v>0</v>
      </c>
      <c r="AS63">
        <f>Weather!M219</f>
        <v>241.89999999999998</v>
      </c>
      <c r="AT63">
        <f>Weather!N219</f>
        <v>1.4000000000000004</v>
      </c>
      <c r="AU63">
        <f>Weather!O219</f>
        <v>192.80000000000004</v>
      </c>
      <c r="AV63">
        <f>Weather!P219</f>
        <v>8.3000000000000007</v>
      </c>
      <c r="AW63" s="7">
        <f>Weather!Q219</f>
        <v>1.410714285714286</v>
      </c>
      <c r="AX63" s="5">
        <f>'Economic Variables'!D173</f>
        <v>7031.3</v>
      </c>
      <c r="AY63" s="5">
        <f>'Economic Variables'!E173</f>
        <v>6962.5</v>
      </c>
      <c r="AZ63" s="5">
        <f>'Economic Variables'!F173</f>
        <v>243.9</v>
      </c>
      <c r="BA63" s="5">
        <f>'Economic Variables'!G173</f>
        <v>241.2</v>
      </c>
      <c r="BB63" s="5">
        <f>'Economic Variables'!H173</f>
        <v>711695.1</v>
      </c>
      <c r="BC63" s="5">
        <f>'Economic Variables'!I173</f>
        <v>7780.9</v>
      </c>
      <c r="BD63" s="5">
        <f>'Economic Variables'!J173</f>
        <v>6969</v>
      </c>
      <c r="BE63" s="5">
        <f>'Economic Variables'!K173</f>
        <v>457.1</v>
      </c>
      <c r="BF63" s="5">
        <f>'Economic Variables'!L173</f>
        <v>7434.8</v>
      </c>
      <c r="BG63" s="5">
        <f>'Economic Variables'!M173</f>
        <v>287.5</v>
      </c>
      <c r="BH63" s="5">
        <f>'Economic Variables'!N173</f>
        <v>971.8</v>
      </c>
      <c r="BI63" s="5">
        <f t="shared" si="34"/>
        <v>15215.7</v>
      </c>
      <c r="BJ63" s="5">
        <f>'Economic Variables'!P173</f>
        <v>704469</v>
      </c>
      <c r="BK63" s="5">
        <f>'Economic Variables'!Q173</f>
        <v>7584</v>
      </c>
      <c r="BL63" s="5">
        <f>'Economic Variables'!R173</f>
        <v>7619</v>
      </c>
      <c r="BM63" s="5">
        <f>'Economic Variables'!S173</f>
        <v>3039</v>
      </c>
      <c r="BN63" s="5">
        <f t="shared" si="35"/>
        <v>62</v>
      </c>
      <c r="BO63" s="80">
        <f t="shared" si="36"/>
        <v>1.7923916894982539</v>
      </c>
      <c r="BP63" s="5">
        <f t="shared" si="37"/>
        <v>3844</v>
      </c>
      <c r="BQ63">
        <v>0</v>
      </c>
      <c r="BR63">
        <v>1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f t="shared" si="40"/>
        <v>0</v>
      </c>
      <c r="CD63">
        <f t="shared" si="40"/>
        <v>0</v>
      </c>
      <c r="CE63">
        <f t="shared" si="38"/>
        <v>0</v>
      </c>
      <c r="CF63">
        <v>28</v>
      </c>
      <c r="CG63">
        <v>19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 s="80">
        <f t="shared" si="27"/>
        <v>20.444361076091525</v>
      </c>
      <c r="CZ63" s="78">
        <f t="shared" si="28"/>
        <v>84.57862280630772</v>
      </c>
      <c r="DA63" s="5">
        <f t="shared" si="29"/>
        <v>2533.1665476990179</v>
      </c>
      <c r="DB63" s="5">
        <f t="shared" si="30"/>
        <v>59922.113461002526</v>
      </c>
      <c r="DC63" s="5">
        <f t="shared" si="31"/>
        <v>302130.50271603971</v>
      </c>
      <c r="DD63">
        <f t="shared" si="39"/>
        <v>1718.9344430814767</v>
      </c>
      <c r="DE63">
        <f t="shared" si="32"/>
        <v>40661.434134251715</v>
      </c>
      <c r="DF63">
        <f t="shared" si="33"/>
        <v>205017.12684302693</v>
      </c>
      <c r="DG63" s="19">
        <v>32558</v>
      </c>
      <c r="DH63" s="19">
        <v>3465</v>
      </c>
      <c r="DI63" s="19">
        <v>383</v>
      </c>
      <c r="DJ63" s="19">
        <v>11</v>
      </c>
      <c r="DK63" s="19">
        <v>4</v>
      </c>
    </row>
    <row r="64" spans="1:115" s="2" customFormat="1">
      <c r="A64" s="3">
        <v>42795</v>
      </c>
      <c r="B64">
        <f t="shared" si="25"/>
        <v>2017</v>
      </c>
      <c r="C64" s="2">
        <v>86192726.387820005</v>
      </c>
      <c r="D64" s="2">
        <v>19005768.241943762</v>
      </c>
      <c r="E64" s="2">
        <v>1018535.7425474873</v>
      </c>
      <c r="F64" s="2">
        <v>20024303.984491248</v>
      </c>
      <c r="G64" s="2">
        <v>32564</v>
      </c>
      <c r="H64" s="2">
        <v>8727555.2364373729</v>
      </c>
      <c r="I64" s="2">
        <v>263459.19564712438</v>
      </c>
      <c r="J64" s="2">
        <v>8991014.4320844971</v>
      </c>
      <c r="K64" s="2">
        <v>3469</v>
      </c>
      <c r="L64" s="2">
        <v>17766336.114097625</v>
      </c>
      <c r="M64" s="2">
        <f>VLOOKUP('Monthly Data'!B64,'Historic CDM'!$B$111:$J$122,4,FALSE)/12+VLOOKUP('Monthly Data'!B64,'Historic CDM'!$N$111:$V$122,4,FALSE)/12</f>
        <v>1692155.3467497702</v>
      </c>
      <c r="N64" s="2">
        <f t="shared" si="14"/>
        <v>19458491.460847396</v>
      </c>
      <c r="O64" s="2">
        <v>39658.337123935569</v>
      </c>
      <c r="P64" s="2">
        <v>385</v>
      </c>
      <c r="Q64" s="2">
        <v>10570822.557599999</v>
      </c>
      <c r="R64" s="2">
        <f>VLOOKUP('Monthly Data'!B64,'Historic CDM'!$B$111:$J$122,5,FALSE)/12+VLOOKUP('Monthly Data'!B64,'Historic CDM'!$N$111:$V$122,5,FALSE)/12</f>
        <v>95435.104272384284</v>
      </c>
      <c r="S64" s="2">
        <f t="shared" si="16"/>
        <v>10666257.661872383</v>
      </c>
      <c r="T64" s="2">
        <v>19950.69170087183</v>
      </c>
      <c r="U64" s="2">
        <v>8</v>
      </c>
      <c r="V64" s="2">
        <v>26024495.011020005</v>
      </c>
      <c r="W64" s="2">
        <f>VLOOKUP('Monthly Data'!B64,'Historic CDM'!$B$111:$J$122,9,FALSE)/12+VLOOKUP('Monthly Data'!B64,'Historic CDM'!$N$111:$V$122,9,FALSE)/12</f>
        <v>25801.245766517874</v>
      </c>
      <c r="X64" s="2">
        <f t="shared" si="1"/>
        <v>26050296.256786522</v>
      </c>
      <c r="Y64" s="2">
        <v>41149.164120442343</v>
      </c>
      <c r="Z64" s="2">
        <v>4</v>
      </c>
      <c r="AA64" s="2">
        <v>391492.22836000001</v>
      </c>
      <c r="AB64" s="2">
        <v>1007.364</v>
      </c>
      <c r="AC64" s="2">
        <v>10043</v>
      </c>
      <c r="AD64" s="2">
        <v>41900.412469814983</v>
      </c>
      <c r="AE64" s="2">
        <v>62.661000000000001</v>
      </c>
      <c r="AF64" s="2">
        <v>393</v>
      </c>
      <c r="AG64" s="2">
        <v>191372.66744096304</v>
      </c>
      <c r="AH64" s="2">
        <v>259</v>
      </c>
      <c r="AI64">
        <f>Weather!C220</f>
        <v>596.4</v>
      </c>
      <c r="AJ64">
        <f>Weather!D220</f>
        <v>0</v>
      </c>
      <c r="AK64">
        <f>Weather!E220</f>
        <v>534.4</v>
      </c>
      <c r="AL64">
        <f>Weather!F220</f>
        <v>0</v>
      </c>
      <c r="AM64">
        <f>Weather!G220</f>
        <v>472.39999999999992</v>
      </c>
      <c r="AN64">
        <f>Weather!H220</f>
        <v>0</v>
      </c>
      <c r="AO64">
        <f>Weather!I220</f>
        <v>410.4</v>
      </c>
      <c r="AP64">
        <f>Weather!J220</f>
        <v>0</v>
      </c>
      <c r="AQ64">
        <f>Weather!K220</f>
        <v>348.4</v>
      </c>
      <c r="AR64">
        <f>Weather!L220</f>
        <v>0</v>
      </c>
      <c r="AS64">
        <f>Weather!M220</f>
        <v>288.09999999999997</v>
      </c>
      <c r="AT64">
        <f>Weather!N220</f>
        <v>1.6999999999999993</v>
      </c>
      <c r="AU64">
        <f>Weather!O220</f>
        <v>230.69999999999996</v>
      </c>
      <c r="AV64">
        <f>Weather!P220</f>
        <v>6.2999999999999989</v>
      </c>
      <c r="AW64" s="7">
        <f>Weather!Q220</f>
        <v>0.76129032258064533</v>
      </c>
      <c r="AX64" s="5">
        <f>'Economic Variables'!D174</f>
        <v>7049</v>
      </c>
      <c r="AY64" s="5">
        <f>'Economic Variables'!E174</f>
        <v>6946</v>
      </c>
      <c r="AZ64" s="5">
        <f>'Economic Variables'!F174</f>
        <v>247.3</v>
      </c>
      <c r="BA64" s="5">
        <f>'Economic Variables'!G174</f>
        <v>243.9</v>
      </c>
      <c r="BB64" s="5">
        <f>'Economic Variables'!H174</f>
        <v>711695.1</v>
      </c>
      <c r="BC64" s="5">
        <f>'Economic Variables'!I174</f>
        <v>7780.9</v>
      </c>
      <c r="BD64" s="5">
        <f>'Economic Variables'!J174</f>
        <v>6969</v>
      </c>
      <c r="BE64" s="5">
        <f>'Economic Variables'!K174</f>
        <v>457.1</v>
      </c>
      <c r="BF64" s="5">
        <f>'Economic Variables'!L174</f>
        <v>7434.8</v>
      </c>
      <c r="BG64" s="5">
        <f>'Economic Variables'!M174</f>
        <v>287.5</v>
      </c>
      <c r="BH64" s="5">
        <f>'Economic Variables'!N174</f>
        <v>971.8</v>
      </c>
      <c r="BI64" s="5">
        <f t="shared" si="34"/>
        <v>15215.7</v>
      </c>
      <c r="BJ64" s="5">
        <f>'Economic Variables'!P174</f>
        <v>704469</v>
      </c>
      <c r="BK64" s="5">
        <f>'Economic Variables'!Q174</f>
        <v>7584</v>
      </c>
      <c r="BL64" s="5">
        <f>'Economic Variables'!R174</f>
        <v>7619</v>
      </c>
      <c r="BM64" s="5">
        <f>'Economic Variables'!S174</f>
        <v>3039</v>
      </c>
      <c r="BN64" s="5">
        <f t="shared" si="35"/>
        <v>63</v>
      </c>
      <c r="BO64" s="80">
        <f t="shared" si="36"/>
        <v>1.7993405494535817</v>
      </c>
      <c r="BP64" s="5">
        <f t="shared" si="37"/>
        <v>3969</v>
      </c>
      <c r="BQ64">
        <v>0</v>
      </c>
      <c r="BR64">
        <v>0</v>
      </c>
      <c r="BS64">
        <v>1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f t="shared" si="40"/>
        <v>1</v>
      </c>
      <c r="CD64">
        <f t="shared" si="40"/>
        <v>0</v>
      </c>
      <c r="CE64">
        <f t="shared" si="38"/>
        <v>1</v>
      </c>
      <c r="CF64">
        <v>31</v>
      </c>
      <c r="CG64">
        <v>23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 s="80">
        <f t="shared" si="27"/>
        <v>19.836177675417588</v>
      </c>
      <c r="CZ64" s="78">
        <f t="shared" si="28"/>
        <v>83.607011708166311</v>
      </c>
      <c r="DA64" s="5">
        <f t="shared" si="29"/>
        <v>2197.4580983452734</v>
      </c>
      <c r="DB64" s="5">
        <f t="shared" si="30"/>
        <v>57968.791640610776</v>
      </c>
      <c r="DC64" s="5">
        <f t="shared" si="31"/>
        <v>283155.39409550565</v>
      </c>
      <c r="DD64">
        <f t="shared" si="39"/>
        <v>1630.3721374819772</v>
      </c>
      <c r="DE64">
        <f t="shared" si="32"/>
        <v>43009.103475291871</v>
      </c>
      <c r="DF64">
        <f t="shared" si="33"/>
        <v>210083.03432892356</v>
      </c>
      <c r="DG64" s="19">
        <v>32564</v>
      </c>
      <c r="DH64" s="19">
        <v>3469</v>
      </c>
      <c r="DI64" s="19">
        <v>383</v>
      </c>
      <c r="DJ64" s="19">
        <v>11</v>
      </c>
      <c r="DK64" s="19">
        <v>4</v>
      </c>
    </row>
    <row r="65" spans="1:115" s="2" customFormat="1">
      <c r="A65" s="3">
        <v>42826</v>
      </c>
      <c r="B65">
        <f t="shared" si="25"/>
        <v>2017</v>
      </c>
      <c r="C65" s="2">
        <v>76758658.342979997</v>
      </c>
      <c r="D65" s="2">
        <v>16033498.30687868</v>
      </c>
      <c r="E65" s="2">
        <v>1018535.7425474873</v>
      </c>
      <c r="F65" s="2">
        <v>17052034.049426168</v>
      </c>
      <c r="G65" s="2">
        <v>32557</v>
      </c>
      <c r="H65" s="2">
        <v>7365178.552959864</v>
      </c>
      <c r="I65" s="2">
        <v>263459.19564712438</v>
      </c>
      <c r="J65" s="2">
        <v>7628637.7486069882</v>
      </c>
      <c r="K65" s="2">
        <v>3479</v>
      </c>
      <c r="L65" s="2">
        <v>15375956.255885601</v>
      </c>
      <c r="M65" s="2">
        <f>VLOOKUP('Monthly Data'!B65,'Historic CDM'!$B$111:$J$122,4,FALSE)/12+VLOOKUP('Monthly Data'!B65,'Historic CDM'!$N$111:$V$122,4,FALSE)/12</f>
        <v>1692155.3467497702</v>
      </c>
      <c r="N65" s="2">
        <f t="shared" si="14"/>
        <v>17068111.602635372</v>
      </c>
      <c r="O65" s="2">
        <v>47327.418565946173</v>
      </c>
      <c r="P65" s="2">
        <v>384</v>
      </c>
      <c r="Q65" s="2">
        <v>9782564.3797999974</v>
      </c>
      <c r="R65" s="2">
        <f>VLOOKUP('Monthly Data'!B65,'Historic CDM'!$B$111:$J$122,5,FALSE)/12+VLOOKUP('Monthly Data'!B65,'Historic CDM'!$N$111:$V$122,5,FALSE)/12</f>
        <v>95435.104272384284</v>
      </c>
      <c r="S65" s="2">
        <f t="shared" si="16"/>
        <v>9877999.4840723816</v>
      </c>
      <c r="T65" s="2">
        <v>19580.375573190395</v>
      </c>
      <c r="U65" s="2">
        <v>8</v>
      </c>
      <c r="V65" s="2">
        <v>24814357.70913</v>
      </c>
      <c r="W65" s="2">
        <f>VLOOKUP('Monthly Data'!B65,'Historic CDM'!$B$111:$J$122,9,FALSE)/12+VLOOKUP('Monthly Data'!B65,'Historic CDM'!$N$111:$V$122,9,FALSE)/12</f>
        <v>25801.245766517874</v>
      </c>
      <c r="X65" s="2">
        <f t="shared" si="1"/>
        <v>24840158.954896517</v>
      </c>
      <c r="Y65" s="2">
        <v>40443.031739068108</v>
      </c>
      <c r="Z65" s="2">
        <v>4</v>
      </c>
      <c r="AA65" s="2">
        <v>331301.00309999997</v>
      </c>
      <c r="AB65" s="2">
        <v>1006.384</v>
      </c>
      <c r="AC65" s="2">
        <v>10042</v>
      </c>
      <c r="AD65" s="2">
        <v>38737.494277493184</v>
      </c>
      <c r="AE65" s="2">
        <v>125.751</v>
      </c>
      <c r="AF65" s="2">
        <v>393</v>
      </c>
      <c r="AG65" s="2">
        <v>177044.70982764266</v>
      </c>
      <c r="AH65" s="2">
        <v>259</v>
      </c>
      <c r="AI65">
        <f>Weather!C221</f>
        <v>314.69999999999993</v>
      </c>
      <c r="AJ65">
        <f>Weather!D221</f>
        <v>0</v>
      </c>
      <c r="AK65">
        <f>Weather!E221</f>
        <v>254.6999999999999</v>
      </c>
      <c r="AL65">
        <f>Weather!F221</f>
        <v>0</v>
      </c>
      <c r="AM65">
        <f>Weather!G221</f>
        <v>199.29999999999993</v>
      </c>
      <c r="AN65">
        <f>Weather!H221</f>
        <v>4.6000000000000014</v>
      </c>
      <c r="AO65">
        <f>Weather!I221</f>
        <v>145.69999999999996</v>
      </c>
      <c r="AP65">
        <f>Weather!J221</f>
        <v>11.000000000000002</v>
      </c>
      <c r="AQ65">
        <f>Weather!K221</f>
        <v>100.60000000000001</v>
      </c>
      <c r="AR65">
        <f>Weather!L221</f>
        <v>25.900000000000002</v>
      </c>
      <c r="AS65">
        <f>Weather!M221</f>
        <v>58.7</v>
      </c>
      <c r="AT65">
        <f>Weather!N221</f>
        <v>44</v>
      </c>
      <c r="AU65">
        <f>Weather!O221</f>
        <v>28.499999999999996</v>
      </c>
      <c r="AV65">
        <f>Weather!P221</f>
        <v>73.8</v>
      </c>
      <c r="AW65" s="7">
        <f>Weather!Q221</f>
        <v>9.5100000000000016</v>
      </c>
      <c r="AX65" s="5">
        <f>'Economic Variables'!D175</f>
        <v>7055.1</v>
      </c>
      <c r="AY65" s="5">
        <f>'Economic Variables'!E175</f>
        <v>6963.6</v>
      </c>
      <c r="AZ65" s="5">
        <f>'Economic Variables'!F175</f>
        <v>249.5</v>
      </c>
      <c r="BA65" s="5">
        <f>'Economic Variables'!G175</f>
        <v>245.6</v>
      </c>
      <c r="BB65" s="5">
        <f>'Economic Variables'!H175</f>
        <v>711695.1</v>
      </c>
      <c r="BC65" s="5">
        <f>'Economic Variables'!I175</f>
        <v>7780.9</v>
      </c>
      <c r="BD65" s="5">
        <f>'Economic Variables'!J175</f>
        <v>6969</v>
      </c>
      <c r="BE65" s="5">
        <f>'Economic Variables'!K175</f>
        <v>457.1</v>
      </c>
      <c r="BF65" s="5">
        <f>'Economic Variables'!L175</f>
        <v>7434.8</v>
      </c>
      <c r="BG65" s="5">
        <f>'Economic Variables'!M175</f>
        <v>287.5</v>
      </c>
      <c r="BH65" s="5">
        <f>'Economic Variables'!N175</f>
        <v>971.8</v>
      </c>
      <c r="BI65" s="5">
        <f t="shared" si="34"/>
        <v>15215.7</v>
      </c>
      <c r="BJ65" s="5">
        <f>'Economic Variables'!P175</f>
        <v>711863</v>
      </c>
      <c r="BK65" s="5">
        <f>'Economic Variables'!Q175</f>
        <v>7723</v>
      </c>
      <c r="BL65" s="5">
        <f>'Economic Variables'!R175</f>
        <v>7392</v>
      </c>
      <c r="BM65" s="5">
        <f>'Economic Variables'!S175</f>
        <v>3025</v>
      </c>
      <c r="BN65" s="5">
        <f t="shared" si="35"/>
        <v>64</v>
      </c>
      <c r="BO65" s="80">
        <f t="shared" si="36"/>
        <v>1.8061799739838871</v>
      </c>
      <c r="BP65" s="5">
        <f t="shared" si="37"/>
        <v>4096</v>
      </c>
      <c r="BQ65">
        <v>0</v>
      </c>
      <c r="BR65">
        <v>0</v>
      </c>
      <c r="BS65">
        <v>0</v>
      </c>
      <c r="BT65">
        <v>1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f t="shared" si="40"/>
        <v>1</v>
      </c>
      <c r="CD65">
        <f t="shared" si="40"/>
        <v>0</v>
      </c>
      <c r="CE65">
        <f t="shared" si="38"/>
        <v>1</v>
      </c>
      <c r="CF65">
        <v>30</v>
      </c>
      <c r="CG65">
        <v>19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 s="80">
        <f t="shared" si="27"/>
        <v>17.458645912733736</v>
      </c>
      <c r="CZ65" s="78">
        <f t="shared" si="28"/>
        <v>73.092246321806925</v>
      </c>
      <c r="DA65" s="5">
        <f t="shared" si="29"/>
        <v>2339.3793315015587</v>
      </c>
      <c r="DB65" s="5">
        <f t="shared" si="30"/>
        <v>64986.838711002514</v>
      </c>
      <c r="DC65" s="5">
        <f t="shared" si="31"/>
        <v>326844.19677495415</v>
      </c>
      <c r="DD65">
        <f t="shared" si="39"/>
        <v>1481.6069099509871</v>
      </c>
      <c r="DE65">
        <f t="shared" si="32"/>
        <v>41158.331183634924</v>
      </c>
      <c r="DF65">
        <f t="shared" si="33"/>
        <v>207001.32462413763</v>
      </c>
      <c r="DG65" s="19">
        <v>32557</v>
      </c>
      <c r="DH65" s="19">
        <v>3479</v>
      </c>
      <c r="DI65" s="19">
        <v>382</v>
      </c>
      <c r="DJ65" s="19">
        <v>11</v>
      </c>
      <c r="DK65" s="19">
        <v>4</v>
      </c>
    </row>
    <row r="66" spans="1:115" s="2" customFormat="1">
      <c r="A66" s="3">
        <v>42856</v>
      </c>
      <c r="B66">
        <f t="shared" si="25"/>
        <v>2017</v>
      </c>
      <c r="C66" s="2">
        <v>79816413.403752491</v>
      </c>
      <c r="D66" s="2">
        <v>18078369.982548077</v>
      </c>
      <c r="E66" s="2">
        <v>1018535.7425474873</v>
      </c>
      <c r="F66" s="2">
        <v>19096905.725095563</v>
      </c>
      <c r="G66" s="2">
        <v>32576</v>
      </c>
      <c r="H66" s="2">
        <v>7538905.4240469523</v>
      </c>
      <c r="I66" s="2">
        <v>263459.19564712438</v>
      </c>
      <c r="J66" s="2">
        <v>7802364.6196940765</v>
      </c>
      <c r="K66" s="2">
        <v>3481</v>
      </c>
      <c r="L66" s="2">
        <v>15611174.273114474</v>
      </c>
      <c r="M66" s="2">
        <f>VLOOKUP('Monthly Data'!B66,'Historic CDM'!$B$111:$J$122,4,FALSE)/12+VLOOKUP('Monthly Data'!B66,'Historic CDM'!$N$111:$V$122,4,FALSE)/12</f>
        <v>1692155.3467497702</v>
      </c>
      <c r="N66" s="2">
        <f t="shared" si="14"/>
        <v>17303329.619864244</v>
      </c>
      <c r="O66" s="2">
        <v>51110.54116950286</v>
      </c>
      <c r="P66" s="2">
        <v>383</v>
      </c>
      <c r="Q66" s="2">
        <v>10142761.9496</v>
      </c>
      <c r="R66" s="2">
        <f>VLOOKUP('Monthly Data'!B66,'Historic CDM'!$B$111:$J$122,5,FALSE)/12+VLOOKUP('Monthly Data'!B66,'Historic CDM'!$N$111:$V$122,5,FALSE)/12</f>
        <v>95435.104272384284</v>
      </c>
      <c r="S66" s="2">
        <f t="shared" si="16"/>
        <v>10238197.053872384</v>
      </c>
      <c r="T66" s="2">
        <v>20005.527818368333</v>
      </c>
      <c r="U66" s="2">
        <v>8</v>
      </c>
      <c r="V66" s="2">
        <v>26032482.139702503</v>
      </c>
      <c r="W66" s="2">
        <f>VLOOKUP('Monthly Data'!B66,'Historic CDM'!$B$111:$J$122,9,FALSE)/12+VLOOKUP('Monthly Data'!B66,'Historic CDM'!$N$111:$V$122,9,FALSE)/12</f>
        <v>25801.245766517874</v>
      </c>
      <c r="X66" s="2">
        <f t="shared" ref="X66:X129" si="41">V66+W66</f>
        <v>26058283.385469019</v>
      </c>
      <c r="Y66" s="2">
        <v>40635.333646103405</v>
      </c>
      <c r="Z66" s="2">
        <v>4</v>
      </c>
      <c r="AA66" s="2">
        <v>301733.19589999999</v>
      </c>
      <c r="AB66" s="2">
        <v>1005.394</v>
      </c>
      <c r="AC66" s="2">
        <v>10042</v>
      </c>
      <c r="AD66" s="2">
        <v>40460.663941056533</v>
      </c>
      <c r="AE66" s="2">
        <v>140.226</v>
      </c>
      <c r="AF66" s="2">
        <v>393</v>
      </c>
      <c r="AG66" s="2">
        <v>181352.20699321813</v>
      </c>
      <c r="AH66" s="2">
        <v>259</v>
      </c>
      <c r="AI66">
        <f>Weather!C222</f>
        <v>234.79999999999993</v>
      </c>
      <c r="AJ66">
        <f>Weather!D222</f>
        <v>4.8000000000000007</v>
      </c>
      <c r="AK66">
        <f>Weather!E222</f>
        <v>179.09999999999997</v>
      </c>
      <c r="AL66">
        <f>Weather!F222</f>
        <v>11.100000000000001</v>
      </c>
      <c r="AM66">
        <f>Weather!G222</f>
        <v>131.29999999999998</v>
      </c>
      <c r="AN66">
        <f>Weather!H222</f>
        <v>25.3</v>
      </c>
      <c r="AO66">
        <f>Weather!I222</f>
        <v>92.100000000000023</v>
      </c>
      <c r="AP66">
        <f>Weather!J222</f>
        <v>48.099999999999994</v>
      </c>
      <c r="AQ66">
        <f>Weather!K222</f>
        <v>61.100000000000009</v>
      </c>
      <c r="AR66">
        <f>Weather!L222</f>
        <v>79.099999999999994</v>
      </c>
      <c r="AS66">
        <f>Weather!M222</f>
        <v>33.099999999999994</v>
      </c>
      <c r="AT66">
        <f>Weather!N222</f>
        <v>113.1</v>
      </c>
      <c r="AU66">
        <f>Weather!O222</f>
        <v>12.599999999999998</v>
      </c>
      <c r="AV66">
        <f>Weather!P222</f>
        <v>154.6</v>
      </c>
      <c r="AW66" s="7">
        <f>Weather!Q222</f>
        <v>12.580645161290324</v>
      </c>
      <c r="AX66" s="5">
        <f>'Economic Variables'!D176</f>
        <v>7066.7</v>
      </c>
      <c r="AY66" s="5">
        <f>'Economic Variables'!E176</f>
        <v>7033.4</v>
      </c>
      <c r="AZ66" s="5">
        <f>'Economic Variables'!F176</f>
        <v>249.8</v>
      </c>
      <c r="BA66" s="5">
        <f>'Economic Variables'!G176</f>
        <v>248.3</v>
      </c>
      <c r="BB66" s="5">
        <f>'Economic Variables'!H176</f>
        <v>711695.1</v>
      </c>
      <c r="BC66" s="5">
        <f>'Economic Variables'!I176</f>
        <v>7780.9</v>
      </c>
      <c r="BD66" s="5">
        <f>'Economic Variables'!J176</f>
        <v>6969</v>
      </c>
      <c r="BE66" s="5">
        <f>'Economic Variables'!K176</f>
        <v>457.1</v>
      </c>
      <c r="BF66" s="5">
        <f>'Economic Variables'!L176</f>
        <v>7434.8</v>
      </c>
      <c r="BG66" s="5">
        <f>'Economic Variables'!M176</f>
        <v>287.5</v>
      </c>
      <c r="BH66" s="5">
        <f>'Economic Variables'!N176</f>
        <v>971.8</v>
      </c>
      <c r="BI66" s="5">
        <f t="shared" si="34"/>
        <v>15215.7</v>
      </c>
      <c r="BJ66" s="5">
        <f>'Economic Variables'!P176</f>
        <v>711863</v>
      </c>
      <c r="BK66" s="5">
        <f>'Economic Variables'!Q176</f>
        <v>7723</v>
      </c>
      <c r="BL66" s="5">
        <f>'Economic Variables'!R176</f>
        <v>7392</v>
      </c>
      <c r="BM66" s="5">
        <f>'Economic Variables'!S176</f>
        <v>3025</v>
      </c>
      <c r="BN66" s="5">
        <f t="shared" si="35"/>
        <v>65</v>
      </c>
      <c r="BO66" s="80">
        <f t="shared" si="36"/>
        <v>1.8129133566428555</v>
      </c>
      <c r="BP66" s="5">
        <f t="shared" si="37"/>
        <v>4225</v>
      </c>
      <c r="BQ66">
        <v>0</v>
      </c>
      <c r="BR66">
        <v>0</v>
      </c>
      <c r="BS66">
        <v>0</v>
      </c>
      <c r="BT66">
        <v>0</v>
      </c>
      <c r="BU66">
        <v>1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f t="shared" si="40"/>
        <v>1</v>
      </c>
      <c r="CD66">
        <f t="shared" si="40"/>
        <v>0</v>
      </c>
      <c r="CE66">
        <f t="shared" si="38"/>
        <v>1</v>
      </c>
      <c r="CF66">
        <v>31</v>
      </c>
      <c r="CG66">
        <v>22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 s="80">
        <f t="shared" si="27"/>
        <v>18.910523604450102</v>
      </c>
      <c r="CZ66" s="78">
        <f t="shared" si="28"/>
        <v>72.303700454023001</v>
      </c>
      <c r="DA66" s="5">
        <f t="shared" si="29"/>
        <v>2053.563923553791</v>
      </c>
      <c r="DB66" s="5">
        <f t="shared" si="30"/>
        <v>58171.574169729458</v>
      </c>
      <c r="DC66" s="5">
        <f t="shared" si="31"/>
        <v>296116.85665305704</v>
      </c>
      <c r="DD66">
        <f t="shared" si="39"/>
        <v>1457.3679457478518</v>
      </c>
      <c r="DE66">
        <f t="shared" si="32"/>
        <v>41283.052636582193</v>
      </c>
      <c r="DF66">
        <f t="shared" si="33"/>
        <v>210147.44665700823</v>
      </c>
      <c r="DG66" s="19">
        <v>32576</v>
      </c>
      <c r="DH66" s="19">
        <v>3481</v>
      </c>
      <c r="DI66" s="19">
        <v>381</v>
      </c>
      <c r="DJ66" s="19">
        <v>11</v>
      </c>
      <c r="DK66" s="19">
        <v>4</v>
      </c>
    </row>
    <row r="67" spans="1:115" s="2" customFormat="1">
      <c r="A67" s="3">
        <v>42887</v>
      </c>
      <c r="B67">
        <f t="shared" si="25"/>
        <v>2017</v>
      </c>
      <c r="C67" s="2">
        <v>82744976.038755</v>
      </c>
      <c r="D67" s="2">
        <v>22008325.556445144</v>
      </c>
      <c r="E67" s="2">
        <v>1018535.7425474873</v>
      </c>
      <c r="F67" s="2">
        <v>23026861.29899263</v>
      </c>
      <c r="G67" s="2">
        <v>32584</v>
      </c>
      <c r="H67" s="2">
        <v>8304559.4888112685</v>
      </c>
      <c r="I67" s="2">
        <v>263459.19564712438</v>
      </c>
      <c r="J67" s="2">
        <v>8568018.6844583936</v>
      </c>
      <c r="K67" s="2">
        <v>3482</v>
      </c>
      <c r="L67" s="2">
        <v>17031002.513864391</v>
      </c>
      <c r="M67" s="2">
        <f>VLOOKUP('Monthly Data'!B67,'Historic CDM'!$B$111:$J$122,4,FALSE)/12+VLOOKUP('Monthly Data'!B67,'Historic CDM'!$N$111:$V$122,4,FALSE)/12</f>
        <v>1692155.3467497702</v>
      </c>
      <c r="N67" s="2">
        <f t="shared" ref="N67:N103" si="42">L67+M67</f>
        <v>18723157.860614162</v>
      </c>
      <c r="O67" s="2">
        <v>50913.12294940478</v>
      </c>
      <c r="P67" s="2">
        <v>382</v>
      </c>
      <c r="Q67" s="2">
        <v>10436470.0956</v>
      </c>
      <c r="R67" s="2">
        <f>VLOOKUP('Monthly Data'!B67,'Historic CDM'!$B$111:$J$122,5,FALSE)/12+VLOOKUP('Monthly Data'!B67,'Historic CDM'!$N$111:$V$122,5,FALSE)/12</f>
        <v>95435.104272384284</v>
      </c>
      <c r="S67" s="2">
        <f t="shared" si="16"/>
        <v>10531905.199872384</v>
      </c>
      <c r="T67" s="2">
        <v>20794.060609417509</v>
      </c>
      <c r="U67" s="2">
        <v>8</v>
      </c>
      <c r="V67" s="2">
        <v>21981367.306305002</v>
      </c>
      <c r="W67" s="2">
        <f>VLOOKUP('Monthly Data'!B67,'Historic CDM'!$B$111:$J$122,9,FALSE)/12+VLOOKUP('Monthly Data'!B67,'Historic CDM'!$N$111:$V$122,9,FALSE)/12</f>
        <v>25801.245766517874</v>
      </c>
      <c r="X67" s="2">
        <f t="shared" si="41"/>
        <v>22007168.552071519</v>
      </c>
      <c r="Y67" s="2">
        <v>41236.084814897527</v>
      </c>
      <c r="Z67" s="2">
        <v>4</v>
      </c>
      <c r="AA67" s="2">
        <v>271334.03879999905</v>
      </c>
      <c r="AB67" s="2">
        <v>1004.523</v>
      </c>
      <c r="AC67" s="2">
        <v>10045</v>
      </c>
      <c r="AD67" s="2">
        <v>39817.935381243566</v>
      </c>
      <c r="AE67" s="2">
        <v>110.01599999999999</v>
      </c>
      <c r="AF67" s="2">
        <v>393</v>
      </c>
      <c r="AG67" s="2">
        <v>184968.54693445156</v>
      </c>
      <c r="AH67" s="2">
        <v>259</v>
      </c>
      <c r="AI67">
        <f>Weather!C223</f>
        <v>51</v>
      </c>
      <c r="AJ67">
        <f>Weather!D223</f>
        <v>46.900000000000006</v>
      </c>
      <c r="AK67">
        <f>Weather!E223</f>
        <v>25.6</v>
      </c>
      <c r="AL67">
        <f>Weather!F223</f>
        <v>81.499999999999986</v>
      </c>
      <c r="AM67">
        <f>Weather!G223</f>
        <v>6.9000000000000021</v>
      </c>
      <c r="AN67">
        <f>Weather!H223</f>
        <v>122.8</v>
      </c>
      <c r="AO67">
        <f>Weather!I223</f>
        <v>0.70000000000000107</v>
      </c>
      <c r="AP67">
        <f>Weather!J223</f>
        <v>176.59999999999997</v>
      </c>
      <c r="AQ67">
        <f>Weather!K223</f>
        <v>0</v>
      </c>
      <c r="AR67">
        <f>Weather!L223</f>
        <v>235.89999999999998</v>
      </c>
      <c r="AS67">
        <f>Weather!M223</f>
        <v>0</v>
      </c>
      <c r="AT67">
        <f>Weather!N223</f>
        <v>295.89999999999992</v>
      </c>
      <c r="AU67">
        <f>Weather!O223</f>
        <v>0</v>
      </c>
      <c r="AV67">
        <f>Weather!P223</f>
        <v>355.90000000000003</v>
      </c>
      <c r="AW67" s="7">
        <f>Weather!Q223</f>
        <v>19.863333333333337</v>
      </c>
      <c r="AX67" s="5">
        <f>'Economic Variables'!D177</f>
        <v>7079.8</v>
      </c>
      <c r="AY67" s="5">
        <f>'Economic Variables'!E177</f>
        <v>7123</v>
      </c>
      <c r="AZ67" s="5">
        <f>'Economic Variables'!F177</f>
        <v>249.2</v>
      </c>
      <c r="BA67" s="5">
        <f>'Economic Variables'!G177</f>
        <v>252.6</v>
      </c>
      <c r="BB67" s="5">
        <f>'Economic Variables'!H177</f>
        <v>711695.1</v>
      </c>
      <c r="BC67" s="5">
        <f>'Economic Variables'!I177</f>
        <v>7780.9</v>
      </c>
      <c r="BD67" s="5">
        <f>'Economic Variables'!J177</f>
        <v>6969</v>
      </c>
      <c r="BE67" s="5">
        <f>'Economic Variables'!K177</f>
        <v>457.1</v>
      </c>
      <c r="BF67" s="5">
        <f>'Economic Variables'!L177</f>
        <v>7434.8</v>
      </c>
      <c r="BG67" s="5">
        <f>'Economic Variables'!M177</f>
        <v>287.5</v>
      </c>
      <c r="BH67" s="5">
        <f>'Economic Variables'!N177</f>
        <v>971.8</v>
      </c>
      <c r="BI67" s="5">
        <f t="shared" si="34"/>
        <v>15215.7</v>
      </c>
      <c r="BJ67" s="5">
        <f>'Economic Variables'!P177</f>
        <v>711863</v>
      </c>
      <c r="BK67" s="5">
        <f>'Economic Variables'!Q177</f>
        <v>7723</v>
      </c>
      <c r="BL67" s="5">
        <f>'Economic Variables'!R177</f>
        <v>7392</v>
      </c>
      <c r="BM67" s="5">
        <f>'Economic Variables'!S177</f>
        <v>3025</v>
      </c>
      <c r="BN67" s="5">
        <f t="shared" si="35"/>
        <v>66</v>
      </c>
      <c r="BO67" s="80">
        <f t="shared" si="36"/>
        <v>1.8195439355418688</v>
      </c>
      <c r="BP67" s="5">
        <f t="shared" si="37"/>
        <v>4356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1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f t="shared" si="40"/>
        <v>0</v>
      </c>
      <c r="CD67">
        <f t="shared" si="40"/>
        <v>0</v>
      </c>
      <c r="CE67">
        <f t="shared" si="38"/>
        <v>0</v>
      </c>
      <c r="CF67">
        <v>30</v>
      </c>
      <c r="CG67">
        <v>22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 s="80">
        <f t="shared" si="27"/>
        <v>23.556409381897691</v>
      </c>
      <c r="CZ67" s="78">
        <f t="shared" si="28"/>
        <v>82.022005403584089</v>
      </c>
      <c r="DA67" s="5">
        <f t="shared" si="29"/>
        <v>2227.8864660416662</v>
      </c>
      <c r="DB67" s="5">
        <f t="shared" si="30"/>
        <v>59840.37045382036</v>
      </c>
      <c r="DC67" s="5">
        <f t="shared" si="31"/>
        <v>250081.46081899453</v>
      </c>
      <c r="DD67">
        <f t="shared" si="39"/>
        <v>1633.7834084305553</v>
      </c>
      <c r="DE67">
        <f t="shared" si="32"/>
        <v>43882.938332801597</v>
      </c>
      <c r="DF67">
        <f t="shared" si="33"/>
        <v>183393.07126726265</v>
      </c>
      <c r="DG67" s="19">
        <v>32584</v>
      </c>
      <c r="DH67" s="19">
        <v>3482</v>
      </c>
      <c r="DI67" s="19">
        <v>380</v>
      </c>
      <c r="DJ67" s="19">
        <v>11</v>
      </c>
      <c r="DK67" s="19">
        <v>4</v>
      </c>
    </row>
    <row r="68" spans="1:115" s="2" customFormat="1">
      <c r="A68" s="3">
        <v>42917</v>
      </c>
      <c r="B68">
        <f t="shared" si="25"/>
        <v>2017</v>
      </c>
      <c r="C68" s="2">
        <v>93651746.452587485</v>
      </c>
      <c r="D68" s="2">
        <v>26656292.254459765</v>
      </c>
      <c r="E68" s="2">
        <v>1018535.7425474873</v>
      </c>
      <c r="F68" s="2">
        <v>27674827.997007251</v>
      </c>
      <c r="G68" s="2">
        <v>32596</v>
      </c>
      <c r="H68" s="2">
        <v>9132635.6257688161</v>
      </c>
      <c r="I68" s="2">
        <v>263459.19564712438</v>
      </c>
      <c r="J68" s="2">
        <v>9396094.8214159403</v>
      </c>
      <c r="K68" s="2">
        <v>3487</v>
      </c>
      <c r="L68" s="2">
        <v>18958109.927883022</v>
      </c>
      <c r="M68" s="2">
        <f>VLOOKUP('Monthly Data'!B68,'Historic CDM'!$B$111:$J$122,4,FALSE)/12+VLOOKUP('Monthly Data'!B68,'Historic CDM'!$N$111:$V$122,4,FALSE)/12</f>
        <v>1692155.3467497702</v>
      </c>
      <c r="N68" s="2">
        <f t="shared" si="42"/>
        <v>20650265.274632793</v>
      </c>
      <c r="O68" s="2">
        <v>53857.403959475749</v>
      </c>
      <c r="P68" s="2">
        <v>381</v>
      </c>
      <c r="Q68" s="2">
        <v>10865564.062200001</v>
      </c>
      <c r="R68" s="2">
        <f>VLOOKUP('Monthly Data'!B68,'Historic CDM'!$B$111:$J$122,5,FALSE)/12+VLOOKUP('Monthly Data'!B68,'Historic CDM'!$N$111:$V$122,5,FALSE)/12</f>
        <v>95435.104272384284</v>
      </c>
      <c r="S68" s="2">
        <f t="shared" si="16"/>
        <v>10960999.166472385</v>
      </c>
      <c r="T68" s="2">
        <v>21185.313111441697</v>
      </c>
      <c r="U68" s="2">
        <v>8</v>
      </c>
      <c r="V68" s="2">
        <v>25157094.262987502</v>
      </c>
      <c r="W68" s="2">
        <f>VLOOKUP('Monthly Data'!B68,'Historic CDM'!$B$111:$J$122,9,FALSE)/12+VLOOKUP('Monthly Data'!B68,'Historic CDM'!$N$111:$V$122,9,FALSE)/12</f>
        <v>25801.245766517874</v>
      </c>
      <c r="X68" s="2">
        <f t="shared" si="41"/>
        <v>25182895.508754019</v>
      </c>
      <c r="Y68" s="2">
        <v>41073.231229827157</v>
      </c>
      <c r="Z68" s="2">
        <v>4</v>
      </c>
      <c r="AA68" s="2">
        <v>292432.67293</v>
      </c>
      <c r="AB68" s="2">
        <v>1002.46</v>
      </c>
      <c r="AC68" s="2">
        <v>10047</v>
      </c>
      <c r="AD68" s="2">
        <v>41550.235201060073</v>
      </c>
      <c r="AE68" s="2">
        <v>111.35600000000001</v>
      </c>
      <c r="AF68" s="2">
        <v>393</v>
      </c>
      <c r="AG68" s="2">
        <v>187045.46693630886</v>
      </c>
      <c r="AH68" s="2">
        <v>259</v>
      </c>
      <c r="AI68">
        <f>Weather!C224</f>
        <v>8.1999999999999993</v>
      </c>
      <c r="AJ68">
        <f>Weather!D224</f>
        <v>54.7</v>
      </c>
      <c r="AK68">
        <f>Weather!E224</f>
        <v>0</v>
      </c>
      <c r="AL68">
        <f>Weather!F224</f>
        <v>108.49999999999997</v>
      </c>
      <c r="AM68">
        <f>Weather!G224</f>
        <v>0</v>
      </c>
      <c r="AN68">
        <f>Weather!H224</f>
        <v>170.5</v>
      </c>
      <c r="AO68">
        <f>Weather!I224</f>
        <v>0</v>
      </c>
      <c r="AP68">
        <f>Weather!J224</f>
        <v>232.49999999999997</v>
      </c>
      <c r="AQ68">
        <f>Weather!K224</f>
        <v>0</v>
      </c>
      <c r="AR68">
        <f>Weather!L224</f>
        <v>294.49999999999994</v>
      </c>
      <c r="AS68">
        <f>Weather!M224</f>
        <v>0</v>
      </c>
      <c r="AT68">
        <f>Weather!N224</f>
        <v>356.5</v>
      </c>
      <c r="AU68">
        <f>Weather!O224</f>
        <v>0</v>
      </c>
      <c r="AV68">
        <f>Weather!P224</f>
        <v>418.5</v>
      </c>
      <c r="AW68" s="7">
        <f>Weather!Q224</f>
        <v>21.5</v>
      </c>
      <c r="AX68" s="5">
        <f>'Economic Variables'!D178</f>
        <v>7101.9</v>
      </c>
      <c r="AY68" s="5">
        <f>'Economic Variables'!E178</f>
        <v>7196</v>
      </c>
      <c r="AZ68" s="5">
        <f>'Economic Variables'!F178</f>
        <v>249</v>
      </c>
      <c r="BA68" s="5">
        <f>'Economic Variables'!G178</f>
        <v>254.8</v>
      </c>
      <c r="BB68" s="5">
        <f>'Economic Variables'!H178</f>
        <v>711695.1</v>
      </c>
      <c r="BC68" s="5">
        <f>'Economic Variables'!I178</f>
        <v>7780.9</v>
      </c>
      <c r="BD68" s="5">
        <f>'Economic Variables'!J178</f>
        <v>6969</v>
      </c>
      <c r="BE68" s="5">
        <f>'Economic Variables'!K178</f>
        <v>457.1</v>
      </c>
      <c r="BF68" s="5">
        <f>'Economic Variables'!L178</f>
        <v>7434.8</v>
      </c>
      <c r="BG68" s="5">
        <f>'Economic Variables'!M178</f>
        <v>287.5</v>
      </c>
      <c r="BH68" s="5">
        <f>'Economic Variables'!N178</f>
        <v>971.8</v>
      </c>
      <c r="BI68" s="5">
        <f t="shared" si="34"/>
        <v>15215.7</v>
      </c>
      <c r="BJ68" s="5">
        <f>'Economic Variables'!P178</f>
        <v>712249</v>
      </c>
      <c r="BK68" s="5">
        <f>'Economic Variables'!Q178</f>
        <v>7853</v>
      </c>
      <c r="BL68" s="5">
        <f>'Economic Variables'!R178</f>
        <v>7523</v>
      </c>
      <c r="BM68" s="5">
        <f>'Economic Variables'!S178</f>
        <v>3012</v>
      </c>
      <c r="BN68" s="5">
        <f t="shared" si="35"/>
        <v>67</v>
      </c>
      <c r="BO68" s="80">
        <f t="shared" si="36"/>
        <v>1.8260748027008264</v>
      </c>
      <c r="BP68" s="5">
        <f t="shared" si="37"/>
        <v>4489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1</v>
      </c>
      <c r="BX68">
        <v>0</v>
      </c>
      <c r="BY68">
        <v>0</v>
      </c>
      <c r="BZ68">
        <v>0</v>
      </c>
      <c r="CA68">
        <v>0</v>
      </c>
      <c r="CB68">
        <v>0</v>
      </c>
      <c r="CC68">
        <f t="shared" si="40"/>
        <v>0</v>
      </c>
      <c r="CD68">
        <f t="shared" si="40"/>
        <v>0</v>
      </c>
      <c r="CE68">
        <f t="shared" si="38"/>
        <v>0</v>
      </c>
      <c r="CF68">
        <v>31</v>
      </c>
      <c r="CG68">
        <v>20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 s="80">
        <f t="shared" si="27"/>
        <v>27.38791222850147</v>
      </c>
      <c r="CZ68" s="78">
        <f t="shared" si="28"/>
        <v>86.922808416662249</v>
      </c>
      <c r="DA68" s="5">
        <f t="shared" si="29"/>
        <v>2710.0085662247757</v>
      </c>
      <c r="DB68" s="5">
        <f t="shared" si="30"/>
        <v>68506.244790452402</v>
      </c>
      <c r="DC68" s="5">
        <f t="shared" si="31"/>
        <v>314786.19385942526</v>
      </c>
      <c r="DD68">
        <f t="shared" si="39"/>
        <v>1748.3926233708232</v>
      </c>
      <c r="DE68">
        <f t="shared" si="32"/>
        <v>44197.577284162842</v>
      </c>
      <c r="DF68">
        <f t="shared" si="33"/>
        <v>203087.86700608081</v>
      </c>
      <c r="DG68" s="19">
        <v>32596</v>
      </c>
      <c r="DH68" s="19">
        <v>3487</v>
      </c>
      <c r="DI68" s="19">
        <v>379</v>
      </c>
      <c r="DJ68" s="19">
        <v>11</v>
      </c>
      <c r="DK68" s="19">
        <v>4</v>
      </c>
    </row>
    <row r="69" spans="1:115" s="2" customFormat="1">
      <c r="A69" s="3">
        <v>42948</v>
      </c>
      <c r="B69">
        <f t="shared" si="25"/>
        <v>2017</v>
      </c>
      <c r="C69" s="2">
        <v>90913649.872199997</v>
      </c>
      <c r="D69" s="2">
        <v>24711833.112837635</v>
      </c>
      <c r="E69" s="2">
        <v>1018535.7425474873</v>
      </c>
      <c r="F69" s="2">
        <v>25730368.855385121</v>
      </c>
      <c r="G69" s="2">
        <v>32602</v>
      </c>
      <c r="H69" s="2">
        <v>8749926.5776754394</v>
      </c>
      <c r="I69" s="2">
        <v>263459.19564712438</v>
      </c>
      <c r="J69" s="2">
        <v>9013385.7733225636</v>
      </c>
      <c r="K69" s="2">
        <v>3475</v>
      </c>
      <c r="L69" s="2">
        <v>17778750.872482393</v>
      </c>
      <c r="M69" s="2">
        <f>VLOOKUP('Monthly Data'!B69,'Historic CDM'!$B$111:$J$122,4,FALSE)/12+VLOOKUP('Monthly Data'!B69,'Historic CDM'!$N$111:$V$122,4,FALSE)/12</f>
        <v>1692155.3467497702</v>
      </c>
      <c r="N69" s="2">
        <f t="shared" si="42"/>
        <v>19470906.219232164</v>
      </c>
      <c r="O69" s="2">
        <v>48219.050868903454</v>
      </c>
      <c r="P69" s="2">
        <v>381</v>
      </c>
      <c r="Q69" s="2">
        <v>11461386.4132</v>
      </c>
      <c r="R69" s="2">
        <f>VLOOKUP('Monthly Data'!B69,'Historic CDM'!$B$111:$J$122,5,FALSE)/12+VLOOKUP('Monthly Data'!B69,'Historic CDM'!$N$111:$V$122,5,FALSE)/12</f>
        <v>95435.104272384284</v>
      </c>
      <c r="S69" s="2">
        <f t="shared" si="16"/>
        <v>11556821.517472384</v>
      </c>
      <c r="T69" s="2">
        <v>21116.399924192367</v>
      </c>
      <c r="U69" s="2">
        <v>8</v>
      </c>
      <c r="V69" s="2">
        <v>25895612.164949998</v>
      </c>
      <c r="W69" s="2">
        <f>VLOOKUP('Monthly Data'!B69,'Historic CDM'!$B$111:$J$122,9,FALSE)/12+VLOOKUP('Monthly Data'!B69,'Historic CDM'!$N$111:$V$122,9,FALSE)/12</f>
        <v>25801.245766517874</v>
      </c>
      <c r="X69" s="2">
        <f t="shared" si="41"/>
        <v>25921413.410716515</v>
      </c>
      <c r="Y69" s="2">
        <v>41152.584470047819</v>
      </c>
      <c r="Z69" s="2">
        <v>4</v>
      </c>
      <c r="AA69" s="2">
        <v>328387.96464999998</v>
      </c>
      <c r="AB69" s="2">
        <v>1002.4857</v>
      </c>
      <c r="AC69" s="2">
        <v>10048</v>
      </c>
      <c r="AD69" s="2">
        <v>41457.543085769808</v>
      </c>
      <c r="AE69" s="2">
        <v>108.035</v>
      </c>
      <c r="AF69" s="2">
        <v>392</v>
      </c>
      <c r="AG69" s="2">
        <v>189698.45184445643</v>
      </c>
      <c r="AH69" s="2">
        <v>260</v>
      </c>
      <c r="AI69">
        <f>Weather!C225</f>
        <v>39.1</v>
      </c>
      <c r="AJ69">
        <f>Weather!D225</f>
        <v>27.800000000000004</v>
      </c>
      <c r="AK69">
        <f>Weather!E225</f>
        <v>15.8</v>
      </c>
      <c r="AL69">
        <f>Weather!F225</f>
        <v>66.500000000000014</v>
      </c>
      <c r="AM69">
        <f>Weather!G225</f>
        <v>5.5</v>
      </c>
      <c r="AN69">
        <f>Weather!H225</f>
        <v>118.19999999999999</v>
      </c>
      <c r="AO69">
        <f>Weather!I225</f>
        <v>0.80000000000000071</v>
      </c>
      <c r="AP69">
        <f>Weather!J225</f>
        <v>175.5</v>
      </c>
      <c r="AQ69">
        <f>Weather!K225</f>
        <v>0</v>
      </c>
      <c r="AR69">
        <f>Weather!L225</f>
        <v>236.7</v>
      </c>
      <c r="AS69">
        <f>Weather!M225</f>
        <v>0</v>
      </c>
      <c r="AT69">
        <f>Weather!N225</f>
        <v>298.69999999999993</v>
      </c>
      <c r="AU69">
        <f>Weather!O225</f>
        <v>0</v>
      </c>
      <c r="AV69">
        <f>Weather!P225</f>
        <v>360.69999999999993</v>
      </c>
      <c r="AW69" s="7">
        <f>Weather!Q225</f>
        <v>19.63548387096774</v>
      </c>
      <c r="AX69" s="5">
        <f>'Economic Variables'!D179</f>
        <v>7121.1</v>
      </c>
      <c r="AY69" s="5">
        <f>'Economic Variables'!E179</f>
        <v>7216.7</v>
      </c>
      <c r="AZ69" s="5">
        <f>'Economic Variables'!F179</f>
        <v>245.9</v>
      </c>
      <c r="BA69" s="5">
        <f>'Economic Variables'!G179</f>
        <v>251.5</v>
      </c>
      <c r="BB69" s="5">
        <f>'Economic Variables'!H179</f>
        <v>711695.1</v>
      </c>
      <c r="BC69" s="5">
        <f>'Economic Variables'!I179</f>
        <v>7780.9</v>
      </c>
      <c r="BD69" s="5">
        <f>'Economic Variables'!J179</f>
        <v>6969</v>
      </c>
      <c r="BE69" s="5">
        <f>'Economic Variables'!K179</f>
        <v>457.1</v>
      </c>
      <c r="BF69" s="5">
        <f>'Economic Variables'!L179</f>
        <v>7434.8</v>
      </c>
      <c r="BG69" s="5">
        <f>'Economic Variables'!M179</f>
        <v>287.5</v>
      </c>
      <c r="BH69" s="5">
        <f>'Economic Variables'!N179</f>
        <v>971.8</v>
      </c>
      <c r="BI69" s="5">
        <f t="shared" si="34"/>
        <v>15215.7</v>
      </c>
      <c r="BJ69" s="5">
        <f>'Economic Variables'!P179</f>
        <v>712249</v>
      </c>
      <c r="BK69" s="5">
        <f>'Economic Variables'!Q179</f>
        <v>7853</v>
      </c>
      <c r="BL69" s="5">
        <f>'Economic Variables'!R179</f>
        <v>7523</v>
      </c>
      <c r="BM69" s="5">
        <f>'Economic Variables'!S179</f>
        <v>3012</v>
      </c>
      <c r="BN69" s="5">
        <f t="shared" si="35"/>
        <v>68</v>
      </c>
      <c r="BO69" s="80">
        <f t="shared" si="36"/>
        <v>1.8325089127062364</v>
      </c>
      <c r="BP69" s="5">
        <f t="shared" si="37"/>
        <v>4624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1</v>
      </c>
      <c r="BY69">
        <v>0</v>
      </c>
      <c r="BZ69">
        <v>0</v>
      </c>
      <c r="CA69">
        <v>0</v>
      </c>
      <c r="CB69">
        <v>0</v>
      </c>
      <c r="CC69">
        <f t="shared" si="40"/>
        <v>0</v>
      </c>
      <c r="CD69">
        <f t="shared" si="40"/>
        <v>0</v>
      </c>
      <c r="CE69">
        <f t="shared" si="38"/>
        <v>0</v>
      </c>
      <c r="CF69">
        <v>31</v>
      </c>
      <c r="CG69">
        <v>22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 s="80">
        <f t="shared" si="27"/>
        <v>25.458925788626782</v>
      </c>
      <c r="CZ69" s="78">
        <f t="shared" si="28"/>
        <v>83.670325117870163</v>
      </c>
      <c r="DA69" s="5">
        <f t="shared" si="29"/>
        <v>2322.9427605860374</v>
      </c>
      <c r="DB69" s="5">
        <f t="shared" si="30"/>
        <v>65663.758622002191</v>
      </c>
      <c r="DC69" s="5">
        <f t="shared" si="31"/>
        <v>294561.5160308695</v>
      </c>
      <c r="DD69">
        <f t="shared" si="39"/>
        <v>1648.5400236417038</v>
      </c>
      <c r="DE69">
        <f t="shared" si="32"/>
        <v>46600.086764001549</v>
      </c>
      <c r="DF69">
        <f t="shared" si="33"/>
        <v>209043.65653803642</v>
      </c>
      <c r="DG69" s="19">
        <v>32602</v>
      </c>
      <c r="DH69" s="19">
        <v>3475</v>
      </c>
      <c r="DI69" s="19">
        <v>379</v>
      </c>
      <c r="DJ69" s="19">
        <v>11</v>
      </c>
      <c r="DK69" s="19">
        <v>4</v>
      </c>
    </row>
    <row r="70" spans="1:115" s="2" customFormat="1">
      <c r="A70" s="3">
        <v>42979</v>
      </c>
      <c r="B70">
        <f t="shared" si="25"/>
        <v>2017</v>
      </c>
      <c r="C70" s="2">
        <v>81650673.073190019</v>
      </c>
      <c r="D70" s="2">
        <v>20046483.092873532</v>
      </c>
      <c r="E70" s="2">
        <v>1018535.7425474873</v>
      </c>
      <c r="F70" s="2">
        <v>21065018.835421018</v>
      </c>
      <c r="G70" s="2">
        <v>32611</v>
      </c>
      <c r="H70" s="2">
        <v>7982455.2236543326</v>
      </c>
      <c r="I70" s="2">
        <v>263459.19564712438</v>
      </c>
      <c r="J70" s="2">
        <v>8245914.4193014568</v>
      </c>
      <c r="K70" s="2">
        <v>3475</v>
      </c>
      <c r="L70" s="2">
        <v>16606922.562411556</v>
      </c>
      <c r="M70" s="2">
        <f>VLOOKUP('Monthly Data'!B70,'Historic CDM'!$B$111:$J$122,4,FALSE)/12+VLOOKUP('Monthly Data'!B70,'Historic CDM'!$N$111:$V$122,4,FALSE)/12</f>
        <v>1692155.3467497702</v>
      </c>
      <c r="N70" s="2">
        <f t="shared" si="42"/>
        <v>18299077.909161326</v>
      </c>
      <c r="O70" s="2">
        <v>51531.662921477589</v>
      </c>
      <c r="P70" s="2">
        <v>384</v>
      </c>
      <c r="Q70" s="2">
        <v>10106866.1678</v>
      </c>
      <c r="R70" s="2">
        <f>VLOOKUP('Monthly Data'!B70,'Historic CDM'!$B$111:$J$122,5,FALSE)/12+VLOOKUP('Monthly Data'!B70,'Historic CDM'!$N$111:$V$122,5,FALSE)/12</f>
        <v>95435.104272384284</v>
      </c>
      <c r="S70" s="2">
        <f t="shared" si="16"/>
        <v>10202301.272072384</v>
      </c>
      <c r="T70" s="2">
        <v>21048.854166773919</v>
      </c>
      <c r="U70" s="2">
        <v>8</v>
      </c>
      <c r="V70" s="2">
        <v>23156864.934637502</v>
      </c>
      <c r="W70" s="2">
        <f>VLOOKUP('Monthly Data'!B70,'Historic CDM'!$B$111:$J$122,9,FALSE)/12+VLOOKUP('Monthly Data'!B70,'Historic CDM'!$N$111:$V$122,9,FALSE)/12</f>
        <v>25801.245766517874</v>
      </c>
      <c r="X70" s="2">
        <f t="shared" si="41"/>
        <v>23182666.180404019</v>
      </c>
      <c r="Y70" s="2">
        <v>38599.59834118963</v>
      </c>
      <c r="Z70" s="2">
        <v>4</v>
      </c>
      <c r="AA70" s="2">
        <v>363969.26099999901</v>
      </c>
      <c r="AB70" s="2">
        <v>975.87369999999999</v>
      </c>
      <c r="AC70" s="2">
        <v>10048</v>
      </c>
      <c r="AD70" s="2">
        <v>39732.208864136315</v>
      </c>
      <c r="AE70" s="2">
        <v>108.895</v>
      </c>
      <c r="AF70" s="2">
        <v>387</v>
      </c>
      <c r="AG70" s="2">
        <v>184294.25259965388</v>
      </c>
      <c r="AH70" s="2">
        <v>257</v>
      </c>
      <c r="AI70">
        <f>Weather!C226</f>
        <v>96.90000000000002</v>
      </c>
      <c r="AJ70">
        <f>Weather!D226</f>
        <v>30.600000000000005</v>
      </c>
      <c r="AK70">
        <f>Weather!E226</f>
        <v>64.000000000000014</v>
      </c>
      <c r="AL70">
        <f>Weather!F226</f>
        <v>57.7</v>
      </c>
      <c r="AM70">
        <f>Weather!G226</f>
        <v>36.299999999999997</v>
      </c>
      <c r="AN70">
        <f>Weather!H226</f>
        <v>90</v>
      </c>
      <c r="AO70">
        <f>Weather!I226</f>
        <v>13.7</v>
      </c>
      <c r="AP70">
        <f>Weather!J226</f>
        <v>127.39999999999999</v>
      </c>
      <c r="AQ70">
        <f>Weather!K226</f>
        <v>3.2000000000000011</v>
      </c>
      <c r="AR70">
        <f>Weather!L226</f>
        <v>176.90000000000003</v>
      </c>
      <c r="AS70">
        <f>Weather!M226</f>
        <v>0</v>
      </c>
      <c r="AT70">
        <f>Weather!N226</f>
        <v>233.70000000000002</v>
      </c>
      <c r="AU70">
        <f>Weather!O226</f>
        <v>0</v>
      </c>
      <c r="AV70">
        <f>Weather!P226</f>
        <v>293.7</v>
      </c>
      <c r="AW70" s="7">
        <f>Weather!Q226</f>
        <v>17.790000000000006</v>
      </c>
      <c r="AX70" s="5">
        <f>'Economic Variables'!D180</f>
        <v>7144.8</v>
      </c>
      <c r="AY70" s="5">
        <f>'Economic Variables'!E180</f>
        <v>7193.4</v>
      </c>
      <c r="AZ70" s="5">
        <f>'Economic Variables'!F180</f>
        <v>244.6</v>
      </c>
      <c r="BA70" s="5">
        <f>'Economic Variables'!G180</f>
        <v>246.3</v>
      </c>
      <c r="BB70" s="5">
        <f>'Economic Variables'!H180</f>
        <v>711695.1</v>
      </c>
      <c r="BC70" s="5">
        <f>'Economic Variables'!I180</f>
        <v>7780.9</v>
      </c>
      <c r="BD70" s="5">
        <f>'Economic Variables'!J180</f>
        <v>6969</v>
      </c>
      <c r="BE70" s="5">
        <f>'Economic Variables'!K180</f>
        <v>457.1</v>
      </c>
      <c r="BF70" s="5">
        <f>'Economic Variables'!L180</f>
        <v>7434.8</v>
      </c>
      <c r="BG70" s="5">
        <f>'Economic Variables'!M180</f>
        <v>287.5</v>
      </c>
      <c r="BH70" s="5">
        <f>'Economic Variables'!N180</f>
        <v>971.8</v>
      </c>
      <c r="BI70" s="5">
        <f t="shared" si="34"/>
        <v>15215.7</v>
      </c>
      <c r="BJ70" s="5">
        <f>'Economic Variables'!P180</f>
        <v>712249</v>
      </c>
      <c r="BK70" s="5">
        <f>'Economic Variables'!Q180</f>
        <v>7853</v>
      </c>
      <c r="BL70" s="5">
        <f>'Economic Variables'!R180</f>
        <v>7523</v>
      </c>
      <c r="BM70" s="5">
        <f>'Economic Variables'!S180</f>
        <v>3012</v>
      </c>
      <c r="BN70" s="5">
        <f t="shared" si="35"/>
        <v>69</v>
      </c>
      <c r="BO70" s="80">
        <f t="shared" si="36"/>
        <v>1.8388490907372552</v>
      </c>
      <c r="BP70" s="5">
        <f t="shared" si="37"/>
        <v>4761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1</v>
      </c>
      <c r="BZ70">
        <v>0</v>
      </c>
      <c r="CA70">
        <v>0</v>
      </c>
      <c r="CB70">
        <v>0</v>
      </c>
      <c r="CC70">
        <f t="shared" ref="CC70:CD89" si="43">CC58</f>
        <v>0</v>
      </c>
      <c r="CD70">
        <f t="shared" si="43"/>
        <v>1</v>
      </c>
      <c r="CE70">
        <f t="shared" si="38"/>
        <v>1</v>
      </c>
      <c r="CF70">
        <v>30</v>
      </c>
      <c r="CG70">
        <v>20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 s="80">
        <f t="shared" si="27"/>
        <v>21.531608798075311</v>
      </c>
      <c r="CZ70" s="78">
        <f t="shared" si="28"/>
        <v>79.097500424954021</v>
      </c>
      <c r="DA70" s="5">
        <f t="shared" si="29"/>
        <v>2382.6924360887142</v>
      </c>
      <c r="DB70" s="5">
        <f t="shared" si="30"/>
        <v>63764.382950452404</v>
      </c>
      <c r="DC70" s="5">
        <f t="shared" si="31"/>
        <v>289783.32725505024</v>
      </c>
      <c r="DD70">
        <f t="shared" si="39"/>
        <v>1588.4616240591429</v>
      </c>
      <c r="DE70">
        <f t="shared" si="32"/>
        <v>42509.588633634936</v>
      </c>
      <c r="DF70">
        <f t="shared" si="33"/>
        <v>193188.88483670016</v>
      </c>
      <c r="DG70" s="19">
        <v>32611</v>
      </c>
      <c r="DH70" s="19">
        <v>3475</v>
      </c>
      <c r="DI70" s="19">
        <v>382</v>
      </c>
      <c r="DJ70" s="19">
        <v>11</v>
      </c>
      <c r="DK70" s="19">
        <v>4</v>
      </c>
    </row>
    <row r="71" spans="1:115" s="2" customFormat="1">
      <c r="A71" s="3">
        <v>43009</v>
      </c>
      <c r="B71">
        <f t="shared" si="25"/>
        <v>2017</v>
      </c>
      <c r="C71" s="2">
        <v>77042352.223282501</v>
      </c>
      <c r="D71" s="2">
        <v>17213057.371209148</v>
      </c>
      <c r="E71" s="2">
        <v>1018535.7425474873</v>
      </c>
      <c r="F71" s="2">
        <v>18231593.113756634</v>
      </c>
      <c r="G71" s="2">
        <v>32667</v>
      </c>
      <c r="H71" s="2">
        <v>7482866.2644731477</v>
      </c>
      <c r="I71" s="2">
        <v>263459.19564712438</v>
      </c>
      <c r="J71" s="2">
        <v>7746325.4601202719</v>
      </c>
      <c r="K71" s="2">
        <v>3485</v>
      </c>
      <c r="L71" s="2">
        <v>16127167.853223391</v>
      </c>
      <c r="M71" s="2">
        <f>VLOOKUP('Monthly Data'!B71,'Historic CDM'!$B$111:$J$122,4,FALSE)/12+VLOOKUP('Monthly Data'!B71,'Historic CDM'!$N$111:$V$122,4,FALSE)/12</f>
        <v>1692155.3467497702</v>
      </c>
      <c r="N71" s="2">
        <f t="shared" si="42"/>
        <v>17819323.199973162</v>
      </c>
      <c r="O71" s="2">
        <v>50850.721485172886</v>
      </c>
      <c r="P71" s="2">
        <v>385</v>
      </c>
      <c r="Q71" s="2">
        <v>10839985.370200001</v>
      </c>
      <c r="R71" s="2">
        <f>VLOOKUP('Monthly Data'!B71,'Historic CDM'!$B$111:$J$122,5,FALSE)/12+VLOOKUP('Monthly Data'!B71,'Historic CDM'!$N$111:$V$122,5,FALSE)/12</f>
        <v>95435.104272384284</v>
      </c>
      <c r="S71" s="2">
        <f t="shared" si="16"/>
        <v>10935420.474472385</v>
      </c>
      <c r="T71" s="2">
        <v>21065.092184113651</v>
      </c>
      <c r="U71" s="2">
        <v>8</v>
      </c>
      <c r="V71" s="2">
        <v>21688369.276860002</v>
      </c>
      <c r="W71" s="2">
        <f>VLOOKUP('Monthly Data'!B71,'Historic CDM'!$B$111:$J$122,9,FALSE)/12+VLOOKUP('Monthly Data'!B71,'Historic CDM'!$N$111:$V$122,9,FALSE)/12</f>
        <v>25801.245766517874</v>
      </c>
      <c r="X71" s="2">
        <f t="shared" si="41"/>
        <v>21714170.522626519</v>
      </c>
      <c r="Y71" s="2">
        <v>37524.555573307167</v>
      </c>
      <c r="Z71" s="2">
        <v>4</v>
      </c>
      <c r="AA71" s="2">
        <v>394752.40071000002</v>
      </c>
      <c r="AB71" s="2">
        <v>940.6857</v>
      </c>
      <c r="AC71" s="2">
        <v>10047</v>
      </c>
      <c r="AD71" s="2">
        <v>38641.18905356848</v>
      </c>
      <c r="AE71" s="2">
        <v>109.315</v>
      </c>
      <c r="AF71" s="2">
        <v>387</v>
      </c>
      <c r="AG71" s="2">
        <v>176421.55217096512</v>
      </c>
      <c r="AH71" s="2">
        <v>257</v>
      </c>
      <c r="AI71">
        <f>Weather!C227</f>
        <v>209.50000000000003</v>
      </c>
      <c r="AJ71">
        <f>Weather!D227</f>
        <v>2.3999999999999986</v>
      </c>
      <c r="AK71">
        <f>Weather!E227</f>
        <v>154.80000000000001</v>
      </c>
      <c r="AL71">
        <f>Weather!F227</f>
        <v>9.6999999999999957</v>
      </c>
      <c r="AM71">
        <f>Weather!G227</f>
        <v>108.1</v>
      </c>
      <c r="AN71">
        <f>Weather!H227</f>
        <v>24.999999999999996</v>
      </c>
      <c r="AO71">
        <f>Weather!I227</f>
        <v>74.899999999999991</v>
      </c>
      <c r="AP71">
        <f>Weather!J227</f>
        <v>53.800000000000004</v>
      </c>
      <c r="AQ71">
        <f>Weather!K227</f>
        <v>48.2</v>
      </c>
      <c r="AR71">
        <f>Weather!L227</f>
        <v>89.1</v>
      </c>
      <c r="AS71">
        <f>Weather!M227</f>
        <v>29.299999999999997</v>
      </c>
      <c r="AT71">
        <f>Weather!N227</f>
        <v>132.19999999999999</v>
      </c>
      <c r="AU71">
        <f>Weather!O227</f>
        <v>15.599999999999998</v>
      </c>
      <c r="AV71">
        <f>Weather!P227</f>
        <v>180.5</v>
      </c>
      <c r="AW71" s="7">
        <f>Weather!Q227</f>
        <v>13.319354838709678</v>
      </c>
      <c r="AX71" s="5">
        <f>'Economic Variables'!D181</f>
        <v>7161</v>
      </c>
      <c r="AY71" s="5">
        <f>'Economic Variables'!E181</f>
        <v>7185.2</v>
      </c>
      <c r="AZ71" s="5">
        <f>'Economic Variables'!F181</f>
        <v>244</v>
      </c>
      <c r="BA71" s="5">
        <f>'Economic Variables'!G181</f>
        <v>244.7</v>
      </c>
      <c r="BB71" s="5">
        <f>'Economic Variables'!H181</f>
        <v>711695.1</v>
      </c>
      <c r="BC71" s="5">
        <f>'Economic Variables'!I181</f>
        <v>7780.9</v>
      </c>
      <c r="BD71" s="5">
        <f>'Economic Variables'!J181</f>
        <v>6969</v>
      </c>
      <c r="BE71" s="5">
        <f>'Economic Variables'!K181</f>
        <v>457.1</v>
      </c>
      <c r="BF71" s="5">
        <f>'Economic Variables'!L181</f>
        <v>7434.8</v>
      </c>
      <c r="BG71" s="5">
        <f>'Economic Variables'!M181</f>
        <v>287.5</v>
      </c>
      <c r="BH71" s="5">
        <f>'Economic Variables'!N181</f>
        <v>971.8</v>
      </c>
      <c r="BI71" s="5">
        <f t="shared" si="34"/>
        <v>15215.7</v>
      </c>
      <c r="BJ71" s="5">
        <f>'Economic Variables'!P181</f>
        <v>718200</v>
      </c>
      <c r="BK71" s="5">
        <f>'Economic Variables'!Q181</f>
        <v>7964</v>
      </c>
      <c r="BL71" s="5">
        <f>'Economic Variables'!R181</f>
        <v>7205</v>
      </c>
      <c r="BM71" s="5">
        <f>'Economic Variables'!S181</f>
        <v>2949</v>
      </c>
      <c r="BN71" s="5">
        <f t="shared" si="35"/>
        <v>70</v>
      </c>
      <c r="BO71" s="80">
        <f t="shared" si="36"/>
        <v>1.8450980400142569</v>
      </c>
      <c r="BP71" s="5">
        <f t="shared" si="37"/>
        <v>4900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1</v>
      </c>
      <c r="CA71">
        <v>0</v>
      </c>
      <c r="CB71">
        <v>0</v>
      </c>
      <c r="CC71">
        <f t="shared" si="43"/>
        <v>0</v>
      </c>
      <c r="CD71">
        <f t="shared" si="43"/>
        <v>1</v>
      </c>
      <c r="CE71">
        <f t="shared" si="38"/>
        <v>1</v>
      </c>
      <c r="CF71">
        <v>31</v>
      </c>
      <c r="CG71">
        <v>21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 s="80">
        <f t="shared" si="27"/>
        <v>18.003364462465953</v>
      </c>
      <c r="CZ71" s="78">
        <f t="shared" si="28"/>
        <v>71.701998982924721</v>
      </c>
      <c r="DA71" s="5">
        <f t="shared" si="29"/>
        <v>2203.9979220746027</v>
      </c>
      <c r="DB71" s="5">
        <f t="shared" si="30"/>
        <v>65091.788538526103</v>
      </c>
      <c r="DC71" s="5">
        <f t="shared" si="31"/>
        <v>258502.03003126808</v>
      </c>
      <c r="DD71">
        <f t="shared" si="39"/>
        <v>1493.0308504376339</v>
      </c>
      <c r="DE71">
        <f t="shared" si="32"/>
        <v>44094.437397066067</v>
      </c>
      <c r="DF71">
        <f t="shared" si="33"/>
        <v>175114.27840827839</v>
      </c>
      <c r="DG71" s="19">
        <v>32667</v>
      </c>
      <c r="DH71" s="19">
        <v>3485</v>
      </c>
      <c r="DI71" s="19">
        <v>383</v>
      </c>
      <c r="DJ71" s="19">
        <v>11</v>
      </c>
      <c r="DK71" s="19">
        <v>4</v>
      </c>
    </row>
    <row r="72" spans="1:115" s="2" customFormat="1">
      <c r="A72" s="3">
        <v>43040</v>
      </c>
      <c r="B72">
        <f t="shared" si="25"/>
        <v>2017</v>
      </c>
      <c r="C72" s="2">
        <v>80214333.025882512</v>
      </c>
      <c r="D72" s="2">
        <v>18473360.668228041</v>
      </c>
      <c r="E72" s="2">
        <v>1018535.7425474873</v>
      </c>
      <c r="F72" s="2">
        <v>19491896.410775527</v>
      </c>
      <c r="G72" s="2">
        <v>32688</v>
      </c>
      <c r="H72" s="2">
        <v>8109906.40805378</v>
      </c>
      <c r="I72" s="2">
        <v>263459.19564712438</v>
      </c>
      <c r="J72" s="2">
        <v>8373365.6037009042</v>
      </c>
      <c r="K72" s="2">
        <v>3486</v>
      </c>
      <c r="L72" s="2">
        <v>16498931.294562012</v>
      </c>
      <c r="M72" s="2">
        <f>VLOOKUP('Monthly Data'!B72,'Historic CDM'!$B$111:$J$122,4,FALSE)/12+VLOOKUP('Monthly Data'!B72,'Historic CDM'!$N$111:$V$122,4,FALSE)/12</f>
        <v>1692155.3467497702</v>
      </c>
      <c r="N72" s="2">
        <f t="shared" si="42"/>
        <v>18191086.641311783</v>
      </c>
      <c r="O72" s="2">
        <v>43121.317986482594</v>
      </c>
      <c r="P72" s="2">
        <v>386</v>
      </c>
      <c r="Q72" s="2">
        <v>10748832.094800001</v>
      </c>
      <c r="R72" s="2">
        <f>VLOOKUP('Monthly Data'!B72,'Historic CDM'!$B$111:$J$122,5,FALSE)/12+VLOOKUP('Monthly Data'!B72,'Historic CDM'!$N$111:$V$122,5,FALSE)/12</f>
        <v>95435.104272384284</v>
      </c>
      <c r="S72" s="2">
        <f t="shared" si="16"/>
        <v>10844267.199072385</v>
      </c>
      <c r="T72" s="2">
        <v>20068.829238973787</v>
      </c>
      <c r="U72" s="2">
        <v>8</v>
      </c>
      <c r="V72" s="2">
        <v>22740217.24887</v>
      </c>
      <c r="W72" s="2">
        <f>VLOOKUP('Monthly Data'!B72,'Historic CDM'!$B$111:$J$122,9,FALSE)/12+VLOOKUP('Monthly Data'!B72,'Historic CDM'!$N$111:$V$122,9,FALSE)/12</f>
        <v>25801.245766517874</v>
      </c>
      <c r="X72" s="2">
        <f t="shared" si="41"/>
        <v>22766018.494636517</v>
      </c>
      <c r="Y72" s="2">
        <v>38786.090756990117</v>
      </c>
      <c r="Z72" s="2">
        <v>4</v>
      </c>
      <c r="AA72" s="2">
        <v>385778.04719999997</v>
      </c>
      <c r="AB72" s="2">
        <v>864.73469999999998</v>
      </c>
      <c r="AC72" s="2">
        <v>10033</v>
      </c>
      <c r="AD72" s="2">
        <v>39411.085807788884</v>
      </c>
      <c r="AE72" s="2">
        <v>64.381</v>
      </c>
      <c r="AF72" s="2">
        <v>386</v>
      </c>
      <c r="AG72" s="2">
        <v>181085.36770165924</v>
      </c>
      <c r="AH72" s="2">
        <v>257</v>
      </c>
      <c r="AI72">
        <f>Weather!C228</f>
        <v>491.79999999999995</v>
      </c>
      <c r="AJ72">
        <f>Weather!D228</f>
        <v>0</v>
      </c>
      <c r="AK72">
        <f>Weather!E228</f>
        <v>431.8</v>
      </c>
      <c r="AL72">
        <f>Weather!F228</f>
        <v>0</v>
      </c>
      <c r="AM72">
        <f>Weather!G228</f>
        <v>371.8</v>
      </c>
      <c r="AN72">
        <f>Weather!H228</f>
        <v>0</v>
      </c>
      <c r="AO72">
        <f>Weather!I228</f>
        <v>311.8</v>
      </c>
      <c r="AP72">
        <f>Weather!J228</f>
        <v>0</v>
      </c>
      <c r="AQ72">
        <f>Weather!K228</f>
        <v>252.70000000000002</v>
      </c>
      <c r="AR72">
        <f>Weather!L228</f>
        <v>0.90000000000000036</v>
      </c>
      <c r="AS72">
        <f>Weather!M228</f>
        <v>195.2</v>
      </c>
      <c r="AT72">
        <f>Weather!N228</f>
        <v>3.4000000000000004</v>
      </c>
      <c r="AU72">
        <f>Weather!O228</f>
        <v>141.20000000000002</v>
      </c>
      <c r="AV72">
        <f>Weather!P228</f>
        <v>9.4</v>
      </c>
      <c r="AW72" s="7">
        <f>Weather!Q228</f>
        <v>3.6066666666666669</v>
      </c>
      <c r="AX72" s="5">
        <f>'Economic Variables'!D182</f>
        <v>7184.7</v>
      </c>
      <c r="AY72" s="5">
        <f>'Economic Variables'!E182</f>
        <v>7186</v>
      </c>
      <c r="AZ72" s="5">
        <f>'Economic Variables'!F182</f>
        <v>248.1</v>
      </c>
      <c r="BA72" s="5">
        <f>'Economic Variables'!G182</f>
        <v>245.9</v>
      </c>
      <c r="BB72" s="5">
        <f>'Economic Variables'!H182</f>
        <v>711695.1</v>
      </c>
      <c r="BC72" s="5">
        <f>'Economic Variables'!I182</f>
        <v>7780.9</v>
      </c>
      <c r="BD72" s="5">
        <f>'Economic Variables'!J182</f>
        <v>6969</v>
      </c>
      <c r="BE72" s="5">
        <f>'Economic Variables'!K182</f>
        <v>457.1</v>
      </c>
      <c r="BF72" s="5">
        <f>'Economic Variables'!L182</f>
        <v>7434.8</v>
      </c>
      <c r="BG72" s="5">
        <f>'Economic Variables'!M182</f>
        <v>287.5</v>
      </c>
      <c r="BH72" s="5">
        <f>'Economic Variables'!N182</f>
        <v>971.8</v>
      </c>
      <c r="BI72" s="5">
        <f t="shared" si="34"/>
        <v>15215.7</v>
      </c>
      <c r="BJ72" s="5">
        <f>'Economic Variables'!P182</f>
        <v>718200</v>
      </c>
      <c r="BK72" s="5">
        <f>'Economic Variables'!Q182</f>
        <v>7964</v>
      </c>
      <c r="BL72" s="5">
        <f>'Economic Variables'!R182</f>
        <v>7205</v>
      </c>
      <c r="BM72" s="5">
        <f>'Economic Variables'!S182</f>
        <v>2949</v>
      </c>
      <c r="BN72" s="5">
        <f t="shared" si="35"/>
        <v>71</v>
      </c>
      <c r="BO72" s="80">
        <f t="shared" si="36"/>
        <v>1.8512583487190752</v>
      </c>
      <c r="BP72" s="5">
        <f t="shared" si="37"/>
        <v>5041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1</v>
      </c>
      <c r="CB72">
        <v>0</v>
      </c>
      <c r="CC72">
        <f t="shared" si="43"/>
        <v>0</v>
      </c>
      <c r="CD72">
        <f t="shared" si="43"/>
        <v>0</v>
      </c>
      <c r="CE72">
        <f t="shared" si="38"/>
        <v>0</v>
      </c>
      <c r="CF72">
        <v>30</v>
      </c>
      <c r="CG72">
        <v>22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 s="80">
        <f t="shared" si="27"/>
        <v>19.876709506827712</v>
      </c>
      <c r="CZ72" s="78">
        <f t="shared" si="28"/>
        <v>80.066605504885302</v>
      </c>
      <c r="DA72" s="5">
        <f t="shared" si="29"/>
        <v>2142.143975660832</v>
      </c>
      <c r="DB72" s="5">
        <f t="shared" si="30"/>
        <v>61615.154540184005</v>
      </c>
      <c r="DC72" s="5">
        <f t="shared" si="31"/>
        <v>258704.75562086952</v>
      </c>
      <c r="DD72">
        <f t="shared" si="39"/>
        <v>1570.9055821512766</v>
      </c>
      <c r="DE72">
        <f t="shared" si="32"/>
        <v>45184.446662801602</v>
      </c>
      <c r="DF72">
        <f t="shared" si="33"/>
        <v>189716.82078863765</v>
      </c>
      <c r="DG72" s="19">
        <v>32688</v>
      </c>
      <c r="DH72" s="19">
        <v>3486</v>
      </c>
      <c r="DI72" s="19">
        <v>384</v>
      </c>
      <c r="DJ72" s="19">
        <v>11</v>
      </c>
      <c r="DK72" s="19">
        <v>4</v>
      </c>
    </row>
    <row r="73" spans="1:115" s="2" customFormat="1">
      <c r="A73" s="3">
        <v>43070</v>
      </c>
      <c r="B73">
        <f t="shared" si="25"/>
        <v>2017</v>
      </c>
      <c r="C73" s="2">
        <v>87632889.988824993</v>
      </c>
      <c r="D73" s="2">
        <v>22705695.421202153</v>
      </c>
      <c r="E73" s="2">
        <v>1018535.7425474873</v>
      </c>
      <c r="F73" s="2">
        <v>23724231.163749639</v>
      </c>
      <c r="G73" s="2">
        <v>32709</v>
      </c>
      <c r="H73" s="2">
        <v>9035579.8909680117</v>
      </c>
      <c r="I73" s="2">
        <v>263459.19564712438</v>
      </c>
      <c r="J73" s="2">
        <v>9299039.0866151359</v>
      </c>
      <c r="K73" s="2">
        <v>3484</v>
      </c>
      <c r="L73" s="2">
        <v>17342976.515602704</v>
      </c>
      <c r="M73" s="2">
        <f>VLOOKUP('Monthly Data'!B73,'Historic CDM'!$B$111:$J$122,4,FALSE)/12+VLOOKUP('Monthly Data'!B73,'Historic CDM'!$N$111:$V$122,4,FALSE)/12</f>
        <v>1692155.3467497702</v>
      </c>
      <c r="N73" s="2">
        <f t="shared" si="42"/>
        <v>19035131.862352476</v>
      </c>
      <c r="O73" s="2">
        <v>52890.033802800499</v>
      </c>
      <c r="P73" s="2">
        <v>390</v>
      </c>
      <c r="Q73" s="2">
        <v>10149272.745200001</v>
      </c>
      <c r="R73" s="2">
        <f>VLOOKUP('Monthly Data'!B73,'Historic CDM'!$B$111:$J$122,5,FALSE)/12+VLOOKUP('Monthly Data'!B73,'Historic CDM'!$N$111:$V$122,5,FALSE)/12</f>
        <v>95435.104272384284</v>
      </c>
      <c r="S73" s="2">
        <f t="shared" ref="S73:S132" si="44">Q73+R73</f>
        <v>10244707.849472385</v>
      </c>
      <c r="T73" s="2">
        <v>19550.279270142033</v>
      </c>
      <c r="U73" s="2">
        <v>8</v>
      </c>
      <c r="V73" s="2">
        <v>24307530.863962501</v>
      </c>
      <c r="W73" s="2">
        <f>VLOOKUP('Monthly Data'!B73,'Historic CDM'!$B$111:$J$122,9,FALSE)/12+VLOOKUP('Monthly Data'!B73,'Historic CDM'!$N$111:$V$122,9,FALSE)/12</f>
        <v>25801.245766517874</v>
      </c>
      <c r="X73" s="2">
        <f t="shared" si="41"/>
        <v>24333332.109729018</v>
      </c>
      <c r="Y73" s="2">
        <v>38064.488657568829</v>
      </c>
      <c r="Z73" s="2">
        <v>4</v>
      </c>
      <c r="AA73" s="2">
        <v>411681.38228999998</v>
      </c>
      <c r="AB73" s="2">
        <v>850.70370000000003</v>
      </c>
      <c r="AC73" s="2">
        <v>10033</v>
      </c>
      <c r="AD73" s="2">
        <v>36304.893536450698</v>
      </c>
      <c r="AE73" s="2">
        <v>155.46899999999999</v>
      </c>
      <c r="AF73" s="2">
        <v>386</v>
      </c>
      <c r="AG73" s="2">
        <v>150424.57406281168</v>
      </c>
      <c r="AH73" s="2">
        <v>257</v>
      </c>
      <c r="AI73">
        <f>Weather!C229</f>
        <v>744.90000000000009</v>
      </c>
      <c r="AJ73">
        <f>Weather!D229</f>
        <v>0</v>
      </c>
      <c r="AK73">
        <f>Weather!E229</f>
        <v>682.90000000000009</v>
      </c>
      <c r="AL73">
        <f>Weather!F229</f>
        <v>0</v>
      </c>
      <c r="AM73">
        <f>Weather!G229</f>
        <v>620.9</v>
      </c>
      <c r="AN73">
        <f>Weather!H229</f>
        <v>0</v>
      </c>
      <c r="AO73">
        <f>Weather!I229</f>
        <v>558.9</v>
      </c>
      <c r="AP73">
        <f>Weather!J229</f>
        <v>0</v>
      </c>
      <c r="AQ73">
        <f>Weather!K229</f>
        <v>496.89999999999992</v>
      </c>
      <c r="AR73">
        <f>Weather!L229</f>
        <v>0</v>
      </c>
      <c r="AS73">
        <f>Weather!M229</f>
        <v>434.9</v>
      </c>
      <c r="AT73">
        <f>Weather!N229</f>
        <v>0</v>
      </c>
      <c r="AU73">
        <f>Weather!O229</f>
        <v>372.89999999999992</v>
      </c>
      <c r="AV73">
        <f>Weather!P229</f>
        <v>0</v>
      </c>
      <c r="AW73" s="7">
        <f>Weather!Q229</f>
        <v>-4.0290322580645164</v>
      </c>
      <c r="AX73" s="5">
        <f>'Economic Variables'!D183</f>
        <v>7199.5</v>
      </c>
      <c r="AY73" s="5">
        <f>'Economic Variables'!E183</f>
        <v>7206.8</v>
      </c>
      <c r="AZ73" s="5">
        <f>'Economic Variables'!F183</f>
        <v>249.3</v>
      </c>
      <c r="BA73" s="5">
        <f>'Economic Variables'!G183</f>
        <v>246.8</v>
      </c>
      <c r="BB73" s="5">
        <f>'Economic Variables'!H183</f>
        <v>711695.1</v>
      </c>
      <c r="BC73" s="5">
        <f>'Economic Variables'!I183</f>
        <v>7780.9</v>
      </c>
      <c r="BD73" s="5">
        <f>'Economic Variables'!J183</f>
        <v>6969</v>
      </c>
      <c r="BE73" s="5">
        <f>'Economic Variables'!K183</f>
        <v>457.1</v>
      </c>
      <c r="BF73" s="5">
        <f>'Economic Variables'!L183</f>
        <v>7434.8</v>
      </c>
      <c r="BG73" s="5">
        <f>'Economic Variables'!M183</f>
        <v>287.5</v>
      </c>
      <c r="BH73" s="5">
        <f>'Economic Variables'!N183</f>
        <v>971.8</v>
      </c>
      <c r="BI73" s="5">
        <f t="shared" si="34"/>
        <v>15215.7</v>
      </c>
      <c r="BJ73" s="5">
        <f>'Economic Variables'!P183</f>
        <v>718200</v>
      </c>
      <c r="BK73" s="5">
        <f>'Economic Variables'!Q183</f>
        <v>7964</v>
      </c>
      <c r="BL73" s="5">
        <f>'Economic Variables'!R183</f>
        <v>7205</v>
      </c>
      <c r="BM73" s="5">
        <f>'Economic Variables'!S183</f>
        <v>2949</v>
      </c>
      <c r="BN73" s="5">
        <f t="shared" si="35"/>
        <v>72</v>
      </c>
      <c r="BO73" s="80">
        <f t="shared" si="36"/>
        <v>1.8573324964312685</v>
      </c>
      <c r="BP73" s="5">
        <f t="shared" si="37"/>
        <v>5184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1</v>
      </c>
      <c r="CC73">
        <f t="shared" si="43"/>
        <v>0</v>
      </c>
      <c r="CD73">
        <f t="shared" si="43"/>
        <v>0</v>
      </c>
      <c r="CE73">
        <f t="shared" si="38"/>
        <v>0</v>
      </c>
      <c r="CF73">
        <v>31</v>
      </c>
      <c r="CG73">
        <v>19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 s="80">
        <f t="shared" si="27"/>
        <v>23.397162232895983</v>
      </c>
      <c r="CZ73" s="78">
        <f t="shared" si="28"/>
        <v>86.09902491218044</v>
      </c>
      <c r="DA73" s="5">
        <f t="shared" si="29"/>
        <v>2568.8437061204418</v>
      </c>
      <c r="DB73" s="5">
        <f t="shared" si="30"/>
        <v>67399.393746528847</v>
      </c>
      <c r="DC73" s="5">
        <f t="shared" si="31"/>
        <v>320175.42249643448</v>
      </c>
      <c r="DD73">
        <f t="shared" si="39"/>
        <v>1574.4525940738195</v>
      </c>
      <c r="DE73">
        <f t="shared" si="32"/>
        <v>41309.305844646711</v>
      </c>
      <c r="DF73">
        <f t="shared" si="33"/>
        <v>196236.54927200821</v>
      </c>
      <c r="DG73" s="19">
        <v>32709</v>
      </c>
      <c r="DH73" s="19">
        <v>3484</v>
      </c>
      <c r="DI73" s="19">
        <v>388</v>
      </c>
      <c r="DJ73" s="19">
        <v>11</v>
      </c>
      <c r="DK73" s="19">
        <v>4</v>
      </c>
    </row>
    <row r="74" spans="1:115" s="2" customFormat="1">
      <c r="A74" s="3">
        <v>43101</v>
      </c>
      <c r="B74">
        <f t="shared" si="25"/>
        <v>2018</v>
      </c>
      <c r="C74" s="2">
        <v>89261362.189904988</v>
      </c>
      <c r="D74" s="2">
        <v>22811124.824299999</v>
      </c>
      <c r="E74" s="2">
        <v>1262534.7422672648</v>
      </c>
      <c r="F74" s="2">
        <v>24073659.566567264</v>
      </c>
      <c r="G74" s="2">
        <v>32713</v>
      </c>
      <c r="H74" s="2">
        <v>9556682.0168782044</v>
      </c>
      <c r="I74" s="2">
        <v>330693.46569660964</v>
      </c>
      <c r="J74" s="2">
        <v>9887375.4825748149</v>
      </c>
      <c r="K74" s="2">
        <v>3469</v>
      </c>
      <c r="L74" s="2">
        <v>19146594.064261656</v>
      </c>
      <c r="M74" s="2">
        <f>VLOOKUP('Monthly Data'!B74,'Historic CDM'!$B$111:$J$122,4,FALSE)/12+VLOOKUP('Monthly Data'!B74,'Historic CDM'!$N$111:$V$122,4,FALSE)/12</f>
        <v>2068825.4757816314</v>
      </c>
      <c r="N74" s="2">
        <f t="shared" si="42"/>
        <v>21215419.540043287</v>
      </c>
      <c r="O74" s="2">
        <v>42752.452500000007</v>
      </c>
      <c r="P74" s="2">
        <v>391</v>
      </c>
      <c r="Q74" s="2">
        <v>10112914.5778</v>
      </c>
      <c r="R74" s="2">
        <f>VLOOKUP('Monthly Data'!B74,'Historic CDM'!$B$111:$J$122,5,FALSE)/12+VLOOKUP('Monthly Data'!B74,'Historic CDM'!$N$111:$V$122,5,FALSE)/12</f>
        <v>107593.33442010607</v>
      </c>
      <c r="S74" s="2">
        <f t="shared" si="44"/>
        <v>10220507.912220106</v>
      </c>
      <c r="T74" s="2">
        <v>19341.37764185886</v>
      </c>
      <c r="U74" s="2">
        <v>8</v>
      </c>
      <c r="V74" s="2">
        <v>23983751.110770002</v>
      </c>
      <c r="W74" s="2">
        <f>VLOOKUP('Monthly Data'!B74,'Historic CDM'!$B$111:$J$122,9,FALSE)/12+VLOOKUP('Monthly Data'!B74,'Historic CDM'!$N$111:$V$122,9,FALSE)/12</f>
        <v>25410.387227799401</v>
      </c>
      <c r="X74" s="2">
        <f t="shared" si="41"/>
        <v>24009161.497997802</v>
      </c>
      <c r="Y74" s="2">
        <v>39006.203940000007</v>
      </c>
      <c r="Z74" s="2">
        <v>4</v>
      </c>
      <c r="AA74" s="2">
        <v>399815.40619999904</v>
      </c>
      <c r="AB74" s="2">
        <v>850.93970000000002</v>
      </c>
      <c r="AC74" s="2">
        <v>10041</v>
      </c>
      <c r="AD74" s="2">
        <v>39888.897661545467</v>
      </c>
      <c r="AE74" s="2">
        <v>68.356000000000009</v>
      </c>
      <c r="AF74" s="2">
        <v>385</v>
      </c>
      <c r="AG74" s="2">
        <v>179212.26195597212</v>
      </c>
      <c r="AH74" s="2">
        <v>257</v>
      </c>
      <c r="AI74">
        <f>Weather!C230</f>
        <v>779.5</v>
      </c>
      <c r="AJ74">
        <f>Weather!D230</f>
        <v>0</v>
      </c>
      <c r="AK74">
        <f>Weather!E230</f>
        <v>717.49999999999989</v>
      </c>
      <c r="AL74">
        <f>Weather!F230</f>
        <v>0</v>
      </c>
      <c r="AM74">
        <f>Weather!G230</f>
        <v>655.49999999999989</v>
      </c>
      <c r="AN74">
        <f>Weather!H230</f>
        <v>0</v>
      </c>
      <c r="AO74">
        <f>Weather!I230</f>
        <v>593.49999999999989</v>
      </c>
      <c r="AP74">
        <f>Weather!J230</f>
        <v>0</v>
      </c>
      <c r="AQ74">
        <f>Weather!K230</f>
        <v>531.5</v>
      </c>
      <c r="AR74">
        <f>Weather!L230</f>
        <v>0</v>
      </c>
      <c r="AS74">
        <f>Weather!M230</f>
        <v>469.49999999999994</v>
      </c>
      <c r="AT74">
        <f>Weather!N230</f>
        <v>0</v>
      </c>
      <c r="AU74">
        <f>Weather!O230</f>
        <v>407.8</v>
      </c>
      <c r="AV74">
        <f>Weather!P230</f>
        <v>0.30000000000000071</v>
      </c>
      <c r="AW74" s="7">
        <f>Weather!Q230</f>
        <v>-5.145161290322581</v>
      </c>
      <c r="AX74" s="5">
        <f>'Economic Variables'!D184</f>
        <v>7199.4</v>
      </c>
      <c r="AY74" s="5">
        <f>'Economic Variables'!E184</f>
        <v>7167.3</v>
      </c>
      <c r="AZ74" s="5">
        <f>'Economic Variables'!F184</f>
        <v>249.9</v>
      </c>
      <c r="BA74" s="5">
        <f>'Economic Variables'!G184</f>
        <v>246.6</v>
      </c>
      <c r="BB74" s="5">
        <f>'Economic Variables'!H184</f>
        <v>735936.1</v>
      </c>
      <c r="BC74" s="5">
        <f>'Economic Variables'!I184</f>
        <v>7987.4</v>
      </c>
      <c r="BD74" s="5">
        <f>'Economic Variables'!J184</f>
        <v>7214.6</v>
      </c>
      <c r="BE74" s="5">
        <f>'Economic Variables'!K184</f>
        <v>447.7</v>
      </c>
      <c r="BF74" s="5">
        <f>'Economic Variables'!L184</f>
        <v>7389.6</v>
      </c>
      <c r="BG74" s="5">
        <f>'Economic Variables'!M184</f>
        <v>277</v>
      </c>
      <c r="BH74" s="5">
        <f>'Economic Variables'!N184</f>
        <v>1087</v>
      </c>
      <c r="BI74" s="5">
        <f t="shared" si="34"/>
        <v>15377</v>
      </c>
      <c r="BJ74" s="5">
        <f>'Economic Variables'!P184</f>
        <v>726015</v>
      </c>
      <c r="BK74" s="5">
        <f>'Economic Variables'!Q184</f>
        <v>7981</v>
      </c>
      <c r="BL74" s="5">
        <f>'Economic Variables'!R184</f>
        <v>7309</v>
      </c>
      <c r="BM74" s="5">
        <f>'Economic Variables'!S184</f>
        <v>3134</v>
      </c>
      <c r="BN74" s="5">
        <f t="shared" si="35"/>
        <v>73</v>
      </c>
      <c r="BO74" s="80">
        <f t="shared" si="36"/>
        <v>1.8633228601204559</v>
      </c>
      <c r="BP74" s="5">
        <f t="shared" si="37"/>
        <v>5329</v>
      </c>
      <c r="BQ74">
        <v>1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f t="shared" si="43"/>
        <v>0</v>
      </c>
      <c r="CD74">
        <f t="shared" si="43"/>
        <v>0</v>
      </c>
      <c r="CE74">
        <f t="shared" si="38"/>
        <v>0</v>
      </c>
      <c r="CF74">
        <v>31</v>
      </c>
      <c r="CG74">
        <v>22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 s="80">
        <f t="shared" ref="CY74:CY97" si="45">F74/$CF74/G74</f>
        <v>23.738870279022215</v>
      </c>
      <c r="CZ74" s="78">
        <f t="shared" ref="CZ74:CZ97" si="46">J74/$CF74/K74</f>
        <v>91.942230098613663</v>
      </c>
      <c r="DA74" s="5">
        <f t="shared" ref="DA74:DA97" si="47">N74/$CG74/P74</f>
        <v>2466.335682404474</v>
      </c>
      <c r="DB74" s="5">
        <f t="shared" ref="DB74:DB97" si="48">S74/$CG74/U74</f>
        <v>58071.067683068781</v>
      </c>
      <c r="DC74" s="5">
        <f t="shared" ref="DC74:DC97" si="49">X74/$CG74/Z74</f>
        <v>272831.38065906591</v>
      </c>
      <c r="DD74">
        <f t="shared" si="39"/>
        <v>1750.3027423515623</v>
      </c>
      <c r="DE74">
        <f t="shared" ref="DE74:DE97" si="50">S74/$CF74/U74</f>
        <v>41211.725452500425</v>
      </c>
      <c r="DF74">
        <f t="shared" ref="DF74:DF97" si="51">X74/$CF74/Z74</f>
        <v>193622.27014514356</v>
      </c>
      <c r="DG74" s="19">
        <v>32713</v>
      </c>
      <c r="DH74" s="19">
        <v>3469</v>
      </c>
      <c r="DI74" s="19">
        <v>389</v>
      </c>
      <c r="DJ74" s="19">
        <v>11</v>
      </c>
      <c r="DK74" s="19">
        <v>4</v>
      </c>
    </row>
    <row r="75" spans="1:115" s="2" customFormat="1">
      <c r="A75" s="3">
        <v>43132</v>
      </c>
      <c r="B75">
        <f t="shared" si="25"/>
        <v>2018</v>
      </c>
      <c r="C75" s="2">
        <v>80116812.400352508</v>
      </c>
      <c r="D75" s="2">
        <v>18899509.584899999</v>
      </c>
      <c r="E75" s="2">
        <v>1262534.7422672648</v>
      </c>
      <c r="F75" s="2">
        <v>20162044.327167265</v>
      </c>
      <c r="G75" s="2">
        <v>32725</v>
      </c>
      <c r="H75" s="2">
        <v>8181637.9614677709</v>
      </c>
      <c r="I75" s="2">
        <v>330693.46569660964</v>
      </c>
      <c r="J75" s="2">
        <v>8512331.4271643814</v>
      </c>
      <c r="K75" s="2">
        <v>3463</v>
      </c>
      <c r="L75" s="2">
        <v>16797338.837308832</v>
      </c>
      <c r="M75" s="2">
        <f>VLOOKUP('Monthly Data'!B75,'Historic CDM'!$B$111:$J$122,4,FALSE)/12+VLOOKUP('Monthly Data'!B75,'Historic CDM'!$N$111:$V$122,4,FALSE)/12</f>
        <v>2068825.4757816314</v>
      </c>
      <c r="N75" s="2">
        <f t="shared" si="42"/>
        <v>18866164.313090462</v>
      </c>
      <c r="O75" s="2">
        <v>47627.481199999995</v>
      </c>
      <c r="P75" s="2">
        <v>391</v>
      </c>
      <c r="Q75" s="2">
        <v>9442459.8946000002</v>
      </c>
      <c r="R75" s="2">
        <f>VLOOKUP('Monthly Data'!B75,'Historic CDM'!$B$111:$J$122,5,FALSE)/12+VLOOKUP('Monthly Data'!B75,'Historic CDM'!$N$111:$V$122,5,FALSE)/12</f>
        <v>107593.33442010607</v>
      </c>
      <c r="S75" s="2">
        <f t="shared" si="44"/>
        <v>9550053.2290201057</v>
      </c>
      <c r="T75" s="2">
        <v>18896.240683237611</v>
      </c>
      <c r="U75" s="2">
        <v>8</v>
      </c>
      <c r="V75" s="2">
        <v>23560854.035152499</v>
      </c>
      <c r="W75" s="2">
        <f>VLOOKUP('Monthly Data'!B75,'Historic CDM'!$B$111:$J$122,9,FALSE)/12+VLOOKUP('Monthly Data'!B75,'Historic CDM'!$N$111:$V$122,9,FALSE)/12</f>
        <v>25410.387227799401</v>
      </c>
      <c r="X75" s="2">
        <f t="shared" si="41"/>
        <v>23586264.422380298</v>
      </c>
      <c r="Y75" s="2">
        <v>42387.43023095937</v>
      </c>
      <c r="Z75" s="2">
        <v>4</v>
      </c>
      <c r="AA75" s="2">
        <v>328347.95278763934</v>
      </c>
      <c r="AB75" s="2">
        <v>870.58</v>
      </c>
      <c r="AC75" s="2">
        <v>10043</v>
      </c>
      <c r="AD75" s="2">
        <v>36023.288726820319</v>
      </c>
      <c r="AE75" s="2">
        <v>148.01400000000001</v>
      </c>
      <c r="AF75" s="2">
        <v>385</v>
      </c>
      <c r="AG75" s="2">
        <v>161967.98476672461</v>
      </c>
      <c r="AH75" s="2">
        <v>257</v>
      </c>
      <c r="AI75">
        <f>Weather!C231</f>
        <v>624.4</v>
      </c>
      <c r="AJ75">
        <f>Weather!D231</f>
        <v>0</v>
      </c>
      <c r="AK75">
        <f>Weather!E231</f>
        <v>568.4</v>
      </c>
      <c r="AL75">
        <f>Weather!F231</f>
        <v>0</v>
      </c>
      <c r="AM75">
        <f>Weather!G231</f>
        <v>512.4</v>
      </c>
      <c r="AN75">
        <f>Weather!H231</f>
        <v>0</v>
      </c>
      <c r="AO75">
        <f>Weather!I231</f>
        <v>456.40000000000003</v>
      </c>
      <c r="AP75">
        <f>Weather!J231</f>
        <v>0</v>
      </c>
      <c r="AQ75">
        <f>Weather!K231</f>
        <v>400.40000000000003</v>
      </c>
      <c r="AR75">
        <f>Weather!L231</f>
        <v>0</v>
      </c>
      <c r="AS75">
        <f>Weather!M231</f>
        <v>346.1</v>
      </c>
      <c r="AT75">
        <f>Weather!N231</f>
        <v>1.6999999999999993</v>
      </c>
      <c r="AU75">
        <f>Weather!O231</f>
        <v>292.80000000000007</v>
      </c>
      <c r="AV75">
        <f>Weather!P231</f>
        <v>4.3999999999999986</v>
      </c>
      <c r="AW75" s="7">
        <f>Weather!Q231</f>
        <v>-2.2999999999999994</v>
      </c>
      <c r="AX75" s="5">
        <f>'Economic Variables'!D185</f>
        <v>7188.9</v>
      </c>
      <c r="AY75" s="5">
        <f>'Economic Variables'!E185</f>
        <v>7120.1</v>
      </c>
      <c r="AZ75" s="5">
        <f>'Economic Variables'!F185</f>
        <v>251.7</v>
      </c>
      <c r="BA75" s="5">
        <f>'Economic Variables'!G185</f>
        <v>249</v>
      </c>
      <c r="BB75" s="5">
        <f>'Economic Variables'!H185</f>
        <v>735936.1</v>
      </c>
      <c r="BC75" s="5">
        <f>'Economic Variables'!I185</f>
        <v>7987.4</v>
      </c>
      <c r="BD75" s="5">
        <f>'Economic Variables'!J185</f>
        <v>7214.6</v>
      </c>
      <c r="BE75" s="5">
        <f>'Economic Variables'!K185</f>
        <v>447.7</v>
      </c>
      <c r="BF75" s="5">
        <f>'Economic Variables'!L185</f>
        <v>7389.6</v>
      </c>
      <c r="BG75" s="5">
        <f>'Economic Variables'!M185</f>
        <v>277</v>
      </c>
      <c r="BH75" s="5">
        <f>'Economic Variables'!N185</f>
        <v>1087</v>
      </c>
      <c r="BI75" s="5">
        <f t="shared" si="34"/>
        <v>15377</v>
      </c>
      <c r="BJ75" s="5">
        <f>'Economic Variables'!P185</f>
        <v>726015</v>
      </c>
      <c r="BK75" s="5">
        <f>'Economic Variables'!Q185</f>
        <v>7981</v>
      </c>
      <c r="BL75" s="5">
        <f>'Economic Variables'!R185</f>
        <v>7309</v>
      </c>
      <c r="BM75" s="5">
        <f>'Economic Variables'!S185</f>
        <v>3134</v>
      </c>
      <c r="BN75" s="5">
        <f t="shared" si="35"/>
        <v>74</v>
      </c>
      <c r="BO75" s="80">
        <f t="shared" si="36"/>
        <v>1.8692317197309762</v>
      </c>
      <c r="BP75" s="5">
        <f t="shared" si="37"/>
        <v>5476</v>
      </c>
      <c r="BQ75">
        <v>0</v>
      </c>
      <c r="BR75">
        <v>1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f t="shared" si="43"/>
        <v>0</v>
      </c>
      <c r="CD75">
        <f t="shared" si="43"/>
        <v>0</v>
      </c>
      <c r="CE75">
        <f t="shared" si="38"/>
        <v>0</v>
      </c>
      <c r="CF75">
        <v>28</v>
      </c>
      <c r="CG75">
        <v>19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 s="80">
        <f t="shared" si="45"/>
        <v>22.003758951399394</v>
      </c>
      <c r="CZ75" s="78">
        <f t="shared" si="46"/>
        <v>87.788575421438694</v>
      </c>
      <c r="DA75" s="5">
        <f t="shared" si="47"/>
        <v>2539.5294539090673</v>
      </c>
      <c r="DB75" s="5">
        <f t="shared" si="48"/>
        <v>62829.297559342798</v>
      </c>
      <c r="DC75" s="5">
        <f t="shared" si="49"/>
        <v>310345.58450500394</v>
      </c>
      <c r="DD75">
        <f t="shared" si="39"/>
        <v>1723.2521294382957</v>
      </c>
      <c r="DE75">
        <f t="shared" si="50"/>
        <v>42634.166200982618</v>
      </c>
      <c r="DF75">
        <f t="shared" si="51"/>
        <v>210591.64662839551</v>
      </c>
      <c r="DG75" s="19">
        <v>32725</v>
      </c>
      <c r="DH75" s="19">
        <v>3463</v>
      </c>
      <c r="DI75" s="19">
        <v>389</v>
      </c>
      <c r="DJ75" s="19">
        <v>11</v>
      </c>
      <c r="DK75" s="19">
        <v>4</v>
      </c>
    </row>
    <row r="76" spans="1:115" s="2" customFormat="1">
      <c r="A76" s="3">
        <v>43160</v>
      </c>
      <c r="B76">
        <f t="shared" si="25"/>
        <v>2018</v>
      </c>
      <c r="C76" s="2">
        <v>84250445.489247501</v>
      </c>
      <c r="D76" s="2">
        <v>19685114.8112</v>
      </c>
      <c r="E76" s="2">
        <v>1262534.7422672648</v>
      </c>
      <c r="F76" s="2">
        <v>20947649.553467266</v>
      </c>
      <c r="G76" s="2">
        <v>32727</v>
      </c>
      <c r="H76" s="2">
        <v>8639578.5165032111</v>
      </c>
      <c r="I76" s="2">
        <v>330693.46569660964</v>
      </c>
      <c r="J76" s="2">
        <v>8970271.9821998216</v>
      </c>
      <c r="K76" s="2">
        <v>3461</v>
      </c>
      <c r="L76" s="2">
        <v>17521480.304099992</v>
      </c>
      <c r="M76" s="2">
        <f>VLOOKUP('Monthly Data'!B76,'Historic CDM'!$B$111:$J$122,4,FALSE)/12+VLOOKUP('Monthly Data'!B76,'Historic CDM'!$N$111:$V$122,4,FALSE)/12</f>
        <v>2068825.4757816314</v>
      </c>
      <c r="N76" s="2">
        <f t="shared" si="42"/>
        <v>19590305.779881623</v>
      </c>
      <c r="O76" s="2">
        <v>43142.678099999997</v>
      </c>
      <c r="P76" s="2">
        <v>390</v>
      </c>
      <c r="Q76" s="2">
        <v>10387637.9836</v>
      </c>
      <c r="R76" s="2">
        <f>VLOOKUP('Monthly Data'!B76,'Historic CDM'!$B$111:$J$122,5,FALSE)/12+VLOOKUP('Monthly Data'!B76,'Historic CDM'!$N$111:$V$122,5,FALSE)/12</f>
        <v>107593.33442010607</v>
      </c>
      <c r="S76" s="2">
        <f t="shared" si="44"/>
        <v>10495231.318020105</v>
      </c>
      <c r="T76" s="2">
        <v>19585.673394017729</v>
      </c>
      <c r="U76" s="2">
        <v>8</v>
      </c>
      <c r="V76" s="2">
        <v>24137529.815024998</v>
      </c>
      <c r="W76" s="2">
        <f>VLOOKUP('Monthly Data'!B76,'Historic CDM'!$B$111:$J$122,9,FALSE)/12+VLOOKUP('Monthly Data'!B76,'Historic CDM'!$N$111:$V$122,9,FALSE)/12</f>
        <v>25410.387227799401</v>
      </c>
      <c r="X76" s="2">
        <f t="shared" si="41"/>
        <v>24162940.202252798</v>
      </c>
      <c r="Y76" s="2">
        <v>39712.466499329668</v>
      </c>
      <c r="Z76" s="2">
        <v>4</v>
      </c>
      <c r="AA76" s="2">
        <v>317160.81824201037</v>
      </c>
      <c r="AB76" s="2">
        <v>850.45669999999996</v>
      </c>
      <c r="AC76" s="2">
        <v>10043</v>
      </c>
      <c r="AD76" s="2">
        <v>40101.119923631581</v>
      </c>
      <c r="AE76" s="2">
        <v>69.155999999999992</v>
      </c>
      <c r="AF76" s="2">
        <v>385</v>
      </c>
      <c r="AG76" s="2">
        <v>180366.54689613602</v>
      </c>
      <c r="AH76" s="2">
        <v>257</v>
      </c>
      <c r="AI76">
        <f>Weather!C232</f>
        <v>637.19999999999993</v>
      </c>
      <c r="AJ76">
        <f>Weather!D232</f>
        <v>0</v>
      </c>
      <c r="AK76">
        <f>Weather!E232</f>
        <v>575.19999999999993</v>
      </c>
      <c r="AL76">
        <f>Weather!F232</f>
        <v>0</v>
      </c>
      <c r="AM76">
        <f>Weather!G232</f>
        <v>513.19999999999993</v>
      </c>
      <c r="AN76">
        <f>Weather!H232</f>
        <v>0</v>
      </c>
      <c r="AO76">
        <f>Weather!I232</f>
        <v>451.2</v>
      </c>
      <c r="AP76">
        <f>Weather!J232</f>
        <v>0</v>
      </c>
      <c r="AQ76">
        <f>Weather!K232</f>
        <v>389.2</v>
      </c>
      <c r="AR76">
        <f>Weather!L232</f>
        <v>0</v>
      </c>
      <c r="AS76">
        <f>Weather!M232</f>
        <v>327.20000000000005</v>
      </c>
      <c r="AT76">
        <f>Weather!N232</f>
        <v>0</v>
      </c>
      <c r="AU76">
        <f>Weather!O232</f>
        <v>265.20000000000005</v>
      </c>
      <c r="AV76">
        <f>Weather!P232</f>
        <v>0</v>
      </c>
      <c r="AW76" s="7">
        <f>Weather!Q232</f>
        <v>-0.55483870967741922</v>
      </c>
      <c r="AX76" s="5">
        <f>'Economic Variables'!D186</f>
        <v>7188.8</v>
      </c>
      <c r="AY76" s="5">
        <f>'Economic Variables'!E186</f>
        <v>7084.1</v>
      </c>
      <c r="AZ76" s="5">
        <f>'Economic Variables'!F186</f>
        <v>253.9</v>
      </c>
      <c r="BA76" s="5">
        <f>'Economic Variables'!G186</f>
        <v>250.6</v>
      </c>
      <c r="BB76" s="5">
        <f>'Economic Variables'!H186</f>
        <v>735936.1</v>
      </c>
      <c r="BC76" s="5">
        <f>'Economic Variables'!I186</f>
        <v>7987.4</v>
      </c>
      <c r="BD76" s="5">
        <f>'Economic Variables'!J186</f>
        <v>7214.6</v>
      </c>
      <c r="BE76" s="5">
        <f>'Economic Variables'!K186</f>
        <v>447.7</v>
      </c>
      <c r="BF76" s="5">
        <f>'Economic Variables'!L186</f>
        <v>7389.6</v>
      </c>
      <c r="BG76" s="5">
        <f>'Economic Variables'!M186</f>
        <v>277</v>
      </c>
      <c r="BH76" s="5">
        <f>'Economic Variables'!N186</f>
        <v>1087</v>
      </c>
      <c r="BI76" s="5">
        <f t="shared" si="34"/>
        <v>15377</v>
      </c>
      <c r="BJ76" s="5">
        <f>'Economic Variables'!P186</f>
        <v>726015</v>
      </c>
      <c r="BK76" s="5">
        <f>'Economic Variables'!Q186</f>
        <v>7981</v>
      </c>
      <c r="BL76" s="5">
        <f>'Economic Variables'!R186</f>
        <v>7309</v>
      </c>
      <c r="BM76" s="5">
        <f>'Economic Variables'!S186</f>
        <v>3134</v>
      </c>
      <c r="BN76" s="5">
        <f t="shared" si="35"/>
        <v>75</v>
      </c>
      <c r="BO76" s="80">
        <f t="shared" si="36"/>
        <v>1.8750612633917001</v>
      </c>
      <c r="BP76" s="5">
        <f t="shared" si="37"/>
        <v>5625</v>
      </c>
      <c r="BQ76">
        <v>0</v>
      </c>
      <c r="BR76">
        <v>0</v>
      </c>
      <c r="BS76">
        <v>1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f t="shared" si="43"/>
        <v>1</v>
      </c>
      <c r="CD76">
        <f t="shared" si="43"/>
        <v>0</v>
      </c>
      <c r="CE76">
        <f t="shared" si="38"/>
        <v>1</v>
      </c>
      <c r="CF76">
        <v>31</v>
      </c>
      <c r="CG76">
        <v>21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 s="80">
        <f t="shared" si="45"/>
        <v>20.647496891160465</v>
      </c>
      <c r="CZ76" s="78">
        <f t="shared" si="46"/>
        <v>83.606937974292549</v>
      </c>
      <c r="DA76" s="5">
        <f t="shared" si="47"/>
        <v>2391.9787277022738</v>
      </c>
      <c r="DB76" s="5">
        <f t="shared" si="48"/>
        <v>62471.614988214911</v>
      </c>
      <c r="DC76" s="5">
        <f t="shared" si="49"/>
        <v>287654.05002681899</v>
      </c>
      <c r="DD76">
        <f t="shared" si="39"/>
        <v>1620.3726865079921</v>
      </c>
      <c r="DE76">
        <f t="shared" si="50"/>
        <v>42319.481121048811</v>
      </c>
      <c r="DF76">
        <f t="shared" si="51"/>
        <v>194862.42098590967</v>
      </c>
      <c r="DG76" s="19">
        <v>32727</v>
      </c>
      <c r="DH76" s="19">
        <v>3461</v>
      </c>
      <c r="DI76" s="19">
        <v>388</v>
      </c>
      <c r="DJ76" s="19">
        <v>11</v>
      </c>
      <c r="DK76" s="19">
        <v>4</v>
      </c>
    </row>
    <row r="77" spans="1:115" s="2" customFormat="1">
      <c r="A77" s="3">
        <v>43191</v>
      </c>
      <c r="B77">
        <f t="shared" si="25"/>
        <v>2018</v>
      </c>
      <c r="C77" s="2">
        <v>74689391.747942492</v>
      </c>
      <c r="D77" s="2">
        <v>17876760.719900001</v>
      </c>
      <c r="E77" s="2">
        <v>1262534.7422672648</v>
      </c>
      <c r="F77" s="2">
        <v>19139295.462167267</v>
      </c>
      <c r="G77" s="2">
        <v>32717</v>
      </c>
      <c r="H77" s="2">
        <v>7966943.1694840863</v>
      </c>
      <c r="I77" s="2">
        <v>330693.46569660964</v>
      </c>
      <c r="J77" s="2">
        <v>8297636.6351806959</v>
      </c>
      <c r="K77" s="2">
        <v>3464</v>
      </c>
      <c r="L77" s="2">
        <v>15942388.482946591</v>
      </c>
      <c r="M77" s="2">
        <f>VLOOKUP('Monthly Data'!B77,'Historic CDM'!$B$111:$J$122,4,FALSE)/12+VLOOKUP('Monthly Data'!B77,'Historic CDM'!$N$111:$V$122,4,FALSE)/12</f>
        <v>2068825.4757816314</v>
      </c>
      <c r="N77" s="2">
        <f t="shared" si="42"/>
        <v>18011213.958728224</v>
      </c>
      <c r="O77" s="2">
        <v>46999.747300000003</v>
      </c>
      <c r="P77" s="2">
        <v>391</v>
      </c>
      <c r="Q77" s="2">
        <v>9140294.4202000014</v>
      </c>
      <c r="R77" s="2">
        <f>VLOOKUP('Monthly Data'!B77,'Historic CDM'!$B$111:$J$122,5,FALSE)/12+VLOOKUP('Monthly Data'!B77,'Historic CDM'!$N$111:$V$122,5,FALSE)/12</f>
        <v>107593.33442010607</v>
      </c>
      <c r="S77" s="2">
        <f t="shared" si="44"/>
        <v>9247887.7546201069</v>
      </c>
      <c r="T77" s="2">
        <v>19528.563500853554</v>
      </c>
      <c r="U77" s="2">
        <v>8</v>
      </c>
      <c r="V77" s="2">
        <v>20400033.528269999</v>
      </c>
      <c r="W77" s="2">
        <f>VLOOKUP('Monthly Data'!B77,'Historic CDM'!$B$111:$J$122,9,FALSE)/12+VLOOKUP('Monthly Data'!B77,'Historic CDM'!$N$111:$V$122,9,FALSE)/12</f>
        <v>25410.387227799401</v>
      </c>
      <c r="X77" s="2">
        <f t="shared" si="41"/>
        <v>20425443.915497798</v>
      </c>
      <c r="Y77" s="2">
        <v>39624.812936737981</v>
      </c>
      <c r="Z77" s="2">
        <v>4</v>
      </c>
      <c r="AA77" s="2">
        <v>268968.54006333364</v>
      </c>
      <c r="AB77" s="2">
        <v>851.4357</v>
      </c>
      <c r="AC77" s="2">
        <v>10053</v>
      </c>
      <c r="AD77" s="2">
        <v>38397.751709327058</v>
      </c>
      <c r="AE77" s="2">
        <v>149.054</v>
      </c>
      <c r="AF77" s="2">
        <v>385</v>
      </c>
      <c r="AG77" s="2">
        <v>172608.54041915759</v>
      </c>
      <c r="AH77" s="2">
        <v>257</v>
      </c>
      <c r="AI77">
        <f>Weather!C233</f>
        <v>492</v>
      </c>
      <c r="AJ77">
        <f>Weather!D233</f>
        <v>0</v>
      </c>
      <c r="AK77">
        <f>Weather!E233</f>
        <v>432</v>
      </c>
      <c r="AL77">
        <f>Weather!F233</f>
        <v>0</v>
      </c>
      <c r="AM77">
        <f>Weather!G233</f>
        <v>372.00000000000006</v>
      </c>
      <c r="AN77">
        <f>Weather!H233</f>
        <v>0</v>
      </c>
      <c r="AO77">
        <f>Weather!I233</f>
        <v>312.00000000000006</v>
      </c>
      <c r="AP77">
        <f>Weather!J233</f>
        <v>0</v>
      </c>
      <c r="AQ77">
        <f>Weather!K233</f>
        <v>254.20000000000002</v>
      </c>
      <c r="AR77">
        <f>Weather!L233</f>
        <v>2.2000000000000011</v>
      </c>
      <c r="AS77">
        <f>Weather!M233</f>
        <v>199.5</v>
      </c>
      <c r="AT77">
        <f>Weather!N233</f>
        <v>7.5</v>
      </c>
      <c r="AU77">
        <f>Weather!O233</f>
        <v>149.6</v>
      </c>
      <c r="AV77">
        <f>Weather!P233</f>
        <v>17.600000000000001</v>
      </c>
      <c r="AW77" s="7">
        <f>Weather!Q233</f>
        <v>3.6000000000000005</v>
      </c>
      <c r="AX77" s="5">
        <f>'Economic Variables'!D187</f>
        <v>7201.1</v>
      </c>
      <c r="AY77" s="5">
        <f>'Economic Variables'!E187</f>
        <v>7111.6</v>
      </c>
      <c r="AZ77" s="5">
        <f>'Economic Variables'!F187</f>
        <v>257.39999999999998</v>
      </c>
      <c r="BA77" s="5">
        <f>'Economic Variables'!G187</f>
        <v>253.2</v>
      </c>
      <c r="BB77" s="5">
        <f>'Economic Variables'!H187</f>
        <v>735936.1</v>
      </c>
      <c r="BC77" s="5">
        <f>'Economic Variables'!I187</f>
        <v>7987.4</v>
      </c>
      <c r="BD77" s="5">
        <f>'Economic Variables'!J187</f>
        <v>7214.6</v>
      </c>
      <c r="BE77" s="5">
        <f>'Economic Variables'!K187</f>
        <v>447.7</v>
      </c>
      <c r="BF77" s="5">
        <f>'Economic Variables'!L187</f>
        <v>7389.6</v>
      </c>
      <c r="BG77" s="5">
        <f>'Economic Variables'!M187</f>
        <v>277</v>
      </c>
      <c r="BH77" s="5">
        <f>'Economic Variables'!N187</f>
        <v>1087</v>
      </c>
      <c r="BI77" s="5">
        <f t="shared" si="34"/>
        <v>15377</v>
      </c>
      <c r="BJ77" s="5">
        <f>'Economic Variables'!P187</f>
        <v>731439</v>
      </c>
      <c r="BK77" s="5">
        <f>'Economic Variables'!Q187</f>
        <v>8038</v>
      </c>
      <c r="BL77" s="5">
        <f>'Economic Variables'!R187</f>
        <v>7479</v>
      </c>
      <c r="BM77" s="5">
        <f>'Economic Variables'!S187</f>
        <v>3201</v>
      </c>
      <c r="BN77" s="5">
        <f t="shared" si="35"/>
        <v>76</v>
      </c>
      <c r="BO77" s="80">
        <f t="shared" si="36"/>
        <v>1.8808135922807914</v>
      </c>
      <c r="BP77" s="5">
        <f t="shared" si="37"/>
        <v>5776</v>
      </c>
      <c r="BQ77">
        <v>0</v>
      </c>
      <c r="BR77">
        <v>0</v>
      </c>
      <c r="BS77">
        <v>0</v>
      </c>
      <c r="BT77">
        <v>1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f t="shared" si="43"/>
        <v>1</v>
      </c>
      <c r="CD77">
        <f t="shared" si="43"/>
        <v>0</v>
      </c>
      <c r="CE77">
        <f t="shared" si="38"/>
        <v>1</v>
      </c>
      <c r="CF77">
        <v>30</v>
      </c>
      <c r="CG77">
        <v>21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 s="80">
        <f t="shared" si="45"/>
        <v>19.499847645125637</v>
      </c>
      <c r="CZ77" s="78">
        <f t="shared" si="46"/>
        <v>79.84638794438699</v>
      </c>
      <c r="DA77" s="5">
        <f t="shared" si="47"/>
        <v>2193.5469441880678</v>
      </c>
      <c r="DB77" s="5">
        <f t="shared" si="48"/>
        <v>55046.950920357776</v>
      </c>
      <c r="DC77" s="5">
        <f t="shared" si="49"/>
        <v>243160.04661306902</v>
      </c>
      <c r="DD77">
        <f t="shared" si="39"/>
        <v>1535.4828609316473</v>
      </c>
      <c r="DE77">
        <f t="shared" si="50"/>
        <v>38532.865644250443</v>
      </c>
      <c r="DF77">
        <f t="shared" si="51"/>
        <v>170212.03262914831</v>
      </c>
      <c r="DG77" s="19">
        <v>32717</v>
      </c>
      <c r="DH77" s="19">
        <v>3464</v>
      </c>
      <c r="DI77" s="19">
        <v>389</v>
      </c>
      <c r="DJ77" s="19">
        <v>11</v>
      </c>
      <c r="DK77" s="19">
        <v>4</v>
      </c>
    </row>
    <row r="78" spans="1:115" s="2" customFormat="1">
      <c r="A78" s="3">
        <v>43221</v>
      </c>
      <c r="B78">
        <f t="shared" si="25"/>
        <v>2018</v>
      </c>
      <c r="C78" s="2">
        <v>76596493.859992504</v>
      </c>
      <c r="D78" s="2">
        <v>18779212.950400002</v>
      </c>
      <c r="E78" s="2">
        <v>1262534.7422672648</v>
      </c>
      <c r="F78" s="2">
        <v>20041747.692667268</v>
      </c>
      <c r="G78" s="2">
        <v>32733</v>
      </c>
      <c r="H78" s="2">
        <v>7918538.4078430533</v>
      </c>
      <c r="I78" s="2">
        <v>330693.46569660964</v>
      </c>
      <c r="J78" s="2">
        <v>8249231.8735396629</v>
      </c>
      <c r="K78" s="2">
        <v>3473</v>
      </c>
      <c r="L78" s="2">
        <v>16444735.324911229</v>
      </c>
      <c r="M78" s="2">
        <f>VLOOKUP('Monthly Data'!B78,'Historic CDM'!$B$111:$J$122,4,FALSE)/12+VLOOKUP('Monthly Data'!B78,'Historic CDM'!$N$111:$V$122,4,FALSE)/12</f>
        <v>2068825.4757816314</v>
      </c>
      <c r="N78" s="2">
        <f t="shared" si="42"/>
        <v>18513560.80069286</v>
      </c>
      <c r="O78" s="2">
        <v>48119.634199999993</v>
      </c>
      <c r="P78" s="2">
        <v>391</v>
      </c>
      <c r="Q78" s="2">
        <v>9791120.2759999968</v>
      </c>
      <c r="R78" s="2">
        <f>VLOOKUP('Monthly Data'!B78,'Historic CDM'!$B$111:$J$122,5,FALSE)/12+VLOOKUP('Monthly Data'!B78,'Historic CDM'!$N$111:$V$122,5,FALSE)/12</f>
        <v>107593.33442010607</v>
      </c>
      <c r="S78" s="2">
        <f t="shared" si="44"/>
        <v>9898713.6104201023</v>
      </c>
      <c r="T78" s="2">
        <v>19492.60831775836</v>
      </c>
      <c r="U78" s="2">
        <v>8</v>
      </c>
      <c r="V78" s="2">
        <v>20420321.704942502</v>
      </c>
      <c r="W78" s="2">
        <f>VLOOKUP('Monthly Data'!B78,'Historic CDM'!$B$111:$J$122,9,FALSE)/12+VLOOKUP('Monthly Data'!B78,'Historic CDM'!$N$111:$V$122,9,FALSE)/12</f>
        <v>25410.387227799401</v>
      </c>
      <c r="X78" s="2">
        <f t="shared" si="41"/>
        <v>20445732.092170302</v>
      </c>
      <c r="Y78" s="2">
        <v>36321.104656678814</v>
      </c>
      <c r="Z78" s="2">
        <v>4</v>
      </c>
      <c r="AA78" s="2">
        <v>245011.15200076767</v>
      </c>
      <c r="AB78" s="2">
        <v>850.7627</v>
      </c>
      <c r="AC78" s="2">
        <v>10052</v>
      </c>
      <c r="AD78" s="2">
        <v>40604.475612185423</v>
      </c>
      <c r="AE78" s="2">
        <v>108.08500000000001</v>
      </c>
      <c r="AF78" s="2">
        <v>385</v>
      </c>
      <c r="AG78" s="2">
        <v>183013.50473228702</v>
      </c>
      <c r="AH78" s="2">
        <v>257</v>
      </c>
      <c r="AI78">
        <f>Weather!C234</f>
        <v>160.89999999999998</v>
      </c>
      <c r="AJ78">
        <f>Weather!D234</f>
        <v>24.2</v>
      </c>
      <c r="AK78">
        <f>Weather!E234</f>
        <v>115.69999999999999</v>
      </c>
      <c r="AL78">
        <f>Weather!F234</f>
        <v>41</v>
      </c>
      <c r="AM78">
        <f>Weather!G234</f>
        <v>76.600000000000009</v>
      </c>
      <c r="AN78">
        <f>Weather!H234</f>
        <v>63.900000000000006</v>
      </c>
      <c r="AO78">
        <f>Weather!I234</f>
        <v>47.5</v>
      </c>
      <c r="AP78">
        <f>Weather!J234</f>
        <v>96.8</v>
      </c>
      <c r="AQ78">
        <f>Weather!K234</f>
        <v>25.4</v>
      </c>
      <c r="AR78">
        <f>Weather!L234</f>
        <v>136.69999999999999</v>
      </c>
      <c r="AS78">
        <f>Weather!M234</f>
        <v>10.899999999999999</v>
      </c>
      <c r="AT78">
        <f>Weather!N234</f>
        <v>184.2</v>
      </c>
      <c r="AU78">
        <f>Weather!O234</f>
        <v>3.6999999999999993</v>
      </c>
      <c r="AV78">
        <f>Weather!P234</f>
        <v>238.99999999999997</v>
      </c>
      <c r="AW78" s="7">
        <f>Weather!Q234</f>
        <v>15.590322580645161</v>
      </c>
      <c r="AX78" s="5">
        <f>'Economic Variables'!D188</f>
        <v>7208.5</v>
      </c>
      <c r="AY78" s="5">
        <f>'Economic Variables'!E188</f>
        <v>7176</v>
      </c>
      <c r="AZ78" s="5">
        <f>'Economic Variables'!F188</f>
        <v>257.5</v>
      </c>
      <c r="BA78" s="5">
        <f>'Economic Variables'!G188</f>
        <v>255.4</v>
      </c>
      <c r="BB78" s="5">
        <f>'Economic Variables'!H188</f>
        <v>735936.1</v>
      </c>
      <c r="BC78" s="5">
        <f>'Economic Variables'!I188</f>
        <v>7987.4</v>
      </c>
      <c r="BD78" s="5">
        <f>'Economic Variables'!J188</f>
        <v>7214.6</v>
      </c>
      <c r="BE78" s="5">
        <f>'Economic Variables'!K188</f>
        <v>447.7</v>
      </c>
      <c r="BF78" s="5">
        <f>'Economic Variables'!L188</f>
        <v>7389.6</v>
      </c>
      <c r="BG78" s="5">
        <f>'Economic Variables'!M188</f>
        <v>277</v>
      </c>
      <c r="BH78" s="5">
        <f>'Economic Variables'!N188</f>
        <v>1087</v>
      </c>
      <c r="BI78" s="5">
        <f t="shared" si="34"/>
        <v>15377</v>
      </c>
      <c r="BJ78" s="5">
        <f>'Economic Variables'!P188</f>
        <v>731439</v>
      </c>
      <c r="BK78" s="5">
        <f>'Economic Variables'!Q188</f>
        <v>8038</v>
      </c>
      <c r="BL78" s="5">
        <f>'Economic Variables'!R188</f>
        <v>7479</v>
      </c>
      <c r="BM78" s="5">
        <f>'Economic Variables'!S188</f>
        <v>3201</v>
      </c>
      <c r="BN78" s="5">
        <f t="shared" si="35"/>
        <v>77</v>
      </c>
      <c r="BO78" s="80">
        <f t="shared" si="36"/>
        <v>1.8864907251724818</v>
      </c>
      <c r="BP78" s="5">
        <f t="shared" si="37"/>
        <v>5929</v>
      </c>
      <c r="BQ78">
        <v>0</v>
      </c>
      <c r="BR78">
        <v>0</v>
      </c>
      <c r="BS78">
        <v>0</v>
      </c>
      <c r="BT78">
        <v>0</v>
      </c>
      <c r="BU78">
        <v>1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f t="shared" si="43"/>
        <v>1</v>
      </c>
      <c r="CD78">
        <f t="shared" si="43"/>
        <v>0</v>
      </c>
      <c r="CE78">
        <f t="shared" si="38"/>
        <v>1</v>
      </c>
      <c r="CF78">
        <v>31</v>
      </c>
      <c r="CG78">
        <v>22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 s="80">
        <f t="shared" si="45"/>
        <v>19.750954391166129</v>
      </c>
      <c r="CZ78" s="78">
        <f t="shared" si="46"/>
        <v>76.620862074618614</v>
      </c>
      <c r="DA78" s="5">
        <f t="shared" si="47"/>
        <v>2152.239107264922</v>
      </c>
      <c r="DB78" s="5">
        <f t="shared" si="48"/>
        <v>56242.690968296032</v>
      </c>
      <c r="DC78" s="5">
        <f t="shared" si="49"/>
        <v>232337.86468375343</v>
      </c>
      <c r="DD78">
        <f t="shared" si="39"/>
        <v>1527.3954954783319</v>
      </c>
      <c r="DE78">
        <f t="shared" si="50"/>
        <v>39914.167783952027</v>
      </c>
      <c r="DF78">
        <f t="shared" si="51"/>
        <v>164884.93622717986</v>
      </c>
      <c r="DG78" s="19">
        <v>32733</v>
      </c>
      <c r="DH78" s="19">
        <v>3473</v>
      </c>
      <c r="DI78" s="19">
        <v>389</v>
      </c>
      <c r="DJ78" s="19">
        <v>11</v>
      </c>
      <c r="DK78" s="19">
        <v>4</v>
      </c>
    </row>
    <row r="79" spans="1:115" s="2" customFormat="1">
      <c r="A79" s="3">
        <v>43252</v>
      </c>
      <c r="B79">
        <f t="shared" si="25"/>
        <v>2018</v>
      </c>
      <c r="C79" s="2">
        <v>82303325.109840006</v>
      </c>
      <c r="D79" s="2">
        <v>21325478.376800001</v>
      </c>
      <c r="E79" s="2">
        <v>1262534.7422672648</v>
      </c>
      <c r="F79" s="2">
        <v>22588013.119067267</v>
      </c>
      <c r="G79" s="2">
        <v>32744</v>
      </c>
      <c r="H79" s="2">
        <v>8043194.8584592566</v>
      </c>
      <c r="I79" s="2">
        <v>330693.46569660964</v>
      </c>
      <c r="J79" s="2">
        <v>8373888.3241558662</v>
      </c>
      <c r="K79" s="2">
        <v>3472</v>
      </c>
      <c r="L79" s="2">
        <v>15810745.211509343</v>
      </c>
      <c r="M79" s="2">
        <f>VLOOKUP('Monthly Data'!B79,'Historic CDM'!$B$111:$J$122,4,FALSE)/12+VLOOKUP('Monthly Data'!B79,'Historic CDM'!$N$111:$V$122,4,FALSE)/12</f>
        <v>2068825.4757816314</v>
      </c>
      <c r="N79" s="2">
        <f t="shared" si="42"/>
        <v>17879570.687290974</v>
      </c>
      <c r="O79" s="2">
        <v>49986.701800000003</v>
      </c>
      <c r="P79" s="2">
        <v>391</v>
      </c>
      <c r="Q79" s="2">
        <v>10159119.6324</v>
      </c>
      <c r="R79" s="2">
        <f>VLOOKUP('Monthly Data'!B79,'Historic CDM'!$B$111:$J$122,5,FALSE)/12+VLOOKUP('Monthly Data'!B79,'Historic CDM'!$N$111:$V$122,5,FALSE)/12</f>
        <v>107593.33442010607</v>
      </c>
      <c r="S79" s="2">
        <f t="shared" si="44"/>
        <v>10266712.966820106</v>
      </c>
      <c r="T79" s="2">
        <v>21149.983207006961</v>
      </c>
      <c r="U79" s="2">
        <v>8</v>
      </c>
      <c r="V79" s="2">
        <v>23067081.921757504</v>
      </c>
      <c r="W79" s="2">
        <f>VLOOKUP('Monthly Data'!B79,'Historic CDM'!$B$111:$J$122,9,FALSE)/12+VLOOKUP('Monthly Data'!B79,'Historic CDM'!$N$111:$V$122,9,FALSE)/12</f>
        <v>25410.387227799401</v>
      </c>
      <c r="X79" s="2">
        <f t="shared" si="41"/>
        <v>23092492.308985304</v>
      </c>
      <c r="Y79" s="2">
        <v>40877.115580896439</v>
      </c>
      <c r="Z79" s="2">
        <v>4</v>
      </c>
      <c r="AA79" s="2">
        <v>221134.58794741292</v>
      </c>
      <c r="AB79" s="2">
        <v>853.14269999999999</v>
      </c>
      <c r="AC79" s="2">
        <v>10072</v>
      </c>
      <c r="AD79" s="2">
        <v>36795.673349131452</v>
      </c>
      <c r="AE79" s="2">
        <v>113.955</v>
      </c>
      <c r="AF79" s="2">
        <v>385</v>
      </c>
      <c r="AG79" s="2">
        <v>165490.32832393021</v>
      </c>
      <c r="AH79" s="2">
        <v>256</v>
      </c>
      <c r="AI79">
        <f>Weather!C235</f>
        <v>75.100000000000023</v>
      </c>
      <c r="AJ79">
        <f>Weather!D235</f>
        <v>33.200000000000003</v>
      </c>
      <c r="AK79">
        <f>Weather!E235</f>
        <v>39.499999999999993</v>
      </c>
      <c r="AL79">
        <f>Weather!F235</f>
        <v>57.599999999999994</v>
      </c>
      <c r="AM79">
        <f>Weather!G235</f>
        <v>14.299999999999999</v>
      </c>
      <c r="AN79">
        <f>Weather!H235</f>
        <v>92.40000000000002</v>
      </c>
      <c r="AO79">
        <f>Weather!I235</f>
        <v>5.2999999999999989</v>
      </c>
      <c r="AP79">
        <f>Weather!J235</f>
        <v>143.39999999999995</v>
      </c>
      <c r="AQ79">
        <f>Weather!K235</f>
        <v>0.69999999999999929</v>
      </c>
      <c r="AR79">
        <f>Weather!L235</f>
        <v>198.8</v>
      </c>
      <c r="AS79">
        <f>Weather!M235</f>
        <v>0</v>
      </c>
      <c r="AT79">
        <f>Weather!N235</f>
        <v>258.10000000000002</v>
      </c>
      <c r="AU79">
        <f>Weather!O235</f>
        <v>0</v>
      </c>
      <c r="AV79">
        <f>Weather!P235</f>
        <v>318.10000000000002</v>
      </c>
      <c r="AW79" s="7">
        <f>Weather!Q235</f>
        <v>18.603333333333339</v>
      </c>
      <c r="AX79" s="5">
        <f>'Economic Variables'!D189</f>
        <v>7221.1</v>
      </c>
      <c r="AY79" s="5">
        <f>'Economic Variables'!E189</f>
        <v>7264.3</v>
      </c>
      <c r="AZ79" s="5">
        <f>'Economic Variables'!F189</f>
        <v>256.60000000000002</v>
      </c>
      <c r="BA79" s="5">
        <f>'Economic Variables'!G189</f>
        <v>259.3</v>
      </c>
      <c r="BB79" s="5">
        <f>'Economic Variables'!H189</f>
        <v>735936.1</v>
      </c>
      <c r="BC79" s="5">
        <f>'Economic Variables'!I189</f>
        <v>7987.4</v>
      </c>
      <c r="BD79" s="5">
        <f>'Economic Variables'!J189</f>
        <v>7214.6</v>
      </c>
      <c r="BE79" s="5">
        <f>'Economic Variables'!K189</f>
        <v>447.7</v>
      </c>
      <c r="BF79" s="5">
        <f>'Economic Variables'!L189</f>
        <v>7389.6</v>
      </c>
      <c r="BG79" s="5">
        <f>'Economic Variables'!M189</f>
        <v>277</v>
      </c>
      <c r="BH79" s="5">
        <f>'Economic Variables'!N189</f>
        <v>1087</v>
      </c>
      <c r="BI79" s="5">
        <f t="shared" si="34"/>
        <v>15377</v>
      </c>
      <c r="BJ79" s="5">
        <f>'Economic Variables'!P189</f>
        <v>731439</v>
      </c>
      <c r="BK79" s="5">
        <f>'Economic Variables'!Q189</f>
        <v>8038</v>
      </c>
      <c r="BL79" s="5">
        <f>'Economic Variables'!R189</f>
        <v>7479</v>
      </c>
      <c r="BM79" s="5">
        <f>'Economic Variables'!S189</f>
        <v>3201</v>
      </c>
      <c r="BN79" s="5">
        <f t="shared" si="35"/>
        <v>78</v>
      </c>
      <c r="BO79" s="80">
        <f t="shared" si="36"/>
        <v>1.8920946026904804</v>
      </c>
      <c r="BP79" s="5">
        <f t="shared" si="37"/>
        <v>6084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1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f t="shared" si="43"/>
        <v>0</v>
      </c>
      <c r="CD79">
        <f t="shared" si="43"/>
        <v>0</v>
      </c>
      <c r="CE79">
        <f t="shared" si="38"/>
        <v>0</v>
      </c>
      <c r="CF79">
        <v>30</v>
      </c>
      <c r="CG79">
        <v>21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 s="80">
        <f t="shared" si="45"/>
        <v>22.994556884790359</v>
      </c>
      <c r="CZ79" s="78">
        <f t="shared" si="46"/>
        <v>80.394473158178428</v>
      </c>
      <c r="DA79" s="5">
        <f t="shared" si="47"/>
        <v>2177.514393775542</v>
      </c>
      <c r="DB79" s="5">
        <f t="shared" si="48"/>
        <v>61111.386707262536</v>
      </c>
      <c r="DC79" s="5">
        <f t="shared" si="49"/>
        <v>274910.62272601551</v>
      </c>
      <c r="DD79">
        <f t="shared" si="39"/>
        <v>1524.2600756428792</v>
      </c>
      <c r="DE79">
        <f t="shared" si="50"/>
        <v>42777.970695083772</v>
      </c>
      <c r="DF79">
        <f t="shared" si="51"/>
        <v>192437.43590821087</v>
      </c>
      <c r="DG79" s="19">
        <v>32744</v>
      </c>
      <c r="DH79" s="19">
        <v>3472</v>
      </c>
      <c r="DI79" s="19">
        <v>389</v>
      </c>
      <c r="DJ79" s="19">
        <v>11</v>
      </c>
      <c r="DK79" s="19">
        <v>4</v>
      </c>
    </row>
    <row r="80" spans="1:115" s="2" customFormat="1">
      <c r="A80" s="3">
        <v>43282</v>
      </c>
      <c r="B80">
        <f t="shared" si="25"/>
        <v>2018</v>
      </c>
      <c r="C80" s="2">
        <v>95692313.7785175</v>
      </c>
      <c r="D80" s="2">
        <v>28754482.5649</v>
      </c>
      <c r="E80" s="2">
        <v>1262534.7422672648</v>
      </c>
      <c r="F80" s="2">
        <v>30017017.307167266</v>
      </c>
      <c r="G80" s="2">
        <v>32743</v>
      </c>
      <c r="H80" s="2">
        <v>9411088.6582133211</v>
      </c>
      <c r="I80" s="2">
        <v>330693.46569660964</v>
      </c>
      <c r="J80" s="2">
        <v>9741782.1239099316</v>
      </c>
      <c r="K80" s="2">
        <v>3468</v>
      </c>
      <c r="L80" s="2">
        <v>18626006.897156913</v>
      </c>
      <c r="M80" s="2">
        <f>VLOOKUP('Monthly Data'!B80,'Historic CDM'!$B$111:$J$122,4,FALSE)/12+VLOOKUP('Monthly Data'!B80,'Historic CDM'!$N$111:$V$122,4,FALSE)/12</f>
        <v>2068825.4757816314</v>
      </c>
      <c r="N80" s="2">
        <f t="shared" si="42"/>
        <v>20694832.372938544</v>
      </c>
      <c r="O80" s="2">
        <v>54700.812382927725</v>
      </c>
      <c r="P80" s="2">
        <v>391</v>
      </c>
      <c r="Q80" s="2">
        <v>10789566.4946</v>
      </c>
      <c r="R80" s="2">
        <f>VLOOKUP('Monthly Data'!B80,'Historic CDM'!$B$111:$J$122,5,FALSE)/12+VLOOKUP('Monthly Data'!B80,'Historic CDM'!$N$111:$V$122,5,FALSE)/12</f>
        <v>107593.33442010607</v>
      </c>
      <c r="S80" s="2">
        <f t="shared" si="44"/>
        <v>10897159.829020105</v>
      </c>
      <c r="T80" s="2">
        <v>22524.498436724825</v>
      </c>
      <c r="U80" s="2">
        <v>8</v>
      </c>
      <c r="V80" s="2">
        <v>24082084.258650001</v>
      </c>
      <c r="W80" s="2">
        <f>VLOOKUP('Monthly Data'!B80,'Historic CDM'!$B$111:$J$122,9,FALSE)/12+VLOOKUP('Monthly Data'!B80,'Historic CDM'!$N$111:$V$122,9,FALSE)/12</f>
        <v>25410.387227799401</v>
      </c>
      <c r="X80" s="2">
        <f t="shared" si="41"/>
        <v>24107494.645877801</v>
      </c>
      <c r="Y80" s="2">
        <v>40816.982416519822</v>
      </c>
      <c r="Z80" s="2">
        <v>4</v>
      </c>
      <c r="AA80" s="2">
        <v>238815.47909029745</v>
      </c>
      <c r="AB80" s="2">
        <v>853.12570000000005</v>
      </c>
      <c r="AC80" s="2">
        <v>10072</v>
      </c>
      <c r="AD80" s="2">
        <v>40467.846664051438</v>
      </c>
      <c r="AE80" s="2">
        <v>105.33499999999999</v>
      </c>
      <c r="AF80" s="2">
        <v>386</v>
      </c>
      <c r="AG80" s="2">
        <v>180779.28776375653</v>
      </c>
      <c r="AH80" s="2">
        <v>256</v>
      </c>
      <c r="AI80">
        <f>Weather!C236</f>
        <v>10.799999999999997</v>
      </c>
      <c r="AJ80">
        <f>Weather!D236</f>
        <v>62.800000000000004</v>
      </c>
      <c r="AK80">
        <f>Weather!E236</f>
        <v>2.3999999999999986</v>
      </c>
      <c r="AL80">
        <f>Weather!F236</f>
        <v>116.4</v>
      </c>
      <c r="AM80">
        <f>Weather!G236</f>
        <v>0</v>
      </c>
      <c r="AN80">
        <f>Weather!H236</f>
        <v>176.00000000000003</v>
      </c>
      <c r="AO80">
        <f>Weather!I236</f>
        <v>0</v>
      </c>
      <c r="AP80">
        <f>Weather!J236</f>
        <v>238.00000000000003</v>
      </c>
      <c r="AQ80">
        <f>Weather!K236</f>
        <v>0</v>
      </c>
      <c r="AR80">
        <f>Weather!L236</f>
        <v>300.00000000000006</v>
      </c>
      <c r="AS80">
        <f>Weather!M236</f>
        <v>0</v>
      </c>
      <c r="AT80">
        <f>Weather!N236</f>
        <v>362</v>
      </c>
      <c r="AU80">
        <f>Weather!O236</f>
        <v>0</v>
      </c>
      <c r="AV80">
        <f>Weather!P236</f>
        <v>424.00000000000006</v>
      </c>
      <c r="AW80" s="7">
        <f>Weather!Q236</f>
        <v>21.677419354838712</v>
      </c>
      <c r="AX80" s="5">
        <f>'Economic Variables'!D190</f>
        <v>7255</v>
      </c>
      <c r="AY80" s="5">
        <f>'Economic Variables'!E190</f>
        <v>7345.7</v>
      </c>
      <c r="AZ80" s="5">
        <f>'Economic Variables'!F190</f>
        <v>257.10000000000002</v>
      </c>
      <c r="BA80" s="5">
        <f>'Economic Variables'!G190</f>
        <v>263.3</v>
      </c>
      <c r="BB80" s="5">
        <f>'Economic Variables'!H190</f>
        <v>735936.1</v>
      </c>
      <c r="BC80" s="5">
        <f>'Economic Variables'!I190</f>
        <v>7987.4</v>
      </c>
      <c r="BD80" s="5">
        <f>'Economic Variables'!J190</f>
        <v>7214.6</v>
      </c>
      <c r="BE80" s="5">
        <f>'Economic Variables'!K190</f>
        <v>447.7</v>
      </c>
      <c r="BF80" s="5">
        <f>'Economic Variables'!L190</f>
        <v>7389.6</v>
      </c>
      <c r="BG80" s="5">
        <f>'Economic Variables'!M190</f>
        <v>277</v>
      </c>
      <c r="BH80" s="5">
        <f>'Economic Variables'!N190</f>
        <v>1087</v>
      </c>
      <c r="BI80" s="5">
        <f t="shared" si="34"/>
        <v>15377</v>
      </c>
      <c r="BJ80" s="5">
        <f>'Economic Variables'!P190</f>
        <v>740407</v>
      </c>
      <c r="BK80" s="5">
        <f>'Economic Variables'!Q190</f>
        <v>8003</v>
      </c>
      <c r="BL80" s="5">
        <f>'Economic Variables'!R190</f>
        <v>7329</v>
      </c>
      <c r="BM80" s="5">
        <f>'Economic Variables'!S190</f>
        <v>3290</v>
      </c>
      <c r="BN80" s="5">
        <f t="shared" si="35"/>
        <v>79</v>
      </c>
      <c r="BO80" s="80">
        <f t="shared" si="36"/>
        <v>1.8976270912904414</v>
      </c>
      <c r="BP80" s="5">
        <f t="shared" si="37"/>
        <v>6241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1</v>
      </c>
      <c r="BX80">
        <v>0</v>
      </c>
      <c r="BY80">
        <v>0</v>
      </c>
      <c r="BZ80">
        <v>0</v>
      </c>
      <c r="CA80">
        <v>0</v>
      </c>
      <c r="CB80">
        <v>0</v>
      </c>
      <c r="CC80">
        <f t="shared" si="43"/>
        <v>0</v>
      </c>
      <c r="CD80">
        <f t="shared" si="43"/>
        <v>0</v>
      </c>
      <c r="CE80">
        <f t="shared" si="38"/>
        <v>0</v>
      </c>
      <c r="CF80">
        <v>31</v>
      </c>
      <c r="CG80">
        <v>21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 s="80">
        <f t="shared" si="45"/>
        <v>29.572454597207447</v>
      </c>
      <c r="CZ80" s="78">
        <f t="shared" si="46"/>
        <v>90.614485656043556</v>
      </c>
      <c r="DA80" s="5">
        <f t="shared" si="47"/>
        <v>2520.3790491948048</v>
      </c>
      <c r="DB80" s="5">
        <f t="shared" si="48"/>
        <v>64864.046601310154</v>
      </c>
      <c r="DC80" s="5">
        <f t="shared" si="49"/>
        <v>286993.98387949762</v>
      </c>
      <c r="DD80">
        <f t="shared" si="39"/>
        <v>1707.3535494545451</v>
      </c>
      <c r="DE80">
        <f t="shared" si="50"/>
        <v>43940.160600887524</v>
      </c>
      <c r="DF80">
        <f t="shared" si="51"/>
        <v>194415.27940224032</v>
      </c>
      <c r="DG80" s="19">
        <v>32743</v>
      </c>
      <c r="DH80" s="19">
        <v>3468</v>
      </c>
      <c r="DI80" s="19">
        <v>389</v>
      </c>
      <c r="DJ80" s="19">
        <v>11</v>
      </c>
      <c r="DK80" s="19">
        <v>4</v>
      </c>
    </row>
    <row r="81" spans="1:115" s="2" customFormat="1">
      <c r="A81" s="3">
        <v>43313</v>
      </c>
      <c r="B81">
        <f t="shared" si="25"/>
        <v>2018</v>
      </c>
      <c r="C81" s="2">
        <v>96168056.434907481</v>
      </c>
      <c r="D81" s="2">
        <v>29388191.259400003</v>
      </c>
      <c r="E81" s="2">
        <v>1262534.7422672648</v>
      </c>
      <c r="F81" s="2">
        <v>30650726.001667269</v>
      </c>
      <c r="G81" s="2">
        <v>32773</v>
      </c>
      <c r="H81" s="2">
        <v>9489896.2129232511</v>
      </c>
      <c r="I81" s="2">
        <v>330693.46569660964</v>
      </c>
      <c r="J81" s="2">
        <v>9820589.6786198616</v>
      </c>
      <c r="K81" s="2">
        <v>3470</v>
      </c>
      <c r="L81" s="2">
        <v>19367177.361257173</v>
      </c>
      <c r="M81" s="2">
        <f>VLOOKUP('Monthly Data'!B81,'Historic CDM'!$B$111:$J$122,4,FALSE)/12+VLOOKUP('Monthly Data'!B81,'Historic CDM'!$N$111:$V$122,4,FALSE)/12</f>
        <v>2068825.4757816314</v>
      </c>
      <c r="N81" s="2">
        <f t="shared" si="42"/>
        <v>21436002.837038804</v>
      </c>
      <c r="O81" s="2">
        <v>51934.039999999994</v>
      </c>
      <c r="P81" s="2">
        <v>391</v>
      </c>
      <c r="Q81" s="2">
        <v>11293412.451800002</v>
      </c>
      <c r="R81" s="2">
        <f>VLOOKUP('Monthly Data'!B81,'Historic CDM'!$B$111:$J$122,5,FALSE)/12+VLOOKUP('Monthly Data'!B81,'Historic CDM'!$N$111:$V$122,5,FALSE)/12</f>
        <v>107593.33442010607</v>
      </c>
      <c r="S81" s="2">
        <f t="shared" si="44"/>
        <v>11401005.786220107</v>
      </c>
      <c r="T81" s="2">
        <v>21210.17028235117</v>
      </c>
      <c r="U81" s="2">
        <v>8</v>
      </c>
      <c r="V81" s="2">
        <v>23066848.753492497</v>
      </c>
      <c r="W81" s="2">
        <f>VLOOKUP('Monthly Data'!B81,'Historic CDM'!$B$111:$J$122,9,FALSE)/12+VLOOKUP('Monthly Data'!B81,'Historic CDM'!$N$111:$V$122,9,FALSE)/12</f>
        <v>25410.387227799401</v>
      </c>
      <c r="X81" s="2">
        <f t="shared" si="41"/>
        <v>23092259.140720297</v>
      </c>
      <c r="Y81" s="2">
        <v>40567.7448</v>
      </c>
      <c r="Z81" s="2">
        <v>4</v>
      </c>
      <c r="AA81" s="2">
        <v>268152.67312158138</v>
      </c>
      <c r="AB81" s="2">
        <v>853.06569999999999</v>
      </c>
      <c r="AC81" s="2">
        <v>10076</v>
      </c>
      <c r="AD81" s="2">
        <v>41235.096067538929</v>
      </c>
      <c r="AE81" s="2">
        <v>103.28</v>
      </c>
      <c r="AF81" s="2">
        <v>384</v>
      </c>
      <c r="AG81" s="2">
        <v>185825.28215801067</v>
      </c>
      <c r="AH81" s="2">
        <v>256</v>
      </c>
      <c r="AI81">
        <f>Weather!C237</f>
        <v>7.2999999999999972</v>
      </c>
      <c r="AJ81">
        <f>Weather!D237</f>
        <v>71.599999999999994</v>
      </c>
      <c r="AK81">
        <f>Weather!E237</f>
        <v>1.3999999999999986</v>
      </c>
      <c r="AL81">
        <f>Weather!F237</f>
        <v>127.70000000000002</v>
      </c>
      <c r="AM81">
        <f>Weather!G237</f>
        <v>0</v>
      </c>
      <c r="AN81">
        <f>Weather!H237</f>
        <v>188.29999999999995</v>
      </c>
      <c r="AO81">
        <f>Weather!I237</f>
        <v>0</v>
      </c>
      <c r="AP81">
        <f>Weather!J237</f>
        <v>250.29999999999995</v>
      </c>
      <c r="AQ81">
        <f>Weather!K237</f>
        <v>0</v>
      </c>
      <c r="AR81">
        <f>Weather!L237</f>
        <v>312.3</v>
      </c>
      <c r="AS81">
        <f>Weather!M237</f>
        <v>0</v>
      </c>
      <c r="AT81">
        <f>Weather!N237</f>
        <v>374.30000000000007</v>
      </c>
      <c r="AU81">
        <f>Weather!O237</f>
        <v>0</v>
      </c>
      <c r="AV81">
        <f>Weather!P237</f>
        <v>436.30000000000007</v>
      </c>
      <c r="AW81" s="7">
        <f>Weather!Q237</f>
        <v>22.0741935483871</v>
      </c>
      <c r="AX81" s="5">
        <f>'Economic Variables'!D191</f>
        <v>7266.2</v>
      </c>
      <c r="AY81" s="5">
        <f>'Economic Variables'!E191</f>
        <v>7359.5</v>
      </c>
      <c r="AZ81" s="5">
        <f>'Economic Variables'!F191</f>
        <v>258.3</v>
      </c>
      <c r="BA81" s="5">
        <f>'Economic Variables'!G191</f>
        <v>264.60000000000002</v>
      </c>
      <c r="BB81" s="5">
        <f>'Economic Variables'!H191</f>
        <v>735936.1</v>
      </c>
      <c r="BC81" s="5">
        <f>'Economic Variables'!I191</f>
        <v>7987.4</v>
      </c>
      <c r="BD81" s="5">
        <f>'Economic Variables'!J191</f>
        <v>7214.6</v>
      </c>
      <c r="BE81" s="5">
        <f>'Economic Variables'!K191</f>
        <v>447.7</v>
      </c>
      <c r="BF81" s="5">
        <f>'Economic Variables'!L191</f>
        <v>7389.6</v>
      </c>
      <c r="BG81" s="5">
        <f>'Economic Variables'!M191</f>
        <v>277</v>
      </c>
      <c r="BH81" s="5">
        <f>'Economic Variables'!N191</f>
        <v>1087</v>
      </c>
      <c r="BI81" s="5">
        <f t="shared" si="34"/>
        <v>15377</v>
      </c>
      <c r="BJ81" s="5">
        <f>'Economic Variables'!P191</f>
        <v>740407</v>
      </c>
      <c r="BK81" s="5">
        <f>'Economic Variables'!Q191</f>
        <v>8003</v>
      </c>
      <c r="BL81" s="5">
        <f>'Economic Variables'!R191</f>
        <v>7329</v>
      </c>
      <c r="BM81" s="5">
        <f>'Economic Variables'!S191</f>
        <v>3290</v>
      </c>
      <c r="BN81" s="5">
        <f t="shared" si="35"/>
        <v>80</v>
      </c>
      <c r="BO81" s="80">
        <f t="shared" si="36"/>
        <v>1.9030899869919435</v>
      </c>
      <c r="BP81" s="5">
        <f t="shared" si="37"/>
        <v>6400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1</v>
      </c>
      <c r="BY81">
        <v>0</v>
      </c>
      <c r="BZ81">
        <v>0</v>
      </c>
      <c r="CA81">
        <v>0</v>
      </c>
      <c r="CB81">
        <v>0</v>
      </c>
      <c r="CC81">
        <f t="shared" si="43"/>
        <v>0</v>
      </c>
      <c r="CD81">
        <f t="shared" si="43"/>
        <v>0</v>
      </c>
      <c r="CE81">
        <f t="shared" si="38"/>
        <v>0</v>
      </c>
      <c r="CF81">
        <v>31</v>
      </c>
      <c r="CG81">
        <v>22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 s="80">
        <f t="shared" si="45"/>
        <v>30.169136082384171</v>
      </c>
      <c r="CZ81" s="78">
        <f t="shared" si="46"/>
        <v>91.294874766383401</v>
      </c>
      <c r="DA81" s="5">
        <f t="shared" si="47"/>
        <v>2491.978939437201</v>
      </c>
      <c r="DB81" s="5">
        <f t="shared" si="48"/>
        <v>64778.441967159699</v>
      </c>
      <c r="DC81" s="5">
        <f t="shared" si="49"/>
        <v>262412.03569000337</v>
      </c>
      <c r="DD81">
        <f t="shared" si="39"/>
        <v>1768.5011828264007</v>
      </c>
      <c r="DE81">
        <f t="shared" si="50"/>
        <v>45971.797525081078</v>
      </c>
      <c r="DF81">
        <f t="shared" si="51"/>
        <v>186227.89629613142</v>
      </c>
      <c r="DG81" s="19">
        <v>32773</v>
      </c>
      <c r="DH81" s="19">
        <v>3470</v>
      </c>
      <c r="DI81" s="19">
        <v>389</v>
      </c>
      <c r="DJ81" s="19">
        <v>11</v>
      </c>
      <c r="DK81" s="19">
        <v>4</v>
      </c>
    </row>
    <row r="82" spans="1:115" s="2" customFormat="1">
      <c r="A82" s="3">
        <v>43344</v>
      </c>
      <c r="B82">
        <f t="shared" si="25"/>
        <v>2018</v>
      </c>
      <c r="C82" s="2">
        <v>86932888.302267477</v>
      </c>
      <c r="D82" s="2">
        <v>22018217.803299997</v>
      </c>
      <c r="E82" s="2">
        <v>1262534.7422672648</v>
      </c>
      <c r="F82" s="2">
        <v>23280752.545567263</v>
      </c>
      <c r="G82" s="2">
        <v>32773</v>
      </c>
      <c r="H82" s="2">
        <v>7966074.0393941142</v>
      </c>
      <c r="I82" s="2">
        <v>330693.46569660964</v>
      </c>
      <c r="J82" s="2">
        <v>8296767.5050907237</v>
      </c>
      <c r="K82" s="2">
        <v>3470</v>
      </c>
      <c r="L82" s="2">
        <v>17016761.280533519</v>
      </c>
      <c r="M82" s="2">
        <f>VLOOKUP('Monthly Data'!B82,'Historic CDM'!$B$111:$J$122,4,FALSE)/12+VLOOKUP('Monthly Data'!B82,'Historic CDM'!$N$111:$V$122,4,FALSE)/12</f>
        <v>2068825.4757816314</v>
      </c>
      <c r="N82" s="2">
        <f t="shared" si="42"/>
        <v>19085586.756315149</v>
      </c>
      <c r="O82" s="2">
        <v>52804.132299999997</v>
      </c>
      <c r="P82" s="2">
        <v>391</v>
      </c>
      <c r="Q82" s="2">
        <v>10713490.580400001</v>
      </c>
      <c r="R82" s="2">
        <f>VLOOKUP('Monthly Data'!B82,'Historic CDM'!$B$111:$J$122,5,FALSE)/12+VLOOKUP('Monthly Data'!B82,'Historic CDM'!$N$111:$V$122,5,FALSE)/12</f>
        <v>107593.33442010607</v>
      </c>
      <c r="S82" s="2">
        <f t="shared" si="44"/>
        <v>10821083.914820107</v>
      </c>
      <c r="T82" s="2">
        <v>20608.233497888134</v>
      </c>
      <c r="U82" s="2">
        <v>8</v>
      </c>
      <c r="V82" s="2">
        <v>25738670.396092501</v>
      </c>
      <c r="W82" s="2">
        <f>VLOOKUP('Monthly Data'!B82,'Historic CDM'!$B$111:$J$122,9,FALSE)/12+VLOOKUP('Monthly Data'!B82,'Historic CDM'!$N$111:$V$122,9,FALSE)/12</f>
        <v>25410.387227799401</v>
      </c>
      <c r="X82" s="2">
        <f t="shared" si="41"/>
        <v>25764080.7833203</v>
      </c>
      <c r="Y82" s="2">
        <v>40316.128379999995</v>
      </c>
      <c r="Z82" s="2">
        <v>4</v>
      </c>
      <c r="AA82" s="2">
        <v>305786.43517896556</v>
      </c>
      <c r="AB82" s="2">
        <v>854.39070000000004</v>
      </c>
      <c r="AC82" s="2">
        <v>10076</v>
      </c>
      <c r="AD82" s="2">
        <v>38173.803507169054</v>
      </c>
      <c r="AE82" s="2">
        <v>113.47</v>
      </c>
      <c r="AF82" s="2">
        <v>384</v>
      </c>
      <c r="AG82" s="2">
        <v>171824.11140173578</v>
      </c>
      <c r="AH82" s="2">
        <v>256</v>
      </c>
      <c r="AI82">
        <f>Weather!C238</f>
        <v>96.999999999999986</v>
      </c>
      <c r="AJ82">
        <f>Weather!D238</f>
        <v>34.5</v>
      </c>
      <c r="AK82">
        <f>Weather!E238</f>
        <v>62.199999999999996</v>
      </c>
      <c r="AL82">
        <f>Weather!F238</f>
        <v>59.7</v>
      </c>
      <c r="AM82">
        <f>Weather!G238</f>
        <v>35.199999999999996</v>
      </c>
      <c r="AN82">
        <f>Weather!H238</f>
        <v>92.7</v>
      </c>
      <c r="AO82">
        <f>Weather!I238</f>
        <v>15.100000000000001</v>
      </c>
      <c r="AP82">
        <f>Weather!J238</f>
        <v>132.60000000000002</v>
      </c>
      <c r="AQ82">
        <f>Weather!K238</f>
        <v>3.9000000000000004</v>
      </c>
      <c r="AR82">
        <f>Weather!L238</f>
        <v>181.4</v>
      </c>
      <c r="AS82">
        <f>Weather!M238</f>
        <v>0</v>
      </c>
      <c r="AT82">
        <f>Weather!N238</f>
        <v>237.5</v>
      </c>
      <c r="AU82">
        <f>Weather!O238</f>
        <v>0</v>
      </c>
      <c r="AV82">
        <f>Weather!P238</f>
        <v>297.49999999999994</v>
      </c>
      <c r="AW82" s="7">
        <f>Weather!Q238</f>
        <v>17.916666666666664</v>
      </c>
      <c r="AX82" s="5">
        <f>'Economic Variables'!D192</f>
        <v>7279.6</v>
      </c>
      <c r="AY82" s="5">
        <f>'Economic Variables'!E192</f>
        <v>7324.4</v>
      </c>
      <c r="AZ82" s="5">
        <f>'Economic Variables'!F192</f>
        <v>260.60000000000002</v>
      </c>
      <c r="BA82" s="5">
        <f>'Economic Variables'!G192</f>
        <v>263.3</v>
      </c>
      <c r="BB82" s="5">
        <f>'Economic Variables'!H192</f>
        <v>735936.1</v>
      </c>
      <c r="BC82" s="5">
        <f>'Economic Variables'!I192</f>
        <v>7987.4</v>
      </c>
      <c r="BD82" s="5">
        <f>'Economic Variables'!J192</f>
        <v>7214.6</v>
      </c>
      <c r="BE82" s="5">
        <f>'Economic Variables'!K192</f>
        <v>447.7</v>
      </c>
      <c r="BF82" s="5">
        <f>'Economic Variables'!L192</f>
        <v>7389.6</v>
      </c>
      <c r="BG82" s="5">
        <f>'Economic Variables'!M192</f>
        <v>277</v>
      </c>
      <c r="BH82" s="5">
        <f>'Economic Variables'!N192</f>
        <v>1087</v>
      </c>
      <c r="BI82" s="5">
        <f t="shared" si="34"/>
        <v>15377</v>
      </c>
      <c r="BJ82" s="5">
        <f>'Economic Variables'!P192</f>
        <v>740407</v>
      </c>
      <c r="BK82" s="5">
        <f>'Economic Variables'!Q192</f>
        <v>8003</v>
      </c>
      <c r="BL82" s="5">
        <f>'Economic Variables'!R192</f>
        <v>7329</v>
      </c>
      <c r="BM82" s="5">
        <f>'Economic Variables'!S192</f>
        <v>3290</v>
      </c>
      <c r="BN82" s="5">
        <f t="shared" si="35"/>
        <v>81</v>
      </c>
      <c r="BO82" s="80">
        <f t="shared" si="36"/>
        <v>1.9084850188786497</v>
      </c>
      <c r="BP82" s="5">
        <f t="shared" si="37"/>
        <v>6561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1</v>
      </c>
      <c r="BZ82">
        <v>0</v>
      </c>
      <c r="CA82">
        <v>0</v>
      </c>
      <c r="CB82">
        <v>0</v>
      </c>
      <c r="CC82">
        <f t="shared" si="43"/>
        <v>0</v>
      </c>
      <c r="CD82">
        <f t="shared" si="43"/>
        <v>1</v>
      </c>
      <c r="CE82">
        <f t="shared" si="38"/>
        <v>1</v>
      </c>
      <c r="CF82">
        <v>30</v>
      </c>
      <c r="CG82">
        <v>19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 s="80">
        <f t="shared" si="45"/>
        <v>23.678793056852964</v>
      </c>
      <c r="CZ82" s="78">
        <f t="shared" si="46"/>
        <v>79.699976033532408</v>
      </c>
      <c r="DA82" s="5">
        <f t="shared" si="47"/>
        <v>2569.0653865008949</v>
      </c>
      <c r="DB82" s="5">
        <f t="shared" si="48"/>
        <v>71191.341544869123</v>
      </c>
      <c r="DC82" s="5">
        <f t="shared" si="49"/>
        <v>339001.06293842499</v>
      </c>
      <c r="DD82">
        <f t="shared" si="39"/>
        <v>1627.0747447839001</v>
      </c>
      <c r="DE82">
        <f t="shared" si="50"/>
        <v>45087.849645083777</v>
      </c>
      <c r="DF82">
        <f t="shared" si="51"/>
        <v>214700.67319433583</v>
      </c>
      <c r="DG82" s="19">
        <v>32773</v>
      </c>
      <c r="DH82" s="19">
        <v>3470</v>
      </c>
      <c r="DI82" s="19">
        <v>389</v>
      </c>
      <c r="DJ82" s="19">
        <v>11</v>
      </c>
      <c r="DK82" s="19">
        <v>4</v>
      </c>
    </row>
    <row r="83" spans="1:115" s="2" customFormat="1">
      <c r="A83" s="3">
        <v>43374</v>
      </c>
      <c r="B83">
        <f t="shared" si="25"/>
        <v>2018</v>
      </c>
      <c r="C83" s="2">
        <v>82550832.424062476</v>
      </c>
      <c r="D83" s="2">
        <v>18168190.9866</v>
      </c>
      <c r="E83" s="2">
        <v>1262534.7422672648</v>
      </c>
      <c r="F83" s="2">
        <v>19430725.728867266</v>
      </c>
      <c r="G83" s="2">
        <v>32783</v>
      </c>
      <c r="H83" s="2">
        <v>7492684.6563764941</v>
      </c>
      <c r="I83" s="2">
        <v>330693.46569660964</v>
      </c>
      <c r="J83" s="2">
        <v>7823378.1220731037</v>
      </c>
      <c r="K83" s="2">
        <v>3469</v>
      </c>
      <c r="L83" s="2">
        <v>16296903.291772611</v>
      </c>
      <c r="M83" s="2">
        <f>VLOOKUP('Monthly Data'!B83,'Historic CDM'!$B$111:$J$122,4,FALSE)/12+VLOOKUP('Monthly Data'!B83,'Historic CDM'!$N$111:$V$122,4,FALSE)/12</f>
        <v>2068825.4757816314</v>
      </c>
      <c r="N83" s="2">
        <f t="shared" si="42"/>
        <v>18365728.767554242</v>
      </c>
      <c r="O83" s="2">
        <v>47576.901711122613</v>
      </c>
      <c r="P83" s="2">
        <v>393</v>
      </c>
      <c r="Q83" s="2">
        <v>10357381.806</v>
      </c>
      <c r="R83" s="2">
        <f>VLOOKUP('Monthly Data'!B83,'Historic CDM'!$B$111:$J$122,5,FALSE)/12+VLOOKUP('Monthly Data'!B83,'Historic CDM'!$N$111:$V$122,5,FALSE)/12</f>
        <v>107593.33442010607</v>
      </c>
      <c r="S83" s="2">
        <f t="shared" si="44"/>
        <v>10464975.140420105</v>
      </c>
      <c r="T83" s="2">
        <v>20592.521835040465</v>
      </c>
      <c r="U83" s="2">
        <v>8</v>
      </c>
      <c r="V83" s="2">
        <v>26931468.412034996</v>
      </c>
      <c r="W83" s="2">
        <f>VLOOKUP('Monthly Data'!B83,'Historic CDM'!$B$111:$J$122,9,FALSE)/12+VLOOKUP('Monthly Data'!B83,'Historic CDM'!$N$111:$V$122,9,FALSE)/12</f>
        <v>25410.387227799401</v>
      </c>
      <c r="X83" s="2">
        <f t="shared" si="41"/>
        <v>26956878.799262796</v>
      </c>
      <c r="Y83" s="2">
        <v>41970.851338202279</v>
      </c>
      <c r="Z83" s="2">
        <v>4</v>
      </c>
      <c r="AA83" s="2">
        <v>343763.4460800307</v>
      </c>
      <c r="AB83" s="2">
        <v>853.66769999999997</v>
      </c>
      <c r="AC83" s="2">
        <v>10094</v>
      </c>
      <c r="AD83" s="2">
        <v>39216.113881896395</v>
      </c>
      <c r="AE83" s="2">
        <v>106.97499999999999</v>
      </c>
      <c r="AF83" s="2">
        <v>384</v>
      </c>
      <c r="AG83" s="2">
        <v>177185.12191188862</v>
      </c>
      <c r="AH83" s="2">
        <v>256</v>
      </c>
      <c r="AI83">
        <f>Weather!C239</f>
        <v>317.8</v>
      </c>
      <c r="AJ83">
        <f>Weather!D239</f>
        <v>7.8000000000000007</v>
      </c>
      <c r="AK83">
        <f>Weather!E239</f>
        <v>262.7</v>
      </c>
      <c r="AL83">
        <f>Weather!F239</f>
        <v>14.7</v>
      </c>
      <c r="AM83">
        <f>Weather!G239</f>
        <v>210.20000000000002</v>
      </c>
      <c r="AN83">
        <f>Weather!H239</f>
        <v>24.2</v>
      </c>
      <c r="AO83">
        <f>Weather!I239</f>
        <v>160.9</v>
      </c>
      <c r="AP83">
        <f>Weather!J239</f>
        <v>36.9</v>
      </c>
      <c r="AQ83">
        <f>Weather!K239</f>
        <v>116.60000000000001</v>
      </c>
      <c r="AR83">
        <f>Weather!L239</f>
        <v>54.6</v>
      </c>
      <c r="AS83">
        <f>Weather!M239</f>
        <v>74</v>
      </c>
      <c r="AT83">
        <f>Weather!N239</f>
        <v>74</v>
      </c>
      <c r="AU83">
        <f>Weather!O239</f>
        <v>35.4</v>
      </c>
      <c r="AV83">
        <f>Weather!P239</f>
        <v>97.4</v>
      </c>
      <c r="AW83" s="7">
        <f>Weather!Q239</f>
        <v>10.000000000000002</v>
      </c>
      <c r="AX83" s="5">
        <f>'Economic Variables'!D193</f>
        <v>7270.3</v>
      </c>
      <c r="AY83" s="5">
        <f>'Economic Variables'!E193</f>
        <v>7290.6</v>
      </c>
      <c r="AZ83" s="5">
        <f>'Economic Variables'!F193</f>
        <v>261.2</v>
      </c>
      <c r="BA83" s="5">
        <f>'Economic Variables'!G193</f>
        <v>261.8</v>
      </c>
      <c r="BB83" s="5">
        <f>'Economic Variables'!H193</f>
        <v>735936.1</v>
      </c>
      <c r="BC83" s="5">
        <f>'Economic Variables'!I193</f>
        <v>7987.4</v>
      </c>
      <c r="BD83" s="5">
        <f>'Economic Variables'!J193</f>
        <v>7214.6</v>
      </c>
      <c r="BE83" s="5">
        <f>'Economic Variables'!K193</f>
        <v>447.7</v>
      </c>
      <c r="BF83" s="5">
        <f>'Economic Variables'!L193</f>
        <v>7389.6</v>
      </c>
      <c r="BG83" s="5">
        <f>'Economic Variables'!M193</f>
        <v>277</v>
      </c>
      <c r="BH83" s="5">
        <f>'Economic Variables'!N193</f>
        <v>1087</v>
      </c>
      <c r="BI83" s="5">
        <f t="shared" si="34"/>
        <v>15377</v>
      </c>
      <c r="BJ83" s="5">
        <f>'Economic Variables'!P193</f>
        <v>745883</v>
      </c>
      <c r="BK83" s="5">
        <f>'Economic Variables'!Q193</f>
        <v>7928</v>
      </c>
      <c r="BL83" s="5">
        <f>'Economic Variables'!R193</f>
        <v>7441</v>
      </c>
      <c r="BM83" s="5">
        <f>'Economic Variables'!S193</f>
        <v>3329</v>
      </c>
      <c r="BN83" s="5">
        <f t="shared" si="35"/>
        <v>82</v>
      </c>
      <c r="BO83" s="80">
        <f t="shared" si="36"/>
        <v>1.9138138523837167</v>
      </c>
      <c r="BP83" s="5">
        <f t="shared" si="37"/>
        <v>6724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1</v>
      </c>
      <c r="CA83">
        <v>0</v>
      </c>
      <c r="CB83">
        <v>0</v>
      </c>
      <c r="CC83">
        <f t="shared" si="43"/>
        <v>0</v>
      </c>
      <c r="CD83">
        <f t="shared" si="43"/>
        <v>1</v>
      </c>
      <c r="CE83">
        <f t="shared" si="38"/>
        <v>1</v>
      </c>
      <c r="CF83">
        <v>31</v>
      </c>
      <c r="CG83">
        <v>22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 s="80">
        <f t="shared" si="45"/>
        <v>19.119592598511684</v>
      </c>
      <c r="CZ83" s="78">
        <f t="shared" si="46"/>
        <v>72.74921769844525</v>
      </c>
      <c r="DA83" s="5">
        <f t="shared" si="47"/>
        <v>2124.1879212993572</v>
      </c>
      <c r="DB83" s="5">
        <f t="shared" si="48"/>
        <v>59460.086025114237</v>
      </c>
      <c r="DC83" s="5">
        <f t="shared" si="49"/>
        <v>306328.16817344085</v>
      </c>
      <c r="DD83">
        <f t="shared" si="39"/>
        <v>1507.488202212447</v>
      </c>
      <c r="DE83">
        <f t="shared" si="50"/>
        <v>42197.480404919777</v>
      </c>
      <c r="DF83">
        <f t="shared" si="51"/>
        <v>217394.18386502255</v>
      </c>
      <c r="DG83" s="19">
        <v>32783</v>
      </c>
      <c r="DH83" s="19">
        <v>3469</v>
      </c>
      <c r="DI83" s="19">
        <v>391</v>
      </c>
      <c r="DJ83" s="19">
        <v>11</v>
      </c>
      <c r="DK83" s="19">
        <v>4</v>
      </c>
    </row>
    <row r="84" spans="1:115" s="2" customFormat="1">
      <c r="A84" s="3">
        <v>43405</v>
      </c>
      <c r="B84">
        <f t="shared" si="25"/>
        <v>2018</v>
      </c>
      <c r="C84" s="2">
        <v>83736237.186594993</v>
      </c>
      <c r="D84" s="2">
        <v>19411809.1107</v>
      </c>
      <c r="E84" s="2">
        <v>1262534.7422672648</v>
      </c>
      <c r="F84" s="2">
        <v>20674343.852967266</v>
      </c>
      <c r="G84" s="2">
        <v>32811</v>
      </c>
      <c r="H84" s="2">
        <v>8234740.3614856489</v>
      </c>
      <c r="I84" s="2">
        <v>330693.46569660964</v>
      </c>
      <c r="J84" s="2">
        <v>8565433.8271822594</v>
      </c>
      <c r="K84" s="2">
        <v>3470</v>
      </c>
      <c r="L84" s="2">
        <v>16891923.078268014</v>
      </c>
      <c r="M84" s="2">
        <f>VLOOKUP('Monthly Data'!B84,'Historic CDM'!$B$111:$J$122,4,FALSE)/12+VLOOKUP('Monthly Data'!B84,'Historic CDM'!$N$111:$V$122,4,FALSE)/12</f>
        <v>2068825.4757816314</v>
      </c>
      <c r="N84" s="2">
        <f t="shared" si="42"/>
        <v>18960748.554049645</v>
      </c>
      <c r="O84" s="2">
        <v>50006.844499999992</v>
      </c>
      <c r="P84" s="2">
        <v>393</v>
      </c>
      <c r="Q84" s="2">
        <v>10361089.312000001</v>
      </c>
      <c r="R84" s="2">
        <f>VLOOKUP('Monthly Data'!B84,'Historic CDM'!$B$111:$J$122,5,FALSE)/12+VLOOKUP('Monthly Data'!B84,'Historic CDM'!$N$111:$V$122,5,FALSE)/12</f>
        <v>107593.33442010607</v>
      </c>
      <c r="S84" s="2">
        <f t="shared" si="44"/>
        <v>10468682.646420106</v>
      </c>
      <c r="T84" s="2">
        <v>19580.011553723612</v>
      </c>
      <c r="U84" s="2">
        <v>8</v>
      </c>
      <c r="V84" s="2">
        <v>25455812.196622498</v>
      </c>
      <c r="W84" s="2">
        <f>VLOOKUP('Monthly Data'!B84,'Historic CDM'!$B$111:$J$122,9,FALSE)/12+VLOOKUP('Monthly Data'!B84,'Historic CDM'!$N$111:$V$122,9,FALSE)/12</f>
        <v>25410.387227799401</v>
      </c>
      <c r="X84" s="2">
        <f t="shared" si="41"/>
        <v>25481222.583850298</v>
      </c>
      <c r="Y84" s="2">
        <v>42051.979529999997</v>
      </c>
      <c r="Z84" s="2">
        <v>4</v>
      </c>
      <c r="AA84" s="2">
        <v>354343.80875155836</v>
      </c>
      <c r="AB84" s="2">
        <v>827.71270000000004</v>
      </c>
      <c r="AC84" s="2">
        <v>10095</v>
      </c>
      <c r="AD84" s="2">
        <v>38675.994191419712</v>
      </c>
      <c r="AE84" s="2">
        <v>62.262</v>
      </c>
      <c r="AF84" s="2">
        <v>383</v>
      </c>
      <c r="AG84" s="2">
        <v>175613.27596037165</v>
      </c>
      <c r="AH84" s="2">
        <v>256</v>
      </c>
      <c r="AI84">
        <f>Weather!C240</f>
        <v>553.50000000000011</v>
      </c>
      <c r="AJ84">
        <f>Weather!D240</f>
        <v>0</v>
      </c>
      <c r="AK84">
        <f>Weather!E240</f>
        <v>493.50000000000006</v>
      </c>
      <c r="AL84">
        <f>Weather!F240</f>
        <v>0</v>
      </c>
      <c r="AM84">
        <f>Weather!G240</f>
        <v>433.50000000000006</v>
      </c>
      <c r="AN84">
        <f>Weather!H240</f>
        <v>0</v>
      </c>
      <c r="AO84">
        <f>Weather!I240</f>
        <v>373.50000000000011</v>
      </c>
      <c r="AP84">
        <f>Weather!J240</f>
        <v>0</v>
      </c>
      <c r="AQ84">
        <f>Weather!K240</f>
        <v>313.5</v>
      </c>
      <c r="AR84">
        <f>Weather!L240</f>
        <v>0</v>
      </c>
      <c r="AS84">
        <f>Weather!M240</f>
        <v>254.49999999999997</v>
      </c>
      <c r="AT84">
        <f>Weather!N240</f>
        <v>1</v>
      </c>
      <c r="AU84">
        <f>Weather!O240</f>
        <v>198.5</v>
      </c>
      <c r="AV84">
        <f>Weather!P240</f>
        <v>5</v>
      </c>
      <c r="AW84" s="7">
        <f>Weather!Q240</f>
        <v>1.55</v>
      </c>
      <c r="AX84" s="5">
        <f>'Economic Variables'!D194</f>
        <v>7290</v>
      </c>
      <c r="AY84" s="5">
        <f>'Economic Variables'!E194</f>
        <v>7288.9</v>
      </c>
      <c r="AZ84" s="5">
        <f>'Economic Variables'!F194</f>
        <v>259.3</v>
      </c>
      <c r="BA84" s="5">
        <f>'Economic Variables'!G194</f>
        <v>257</v>
      </c>
      <c r="BB84" s="5">
        <f>'Economic Variables'!H194</f>
        <v>735936.1</v>
      </c>
      <c r="BC84" s="5">
        <f>'Economic Variables'!I194</f>
        <v>7987.4</v>
      </c>
      <c r="BD84" s="5">
        <f>'Economic Variables'!J194</f>
        <v>7214.6</v>
      </c>
      <c r="BE84" s="5">
        <f>'Economic Variables'!K194</f>
        <v>447.7</v>
      </c>
      <c r="BF84" s="5">
        <f>'Economic Variables'!L194</f>
        <v>7389.6</v>
      </c>
      <c r="BG84" s="5">
        <f>'Economic Variables'!M194</f>
        <v>277</v>
      </c>
      <c r="BH84" s="5">
        <f>'Economic Variables'!N194</f>
        <v>1087</v>
      </c>
      <c r="BI84" s="5">
        <f t="shared" si="34"/>
        <v>15377</v>
      </c>
      <c r="BJ84" s="5">
        <f>'Economic Variables'!P194</f>
        <v>745883</v>
      </c>
      <c r="BK84" s="5">
        <f>'Economic Variables'!Q194</f>
        <v>7928</v>
      </c>
      <c r="BL84" s="5">
        <f>'Economic Variables'!R194</f>
        <v>7441</v>
      </c>
      <c r="BM84" s="5">
        <f>'Economic Variables'!S194</f>
        <v>3329</v>
      </c>
      <c r="BN84" s="5">
        <f t="shared" si="35"/>
        <v>83</v>
      </c>
      <c r="BO84" s="80">
        <f t="shared" si="36"/>
        <v>1.919078092376074</v>
      </c>
      <c r="BP84" s="5">
        <f t="shared" si="37"/>
        <v>6889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1</v>
      </c>
      <c r="CB84">
        <v>0</v>
      </c>
      <c r="CC84">
        <f t="shared" si="43"/>
        <v>0</v>
      </c>
      <c r="CD84">
        <f t="shared" si="43"/>
        <v>0</v>
      </c>
      <c r="CE84">
        <f t="shared" si="38"/>
        <v>0</v>
      </c>
      <c r="CF84">
        <v>30</v>
      </c>
      <c r="CG84">
        <v>22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 s="80">
        <f t="shared" si="45"/>
        <v>21.003468199655874</v>
      </c>
      <c r="CZ84" s="78">
        <f t="shared" si="46"/>
        <v>82.280824468609595</v>
      </c>
      <c r="DA84" s="5">
        <f t="shared" si="47"/>
        <v>2193.0081603110852</v>
      </c>
      <c r="DB84" s="5">
        <f t="shared" si="48"/>
        <v>59481.151400114242</v>
      </c>
      <c r="DC84" s="5">
        <f t="shared" si="49"/>
        <v>289559.34754375339</v>
      </c>
      <c r="DD84">
        <f t="shared" si="39"/>
        <v>1608.2059842281292</v>
      </c>
      <c r="DE84">
        <f t="shared" si="50"/>
        <v>43619.511026750442</v>
      </c>
      <c r="DF84">
        <f t="shared" si="51"/>
        <v>212343.52153208581</v>
      </c>
      <c r="DG84" s="19">
        <v>32811</v>
      </c>
      <c r="DH84" s="19">
        <v>3470</v>
      </c>
      <c r="DI84" s="19">
        <v>391</v>
      </c>
      <c r="DJ84" s="19">
        <v>11</v>
      </c>
      <c r="DK84" s="19">
        <v>4</v>
      </c>
    </row>
    <row r="85" spans="1:115" s="2" customFormat="1">
      <c r="A85" s="3">
        <v>43435</v>
      </c>
      <c r="B85">
        <f t="shared" si="25"/>
        <v>2018</v>
      </c>
      <c r="C85" s="2">
        <v>87382544.223777488</v>
      </c>
      <c r="D85" s="2">
        <v>21887971</v>
      </c>
      <c r="E85" s="2">
        <v>1262534.7422672648</v>
      </c>
      <c r="F85" s="2">
        <v>23150505.742267266</v>
      </c>
      <c r="G85" s="2">
        <v>32822</v>
      </c>
      <c r="H85" s="2">
        <v>8498061</v>
      </c>
      <c r="I85" s="2">
        <v>330693.46569660964</v>
      </c>
      <c r="J85" s="2">
        <v>8828754.4656966105</v>
      </c>
      <c r="K85" s="2">
        <v>3468</v>
      </c>
      <c r="L85" s="2">
        <v>16304896</v>
      </c>
      <c r="M85" s="2">
        <f>VLOOKUP('Monthly Data'!B85,'Historic CDM'!$B$111:$J$122,4,FALSE)/12+VLOOKUP('Monthly Data'!B85,'Historic CDM'!$N$111:$V$122,4,FALSE)/12</f>
        <v>2068825.4757816314</v>
      </c>
      <c r="N85" s="2">
        <f t="shared" si="42"/>
        <v>18373721.475781631</v>
      </c>
      <c r="O85" s="2">
        <v>49076.24</v>
      </c>
      <c r="P85" s="2">
        <v>393</v>
      </c>
      <c r="Q85" s="2">
        <v>9810466.5215000007</v>
      </c>
      <c r="R85" s="2">
        <f>VLOOKUP('Monthly Data'!B85,'Historic CDM'!$B$111:$J$122,5,FALSE)/12+VLOOKUP('Monthly Data'!B85,'Historic CDM'!$N$111:$V$122,5,FALSE)/12</f>
        <v>107593.33442010607</v>
      </c>
      <c r="S85" s="2">
        <f t="shared" si="44"/>
        <v>9918059.8559201062</v>
      </c>
      <c r="T85" s="2">
        <v>19181.2088</v>
      </c>
      <c r="U85" s="2">
        <v>8</v>
      </c>
      <c r="V85" s="2">
        <v>26542975</v>
      </c>
      <c r="W85" s="2">
        <f>VLOOKUP('Monthly Data'!B85,'Historic CDM'!$B$111:$J$122,9,FALSE)/12+VLOOKUP('Monthly Data'!B85,'Historic CDM'!$N$111:$V$122,9,FALSE)/12</f>
        <v>25410.387227799401</v>
      </c>
      <c r="X85" s="2">
        <f t="shared" si="41"/>
        <v>26568385.3872278</v>
      </c>
      <c r="Y85" s="2">
        <v>42806</v>
      </c>
      <c r="Z85" s="2">
        <v>4</v>
      </c>
      <c r="AA85" s="2">
        <v>373517</v>
      </c>
      <c r="AB85" s="2">
        <v>804</v>
      </c>
      <c r="AC85" s="2">
        <v>10095</v>
      </c>
      <c r="AD85" s="2">
        <v>23620</v>
      </c>
      <c r="AE85" s="2">
        <v>154</v>
      </c>
      <c r="AF85" s="2">
        <v>383</v>
      </c>
      <c r="AG85" s="2">
        <v>119077</v>
      </c>
      <c r="AH85" s="2">
        <v>256</v>
      </c>
      <c r="AI85">
        <f>Weather!C241</f>
        <v>606.19999999999993</v>
      </c>
      <c r="AJ85">
        <f>Weather!D241</f>
        <v>0</v>
      </c>
      <c r="AK85">
        <f>Weather!E241</f>
        <v>544.19999999999993</v>
      </c>
      <c r="AL85">
        <f>Weather!F241</f>
        <v>0</v>
      </c>
      <c r="AM85">
        <f>Weather!G241</f>
        <v>482.19999999999987</v>
      </c>
      <c r="AN85">
        <f>Weather!H241</f>
        <v>0</v>
      </c>
      <c r="AO85">
        <f>Weather!I241</f>
        <v>420.19999999999987</v>
      </c>
      <c r="AP85">
        <f>Weather!J241</f>
        <v>0</v>
      </c>
      <c r="AQ85">
        <f>Weather!K241</f>
        <v>358.19999999999993</v>
      </c>
      <c r="AR85">
        <f>Weather!L241</f>
        <v>0</v>
      </c>
      <c r="AS85">
        <f>Weather!M241</f>
        <v>296.2</v>
      </c>
      <c r="AT85">
        <f>Weather!N241</f>
        <v>0</v>
      </c>
      <c r="AU85">
        <f>Weather!O241</f>
        <v>235.70000000000002</v>
      </c>
      <c r="AV85">
        <f>Weather!P241</f>
        <v>1.5</v>
      </c>
      <c r="AW85" s="7">
        <f>Weather!Q241</f>
        <v>0.44516129032258073</v>
      </c>
      <c r="AX85" s="5">
        <f>'Economic Variables'!D195</f>
        <v>7300.1</v>
      </c>
      <c r="AY85" s="5">
        <f>'Economic Variables'!E195</f>
        <v>7310.7</v>
      </c>
      <c r="AZ85" s="5">
        <f>'Economic Variables'!F195</f>
        <v>258.60000000000002</v>
      </c>
      <c r="BA85" s="5">
        <f>'Economic Variables'!G195</f>
        <v>255.8</v>
      </c>
      <c r="BB85" s="5">
        <f>'Economic Variables'!H195</f>
        <v>735936.1</v>
      </c>
      <c r="BC85" s="5">
        <f>'Economic Variables'!I195</f>
        <v>7987.4</v>
      </c>
      <c r="BD85" s="5">
        <f>'Economic Variables'!J195</f>
        <v>7214.6</v>
      </c>
      <c r="BE85" s="5">
        <f>'Economic Variables'!K195</f>
        <v>447.7</v>
      </c>
      <c r="BF85" s="5">
        <f>'Economic Variables'!L195</f>
        <v>7389.6</v>
      </c>
      <c r="BG85" s="5">
        <f>'Economic Variables'!M195</f>
        <v>277</v>
      </c>
      <c r="BH85" s="5">
        <f>'Economic Variables'!N195</f>
        <v>1087</v>
      </c>
      <c r="BI85" s="5">
        <f t="shared" si="34"/>
        <v>15377</v>
      </c>
      <c r="BJ85" s="5">
        <f>'Economic Variables'!P195</f>
        <v>745883</v>
      </c>
      <c r="BK85" s="5">
        <f>'Economic Variables'!Q195</f>
        <v>7928</v>
      </c>
      <c r="BL85" s="5">
        <f>'Economic Variables'!R195</f>
        <v>7441</v>
      </c>
      <c r="BM85" s="5">
        <f>'Economic Variables'!S195</f>
        <v>3329</v>
      </c>
      <c r="BN85" s="5">
        <f t="shared" si="35"/>
        <v>84</v>
      </c>
      <c r="BO85" s="80">
        <f t="shared" si="36"/>
        <v>1.9242792860618816</v>
      </c>
      <c r="BP85" s="5">
        <f t="shared" si="37"/>
        <v>7056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1</v>
      </c>
      <c r="CC85">
        <f t="shared" si="43"/>
        <v>0</v>
      </c>
      <c r="CD85">
        <f t="shared" si="43"/>
        <v>0</v>
      </c>
      <c r="CE85">
        <f t="shared" si="38"/>
        <v>0</v>
      </c>
      <c r="CF85">
        <v>31</v>
      </c>
      <c r="CG85">
        <v>19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 s="80">
        <f t="shared" si="45"/>
        <v>22.752742301354978</v>
      </c>
      <c r="CZ85" s="78">
        <f t="shared" si="46"/>
        <v>82.121837125577727</v>
      </c>
      <c r="DA85" s="5">
        <f t="shared" si="47"/>
        <v>2460.656418344935</v>
      </c>
      <c r="DB85" s="5">
        <f t="shared" si="48"/>
        <v>65250.393788948066</v>
      </c>
      <c r="DC85" s="5">
        <f t="shared" si="49"/>
        <v>349584.01825299737</v>
      </c>
      <c r="DD85">
        <f t="shared" si="39"/>
        <v>1508.1442564049603</v>
      </c>
      <c r="DE85">
        <f t="shared" si="50"/>
        <v>39992.176838387524</v>
      </c>
      <c r="DF85">
        <f t="shared" si="51"/>
        <v>214261.17247764356</v>
      </c>
      <c r="DG85" s="19">
        <v>32822</v>
      </c>
      <c r="DH85" s="19">
        <v>3468</v>
      </c>
      <c r="DI85" s="19">
        <v>391</v>
      </c>
      <c r="DJ85" s="19">
        <v>11</v>
      </c>
      <c r="DK85" s="19">
        <v>4</v>
      </c>
    </row>
    <row r="86" spans="1:115">
      <c r="A86" s="3">
        <v>43466</v>
      </c>
      <c r="B86">
        <f t="shared" ref="B86:B97" si="52">YEAR(A86)</f>
        <v>2019</v>
      </c>
      <c r="C86" s="2">
        <v>91892115.624999985</v>
      </c>
      <c r="D86" s="2">
        <v>22935301</v>
      </c>
      <c r="E86" s="2">
        <v>1335448.6224788334</v>
      </c>
      <c r="F86" s="2">
        <v>24270749.622478835</v>
      </c>
      <c r="G86" s="2">
        <v>32833</v>
      </c>
      <c r="H86" s="2">
        <v>9241622</v>
      </c>
      <c r="I86" s="2">
        <v>363888.13816237455</v>
      </c>
      <c r="J86" s="2">
        <v>9605510.1381623745</v>
      </c>
      <c r="K86" s="2">
        <v>3457</v>
      </c>
      <c r="L86" s="2">
        <v>18957376.379999999</v>
      </c>
      <c r="M86" s="2">
        <f>VLOOKUP('Monthly Data'!B86,'Historic CDM'!$B$111:$J$122,4,FALSE)/12+VLOOKUP('Monthly Data'!B86,'Historic CDM'!$N$111:$V$122,4,FALSE)/12</f>
        <v>2431133.3526467136</v>
      </c>
      <c r="N86" s="2">
        <f t="shared" si="42"/>
        <v>21388509.732646711</v>
      </c>
      <c r="O86" s="2">
        <v>46773.279999999999</v>
      </c>
      <c r="P86" s="2">
        <v>393</v>
      </c>
      <c r="Q86" s="2">
        <v>10398913.554299999</v>
      </c>
      <c r="R86" s="2">
        <f>VLOOKUP('Monthly Data'!B86,'Historic CDM'!$B$111:$J$122,5,FALSE)/12+VLOOKUP('Monthly Data'!B86,'Historic CDM'!$N$111:$V$122,5,FALSE)/12</f>
        <v>181636.09214123851</v>
      </c>
      <c r="S86" s="2">
        <f t="shared" si="44"/>
        <v>10580549.646441238</v>
      </c>
      <c r="T86" s="2">
        <v>18866.466799999998</v>
      </c>
      <c r="U86" s="2">
        <v>8</v>
      </c>
      <c r="V86" s="2">
        <v>27037120</v>
      </c>
      <c r="W86" s="2">
        <f>VLOOKUP('Monthly Data'!B86,'Historic CDM'!$B$111:$J$122,9,FALSE)/12+VLOOKUP('Monthly Data'!B86,'Historic CDM'!$N$111:$V$122,9,FALSE)/12</f>
        <v>58579.423947454619</v>
      </c>
      <c r="X86" s="2">
        <f t="shared" si="41"/>
        <v>27095699.423947453</v>
      </c>
      <c r="Y86" s="2">
        <v>42688</v>
      </c>
      <c r="Z86" s="2">
        <v>4</v>
      </c>
      <c r="AA86" s="2">
        <v>362412</v>
      </c>
      <c r="AB86" s="2">
        <v>804</v>
      </c>
      <c r="AC86" s="2">
        <v>10095</v>
      </c>
      <c r="AD86" s="2">
        <v>40676</v>
      </c>
      <c r="AE86" s="2">
        <v>108</v>
      </c>
      <c r="AF86" s="2">
        <v>383</v>
      </c>
      <c r="AG86" s="2">
        <v>191502</v>
      </c>
      <c r="AH86" s="2">
        <v>256</v>
      </c>
      <c r="AI86">
        <f>Weather!C242</f>
        <v>780.8</v>
      </c>
      <c r="AJ86">
        <f>Weather!D242</f>
        <v>0</v>
      </c>
      <c r="AK86">
        <f>Weather!E242</f>
        <v>718.8</v>
      </c>
      <c r="AL86">
        <f>Weather!F242</f>
        <v>0</v>
      </c>
      <c r="AM86">
        <f>Weather!G242</f>
        <v>656.80000000000007</v>
      </c>
      <c r="AN86">
        <f>Weather!H242</f>
        <v>0</v>
      </c>
      <c r="AO86">
        <f>Weather!I242</f>
        <v>594.79999999999995</v>
      </c>
      <c r="AP86">
        <f>Weather!J242</f>
        <v>0</v>
      </c>
      <c r="AQ86">
        <f>Weather!K242</f>
        <v>532.79999999999995</v>
      </c>
      <c r="AR86">
        <f>Weather!L242</f>
        <v>0</v>
      </c>
      <c r="AS86">
        <f>Weather!M242</f>
        <v>470.79999999999995</v>
      </c>
      <c r="AT86">
        <f>Weather!N242</f>
        <v>0</v>
      </c>
      <c r="AU86">
        <f>Weather!O242</f>
        <v>408.8</v>
      </c>
      <c r="AV86">
        <f>Weather!P242</f>
        <v>0</v>
      </c>
      <c r="AW86" s="7">
        <f>Weather!Q242</f>
        <v>-5.1870967741935488</v>
      </c>
      <c r="AX86" s="5">
        <f>'Economic Variables'!D196</f>
        <v>7318</v>
      </c>
      <c r="AY86" s="5">
        <f>'Economic Variables'!E196</f>
        <v>7289.4</v>
      </c>
      <c r="AZ86" s="5">
        <f>'Economic Variables'!F196</f>
        <v>258.39999999999998</v>
      </c>
      <c r="BA86" s="5">
        <f>'Economic Variables'!G196</f>
        <v>254.9</v>
      </c>
      <c r="BB86" s="79">
        <f>'Economic Variables'!H196</f>
        <v>752393.2</v>
      </c>
      <c r="BC86" s="5">
        <f>'Economic Variables'!I196</f>
        <v>8330.9</v>
      </c>
      <c r="BD86" s="5">
        <f>'Economic Variables'!J196</f>
        <v>7605</v>
      </c>
      <c r="BE86" s="5">
        <f>'Economic Variables'!K196</f>
        <v>443.8</v>
      </c>
      <c r="BF86" s="5">
        <f>'Economic Variables'!L196</f>
        <v>7208.6</v>
      </c>
      <c r="BG86" s="5">
        <f>'Economic Variables'!M196</f>
        <v>274.8</v>
      </c>
      <c r="BH86" s="5">
        <f>'Economic Variables'!N196</f>
        <v>1005.5</v>
      </c>
      <c r="BI86" s="5">
        <f t="shared" si="34"/>
        <v>15539.5</v>
      </c>
      <c r="BJ86" s="5">
        <f>'Economic Variables'!P196</f>
        <v>746653</v>
      </c>
      <c r="BK86" s="5">
        <f>'Economic Variables'!Q196</f>
        <v>8035</v>
      </c>
      <c r="BL86" s="5">
        <f>'Economic Variables'!R196</f>
        <v>7111</v>
      </c>
      <c r="BM86" s="5">
        <f>'Economic Variables'!S196</f>
        <v>3296</v>
      </c>
      <c r="BN86" s="5">
        <f t="shared" si="35"/>
        <v>85</v>
      </c>
      <c r="BO86" s="80">
        <f t="shared" si="36"/>
        <v>1.9294189257142926</v>
      </c>
      <c r="BP86" s="5">
        <f t="shared" si="37"/>
        <v>7225</v>
      </c>
      <c r="BQ86">
        <v>1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f t="shared" si="43"/>
        <v>0</v>
      </c>
      <c r="CD86">
        <f t="shared" si="43"/>
        <v>0</v>
      </c>
      <c r="CE86">
        <f t="shared" si="38"/>
        <v>0</v>
      </c>
      <c r="CF86">
        <f>CF38</f>
        <v>31</v>
      </c>
      <c r="CG86">
        <v>22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 s="80">
        <f t="shared" si="45"/>
        <v>23.845746875909501</v>
      </c>
      <c r="CZ86" s="78">
        <f t="shared" si="46"/>
        <v>89.631231052118409</v>
      </c>
      <c r="DA86" s="5">
        <f t="shared" si="47"/>
        <v>2473.8040403246255</v>
      </c>
      <c r="DB86" s="5">
        <f t="shared" si="48"/>
        <v>60116.759354779759</v>
      </c>
      <c r="DC86" s="5">
        <f t="shared" si="49"/>
        <v>307905.67527213017</v>
      </c>
      <c r="DD86">
        <f t="shared" si="39"/>
        <v>1755.6028673271535</v>
      </c>
      <c r="DE86">
        <f t="shared" si="50"/>
        <v>42663.506638875959</v>
      </c>
      <c r="DF86">
        <f t="shared" si="51"/>
        <v>218513.70503183431</v>
      </c>
      <c r="DG86" s="19">
        <v>32833</v>
      </c>
      <c r="DH86" s="19">
        <v>3457</v>
      </c>
      <c r="DI86" s="19">
        <v>391</v>
      </c>
      <c r="DJ86" s="19">
        <v>11</v>
      </c>
      <c r="DK86" s="19">
        <v>4</v>
      </c>
    </row>
    <row r="87" spans="1:115">
      <c r="A87" s="3">
        <v>43497</v>
      </c>
      <c r="B87">
        <f t="shared" si="52"/>
        <v>2019</v>
      </c>
      <c r="C87" s="2">
        <v>80517302.719999999</v>
      </c>
      <c r="D87" s="2">
        <v>20364945</v>
      </c>
      <c r="E87" s="2">
        <v>1335448.6224788334</v>
      </c>
      <c r="F87" s="2">
        <v>21700393.622478835</v>
      </c>
      <c r="G87" s="2">
        <v>32842</v>
      </c>
      <c r="H87" s="2">
        <v>8677037</v>
      </c>
      <c r="I87" s="2">
        <v>363888.13816237455</v>
      </c>
      <c r="J87" s="2">
        <v>9040925.1381623745</v>
      </c>
      <c r="K87" s="2">
        <v>3465</v>
      </c>
      <c r="L87" s="2">
        <v>17257920.899999999</v>
      </c>
      <c r="M87" s="2">
        <f>VLOOKUP('Monthly Data'!B87,'Historic CDM'!$B$111:$J$122,4,FALSE)/12+VLOOKUP('Monthly Data'!B87,'Historic CDM'!$N$111:$V$122,4,FALSE)/12</f>
        <v>2431133.3526467136</v>
      </c>
      <c r="N87" s="2">
        <f t="shared" si="42"/>
        <v>19689054.252646711</v>
      </c>
      <c r="O87" s="2">
        <v>46011.360000000001</v>
      </c>
      <c r="P87" s="2">
        <v>388</v>
      </c>
      <c r="Q87" s="2">
        <v>8906261.2630000003</v>
      </c>
      <c r="R87" s="2">
        <f>VLOOKUP('Monthly Data'!B87,'Historic CDM'!$B$111:$J$122,5,FALSE)/12+VLOOKUP('Monthly Data'!B87,'Historic CDM'!$N$111:$V$122,5,FALSE)/12</f>
        <v>181636.09214123851</v>
      </c>
      <c r="S87" s="2">
        <f t="shared" si="44"/>
        <v>9087897.3551412392</v>
      </c>
      <c r="T87" s="2">
        <v>18333.158800000001</v>
      </c>
      <c r="U87" s="2">
        <v>8</v>
      </c>
      <c r="V87" s="2">
        <v>23307732</v>
      </c>
      <c r="W87" s="2">
        <f>VLOOKUP('Monthly Data'!B87,'Historic CDM'!$B$111:$J$122,9,FALSE)/12+VLOOKUP('Monthly Data'!B87,'Historic CDM'!$N$111:$V$122,9,FALSE)/12</f>
        <v>58579.423947454619</v>
      </c>
      <c r="X87" s="2">
        <f t="shared" si="41"/>
        <v>23366311.423947453</v>
      </c>
      <c r="Y87" s="2">
        <v>41168</v>
      </c>
      <c r="Z87" s="2">
        <v>4</v>
      </c>
      <c r="AA87" s="2">
        <v>302877</v>
      </c>
      <c r="AB87" s="2">
        <v>803</v>
      </c>
      <c r="AC87" s="2">
        <v>10095</v>
      </c>
      <c r="AD87" s="2">
        <v>36730</v>
      </c>
      <c r="AE87" s="2">
        <v>108</v>
      </c>
      <c r="AF87" s="2">
        <v>382</v>
      </c>
      <c r="AG87" s="2">
        <v>170923</v>
      </c>
      <c r="AH87" s="2">
        <v>256</v>
      </c>
      <c r="AI87">
        <f>Weather!C243</f>
        <v>660.5</v>
      </c>
      <c r="AJ87">
        <f>Weather!D243</f>
        <v>0</v>
      </c>
      <c r="AK87">
        <f>Weather!E243</f>
        <v>604.5</v>
      </c>
      <c r="AL87">
        <f>Weather!F243</f>
        <v>0</v>
      </c>
      <c r="AM87">
        <f>Weather!G243</f>
        <v>548.5</v>
      </c>
      <c r="AN87">
        <f>Weather!H243</f>
        <v>0</v>
      </c>
      <c r="AO87">
        <f>Weather!I243</f>
        <v>492.5</v>
      </c>
      <c r="AP87">
        <f>Weather!J243</f>
        <v>0</v>
      </c>
      <c r="AQ87">
        <f>Weather!K243</f>
        <v>436.5</v>
      </c>
      <c r="AR87">
        <f>Weather!L243</f>
        <v>0</v>
      </c>
      <c r="AS87">
        <f>Weather!M243</f>
        <v>380.5</v>
      </c>
      <c r="AT87">
        <f>Weather!N243</f>
        <v>0</v>
      </c>
      <c r="AU87">
        <f>Weather!O243</f>
        <v>324.5</v>
      </c>
      <c r="AV87">
        <f>Weather!P243</f>
        <v>0</v>
      </c>
      <c r="AW87" s="7">
        <f>Weather!Q243</f>
        <v>-3.5892857142857149</v>
      </c>
      <c r="AX87" s="5">
        <f>'Economic Variables'!D197</f>
        <v>7345.4</v>
      </c>
      <c r="AY87" s="5">
        <f>'Economic Variables'!E197</f>
        <v>7278.4</v>
      </c>
      <c r="AZ87" s="5">
        <f>'Economic Variables'!F197</f>
        <v>257.39999999999998</v>
      </c>
      <c r="BA87" s="5">
        <f>'Economic Variables'!G197</f>
        <v>254.6</v>
      </c>
      <c r="BB87" s="79">
        <f>'Economic Variables'!H197</f>
        <v>752393.2</v>
      </c>
      <c r="BC87" s="5">
        <f>'Economic Variables'!I197</f>
        <v>8330.9</v>
      </c>
      <c r="BD87" s="5">
        <f>'Economic Variables'!J197</f>
        <v>7605</v>
      </c>
      <c r="BE87" s="5">
        <f>'Economic Variables'!K197</f>
        <v>443.8</v>
      </c>
      <c r="BF87" s="5">
        <f>'Economic Variables'!L197</f>
        <v>7208.6</v>
      </c>
      <c r="BG87" s="5">
        <f>'Economic Variables'!M197</f>
        <v>274.8</v>
      </c>
      <c r="BH87" s="5">
        <f>'Economic Variables'!N197</f>
        <v>1005.5</v>
      </c>
      <c r="BI87" s="5">
        <f t="shared" si="34"/>
        <v>15539.5</v>
      </c>
      <c r="BJ87" s="5">
        <f>'Economic Variables'!P197</f>
        <v>746653</v>
      </c>
      <c r="BK87" s="5">
        <f>'Economic Variables'!Q197</f>
        <v>8035</v>
      </c>
      <c r="BL87" s="5">
        <f>'Economic Variables'!R197</f>
        <v>7111</v>
      </c>
      <c r="BM87" s="5">
        <f>'Economic Variables'!S197</f>
        <v>3296</v>
      </c>
      <c r="BN87" s="5">
        <f t="shared" si="35"/>
        <v>86</v>
      </c>
      <c r="BO87" s="80">
        <f t="shared" si="36"/>
        <v>1.9344984512435677</v>
      </c>
      <c r="BP87" s="5">
        <f t="shared" si="37"/>
        <v>7396</v>
      </c>
      <c r="BQ87">
        <v>0</v>
      </c>
      <c r="BR87">
        <v>1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f t="shared" si="43"/>
        <v>0</v>
      </c>
      <c r="CD87">
        <f t="shared" si="43"/>
        <v>0</v>
      </c>
      <c r="CE87">
        <f t="shared" si="38"/>
        <v>0</v>
      </c>
      <c r="CF87">
        <f t="shared" ref="CF87:CF133" si="53">CF39</f>
        <v>28</v>
      </c>
      <c r="CG87">
        <v>19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 s="80">
        <f t="shared" si="45"/>
        <v>23.59826009212815</v>
      </c>
      <c r="CZ87" s="78">
        <f t="shared" si="46"/>
        <v>93.186200145973771</v>
      </c>
      <c r="DA87" s="5">
        <f t="shared" si="47"/>
        <v>2670.7886940649364</v>
      </c>
      <c r="DB87" s="5">
        <f t="shared" si="48"/>
        <v>59788.798389087104</v>
      </c>
      <c r="DC87" s="5">
        <f t="shared" si="49"/>
        <v>307451.46610457177</v>
      </c>
      <c r="DD87">
        <f t="shared" si="39"/>
        <v>1812.3208995440639</v>
      </c>
      <c r="DE87">
        <f t="shared" si="50"/>
        <v>40570.970335451959</v>
      </c>
      <c r="DF87">
        <f t="shared" si="51"/>
        <v>208627.78057095941</v>
      </c>
      <c r="DG87" s="19">
        <v>32842</v>
      </c>
      <c r="DH87" s="19">
        <v>3465</v>
      </c>
      <c r="DI87" s="19">
        <v>386</v>
      </c>
      <c r="DJ87" s="19">
        <v>11</v>
      </c>
      <c r="DK87" s="19">
        <v>4</v>
      </c>
    </row>
    <row r="88" spans="1:115">
      <c r="A88" s="3">
        <v>43525</v>
      </c>
      <c r="B88">
        <f t="shared" si="52"/>
        <v>2019</v>
      </c>
      <c r="C88" s="2">
        <v>86405771.932000011</v>
      </c>
      <c r="D88" s="2">
        <v>19514324</v>
      </c>
      <c r="E88" s="2">
        <v>1335448.6224788334</v>
      </c>
      <c r="F88" s="2">
        <v>20849772.622478835</v>
      </c>
      <c r="G88" s="2">
        <v>32842</v>
      </c>
      <c r="H88" s="2">
        <v>8833179</v>
      </c>
      <c r="I88" s="2">
        <v>363888.13816237455</v>
      </c>
      <c r="J88" s="2">
        <v>9197067.1381623745</v>
      </c>
      <c r="K88" s="2">
        <v>3479</v>
      </c>
      <c r="L88" s="2">
        <v>17262881.557300001</v>
      </c>
      <c r="M88" s="2">
        <f>VLOOKUP('Monthly Data'!B88,'Historic CDM'!$B$111:$J$122,4,FALSE)/12+VLOOKUP('Monthly Data'!B88,'Historic CDM'!$N$111:$V$122,4,FALSE)/12</f>
        <v>2431133.3526467136</v>
      </c>
      <c r="N88" s="2">
        <f t="shared" si="42"/>
        <v>19694014.909946714</v>
      </c>
      <c r="O88" s="2">
        <v>45554.392399999997</v>
      </c>
      <c r="P88" s="2">
        <v>371</v>
      </c>
      <c r="Q88" s="2">
        <v>10261257.4427</v>
      </c>
      <c r="R88" s="2">
        <f>VLOOKUP('Monthly Data'!B88,'Historic CDM'!$B$111:$J$122,5,FALSE)/12+VLOOKUP('Monthly Data'!B88,'Historic CDM'!$N$111:$V$122,5,FALSE)/12</f>
        <v>181636.09214123851</v>
      </c>
      <c r="S88" s="2">
        <f t="shared" si="44"/>
        <v>10442893.534841239</v>
      </c>
      <c r="T88" s="2">
        <v>18867.607599999999</v>
      </c>
      <c r="U88" s="2">
        <v>8</v>
      </c>
      <c r="V88" s="2">
        <v>26374778</v>
      </c>
      <c r="W88" s="2">
        <f>VLOOKUP('Monthly Data'!B88,'Historic CDM'!$B$111:$J$122,9,FALSE)/12+VLOOKUP('Monthly Data'!B88,'Historic CDM'!$N$111:$V$122,9,FALSE)/12</f>
        <v>58579.423947454619</v>
      </c>
      <c r="X88" s="2">
        <f t="shared" si="41"/>
        <v>26433357.423947453</v>
      </c>
      <c r="Y88" s="2">
        <v>40557</v>
      </c>
      <c r="Z88" s="2">
        <v>4</v>
      </c>
      <c r="AA88" s="2">
        <v>299449</v>
      </c>
      <c r="AB88" s="2">
        <v>803</v>
      </c>
      <c r="AC88" s="2">
        <v>10095</v>
      </c>
      <c r="AD88" s="2">
        <v>39461</v>
      </c>
      <c r="AE88" s="2">
        <v>108</v>
      </c>
      <c r="AF88" s="2">
        <v>382</v>
      </c>
      <c r="AG88" s="2">
        <v>183537</v>
      </c>
      <c r="AH88" s="2">
        <v>256</v>
      </c>
      <c r="AI88">
        <f>Weather!C244</f>
        <v>636.59999999999991</v>
      </c>
      <c r="AJ88">
        <f>Weather!D244</f>
        <v>0</v>
      </c>
      <c r="AK88">
        <f>Weather!E244</f>
        <v>574.6</v>
      </c>
      <c r="AL88">
        <f>Weather!F244</f>
        <v>0</v>
      </c>
      <c r="AM88">
        <f>Weather!G244</f>
        <v>512.60000000000014</v>
      </c>
      <c r="AN88">
        <f>Weather!H244</f>
        <v>0</v>
      </c>
      <c r="AO88">
        <f>Weather!I244</f>
        <v>450.60000000000014</v>
      </c>
      <c r="AP88">
        <f>Weather!J244</f>
        <v>0</v>
      </c>
      <c r="AQ88">
        <f>Weather!K244</f>
        <v>388.60000000000008</v>
      </c>
      <c r="AR88">
        <f>Weather!L244</f>
        <v>0</v>
      </c>
      <c r="AS88">
        <f>Weather!M244</f>
        <v>327.2000000000001</v>
      </c>
      <c r="AT88">
        <f>Weather!N244</f>
        <v>0.59999999999999964</v>
      </c>
      <c r="AU88">
        <f>Weather!O244</f>
        <v>268.90000000000003</v>
      </c>
      <c r="AV88">
        <f>Weather!P244</f>
        <v>4.2999999999999989</v>
      </c>
      <c r="AW88" s="7">
        <f>Weather!Q244</f>
        <v>-0.53548387096774197</v>
      </c>
      <c r="AX88" s="5">
        <f>'Economic Variables'!D198</f>
        <v>7361.3</v>
      </c>
      <c r="AY88" s="5">
        <f>'Economic Variables'!E198</f>
        <v>7256.9</v>
      </c>
      <c r="AZ88" s="5">
        <f>'Economic Variables'!F198</f>
        <v>255.3</v>
      </c>
      <c r="BA88" s="5">
        <f>'Economic Variables'!G198</f>
        <v>252</v>
      </c>
      <c r="BB88" s="79">
        <f>'Economic Variables'!H198</f>
        <v>752393.2</v>
      </c>
      <c r="BC88" s="5">
        <f>'Economic Variables'!I198</f>
        <v>8330.9</v>
      </c>
      <c r="BD88" s="5">
        <f>'Economic Variables'!J198</f>
        <v>7605</v>
      </c>
      <c r="BE88" s="5">
        <f>'Economic Variables'!K198</f>
        <v>443.8</v>
      </c>
      <c r="BF88" s="5">
        <f>'Economic Variables'!L198</f>
        <v>7208.6</v>
      </c>
      <c r="BG88" s="5">
        <f>'Economic Variables'!M198</f>
        <v>274.8</v>
      </c>
      <c r="BH88" s="5">
        <f>'Economic Variables'!N198</f>
        <v>1005.5</v>
      </c>
      <c r="BI88" s="5">
        <f t="shared" si="34"/>
        <v>15539.5</v>
      </c>
      <c r="BJ88" s="5">
        <f>'Economic Variables'!P198</f>
        <v>746653</v>
      </c>
      <c r="BK88" s="5">
        <f>'Economic Variables'!Q198</f>
        <v>8035</v>
      </c>
      <c r="BL88" s="5">
        <f>'Economic Variables'!R198</f>
        <v>7111</v>
      </c>
      <c r="BM88" s="5">
        <f>'Economic Variables'!S198</f>
        <v>3296</v>
      </c>
      <c r="BN88" s="5">
        <f t="shared" si="35"/>
        <v>87</v>
      </c>
      <c r="BO88" s="80">
        <f t="shared" si="36"/>
        <v>1.9395192526186185</v>
      </c>
      <c r="BP88" s="5">
        <f t="shared" si="37"/>
        <v>7569</v>
      </c>
      <c r="BQ88">
        <v>0</v>
      </c>
      <c r="BR88">
        <v>0</v>
      </c>
      <c r="BS88">
        <v>1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f t="shared" si="43"/>
        <v>1</v>
      </c>
      <c r="CD88">
        <f t="shared" si="43"/>
        <v>0</v>
      </c>
      <c r="CE88">
        <f t="shared" si="38"/>
        <v>1</v>
      </c>
      <c r="CF88">
        <f t="shared" si="53"/>
        <v>31</v>
      </c>
      <c r="CG88">
        <v>22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 s="80">
        <f t="shared" si="45"/>
        <v>20.479060666297517</v>
      </c>
      <c r="CZ88" s="78">
        <f t="shared" si="46"/>
        <v>85.277259299227396</v>
      </c>
      <c r="DA88" s="5">
        <f t="shared" si="47"/>
        <v>2412.8908245462771</v>
      </c>
      <c r="DB88" s="5">
        <f t="shared" si="48"/>
        <v>59334.622357052496</v>
      </c>
      <c r="DC88" s="5">
        <f t="shared" si="49"/>
        <v>300379.06163576653</v>
      </c>
      <c r="DD88">
        <f t="shared" si="39"/>
        <v>1712.3741335489708</v>
      </c>
      <c r="DE88">
        <f t="shared" si="50"/>
        <v>42108.441672746936</v>
      </c>
      <c r="DF88">
        <f t="shared" si="51"/>
        <v>213172.23728989883</v>
      </c>
      <c r="DG88" s="19">
        <v>32842</v>
      </c>
      <c r="DH88" s="19">
        <v>3479</v>
      </c>
      <c r="DI88" s="19">
        <v>368</v>
      </c>
      <c r="DJ88" s="19">
        <v>11</v>
      </c>
      <c r="DK88" s="19">
        <v>4</v>
      </c>
    </row>
    <row r="89" spans="1:115">
      <c r="A89" s="3">
        <v>43556</v>
      </c>
      <c r="B89">
        <f t="shared" si="52"/>
        <v>2019</v>
      </c>
      <c r="C89" s="2">
        <v>77178756.800000012</v>
      </c>
      <c r="D89" s="2">
        <v>17082434</v>
      </c>
      <c r="E89" s="2">
        <v>1335448.6224788334</v>
      </c>
      <c r="F89" s="2">
        <v>18417882.622478835</v>
      </c>
      <c r="G89" s="2">
        <v>32839</v>
      </c>
      <c r="H89" s="2">
        <v>7763641</v>
      </c>
      <c r="I89" s="2">
        <v>363888.13816237455</v>
      </c>
      <c r="J89" s="2">
        <v>8127529.1381623745</v>
      </c>
      <c r="K89" s="2">
        <v>3492</v>
      </c>
      <c r="L89" s="2">
        <v>15416827.7643</v>
      </c>
      <c r="M89" s="2">
        <f>VLOOKUP('Monthly Data'!B89,'Historic CDM'!$B$111:$J$122,4,FALSE)/12+VLOOKUP('Monthly Data'!B89,'Historic CDM'!$N$111:$V$122,4,FALSE)/12</f>
        <v>2431133.3526467136</v>
      </c>
      <c r="N89" s="2">
        <f t="shared" si="42"/>
        <v>17847961.116946712</v>
      </c>
      <c r="O89" s="2">
        <v>44567.415999999997</v>
      </c>
      <c r="P89" s="2">
        <v>370</v>
      </c>
      <c r="Q89" s="2">
        <v>9530314.2357000001</v>
      </c>
      <c r="R89" s="2">
        <f>VLOOKUP('Monthly Data'!B89,'Historic CDM'!$B$111:$J$122,5,FALSE)/12+VLOOKUP('Monthly Data'!B89,'Historic CDM'!$N$111:$V$122,5,FALSE)/12</f>
        <v>181636.09214123851</v>
      </c>
      <c r="S89" s="2">
        <f t="shared" si="44"/>
        <v>9711950.3278412391</v>
      </c>
      <c r="T89" s="2">
        <v>18523.583999999999</v>
      </c>
      <c r="U89" s="2">
        <v>8</v>
      </c>
      <c r="V89" s="2">
        <v>24894607</v>
      </c>
      <c r="W89" s="2">
        <f>VLOOKUP('Monthly Data'!B89,'Historic CDM'!$B$111:$J$122,9,FALSE)/12+VLOOKUP('Monthly Data'!B89,'Historic CDM'!$N$111:$V$122,9,FALSE)/12</f>
        <v>58579.423947454619</v>
      </c>
      <c r="X89" s="2">
        <f t="shared" si="41"/>
        <v>24953186.423947453</v>
      </c>
      <c r="Y89" s="2">
        <v>39538</v>
      </c>
      <c r="Z89" s="2">
        <v>4</v>
      </c>
      <c r="AA89" s="2">
        <v>253589</v>
      </c>
      <c r="AB89" s="2">
        <v>803</v>
      </c>
      <c r="AC89" s="2">
        <v>10096</v>
      </c>
      <c r="AD89" s="2">
        <v>38405</v>
      </c>
      <c r="AE89" s="2">
        <v>106</v>
      </c>
      <c r="AF89" s="2">
        <v>382</v>
      </c>
      <c r="AG89" s="2">
        <v>179626</v>
      </c>
      <c r="AH89" s="2">
        <v>256</v>
      </c>
      <c r="AI89">
        <f>Weather!C245</f>
        <v>390.3</v>
      </c>
      <c r="AJ89">
        <f>Weather!D245</f>
        <v>0</v>
      </c>
      <c r="AK89">
        <f>Weather!E245</f>
        <v>330.3</v>
      </c>
      <c r="AL89">
        <f>Weather!F245</f>
        <v>0</v>
      </c>
      <c r="AM89">
        <f>Weather!G245</f>
        <v>270.30000000000007</v>
      </c>
      <c r="AN89">
        <f>Weather!H245</f>
        <v>0</v>
      </c>
      <c r="AO89">
        <f>Weather!I245</f>
        <v>210.80000000000007</v>
      </c>
      <c r="AP89">
        <f>Weather!J245</f>
        <v>0.5</v>
      </c>
      <c r="AQ89">
        <f>Weather!K245</f>
        <v>155.90000000000003</v>
      </c>
      <c r="AR89">
        <f>Weather!L245</f>
        <v>5.6</v>
      </c>
      <c r="AS89">
        <f>Weather!M245</f>
        <v>109.30000000000001</v>
      </c>
      <c r="AT89">
        <f>Weather!N245</f>
        <v>18.999999999999996</v>
      </c>
      <c r="AU89">
        <f>Weather!O245</f>
        <v>67.799999999999983</v>
      </c>
      <c r="AV89">
        <f>Weather!P245</f>
        <v>37.5</v>
      </c>
      <c r="AW89" s="7">
        <f>Weather!Q245</f>
        <v>6.9899999999999975</v>
      </c>
      <c r="AX89" s="5">
        <f>'Economic Variables'!D199</f>
        <v>7382.3</v>
      </c>
      <c r="AY89" s="5">
        <f>'Economic Variables'!E199</f>
        <v>7294</v>
      </c>
      <c r="AZ89" s="5">
        <f>'Economic Variables'!F199</f>
        <v>253.3</v>
      </c>
      <c r="BA89" s="5">
        <f>'Economic Variables'!G199</f>
        <v>249.6</v>
      </c>
      <c r="BB89" s="79">
        <f>'Economic Variables'!H199</f>
        <v>752393.2</v>
      </c>
      <c r="BC89" s="5">
        <f>'Economic Variables'!I199</f>
        <v>8330.9</v>
      </c>
      <c r="BD89" s="5">
        <f>'Economic Variables'!J199</f>
        <v>7605</v>
      </c>
      <c r="BE89" s="5">
        <f>'Economic Variables'!K199</f>
        <v>443.8</v>
      </c>
      <c r="BF89" s="5">
        <f>'Economic Variables'!L199</f>
        <v>7208.6</v>
      </c>
      <c r="BG89" s="5">
        <f>'Economic Variables'!M199</f>
        <v>274.8</v>
      </c>
      <c r="BH89" s="5">
        <f>'Economic Variables'!N199</f>
        <v>1005.5</v>
      </c>
      <c r="BI89" s="5">
        <f t="shared" si="34"/>
        <v>15539.5</v>
      </c>
      <c r="BJ89" s="5">
        <f>'Economic Variables'!P199</f>
        <v>751916</v>
      </c>
      <c r="BK89" s="5">
        <f>'Economic Variables'!Q199</f>
        <v>8279</v>
      </c>
      <c r="BL89" s="5">
        <f>'Economic Variables'!R199</f>
        <v>7388</v>
      </c>
      <c r="BM89" s="5">
        <f>'Economic Variables'!S199</f>
        <v>3420</v>
      </c>
      <c r="BN89" s="5">
        <f t="shared" si="35"/>
        <v>88</v>
      </c>
      <c r="BO89" s="80">
        <f t="shared" si="36"/>
        <v>1.9444826721501687</v>
      </c>
      <c r="BP89" s="5">
        <f t="shared" si="37"/>
        <v>7744</v>
      </c>
      <c r="BQ89">
        <v>0</v>
      </c>
      <c r="BR89">
        <v>0</v>
      </c>
      <c r="BS89">
        <v>0</v>
      </c>
      <c r="BT89">
        <v>1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f t="shared" si="43"/>
        <v>1</v>
      </c>
      <c r="CD89">
        <f t="shared" si="43"/>
        <v>0</v>
      </c>
      <c r="CE89">
        <f t="shared" si="38"/>
        <v>1</v>
      </c>
      <c r="CF89">
        <f t="shared" si="53"/>
        <v>30</v>
      </c>
      <c r="CG89">
        <v>21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 s="80">
        <f t="shared" si="45"/>
        <v>18.69513142145907</v>
      </c>
      <c r="CZ89" s="78">
        <f t="shared" si="46"/>
        <v>77.582370543741646</v>
      </c>
      <c r="DA89" s="5">
        <f t="shared" si="47"/>
        <v>2297.0348927859345</v>
      </c>
      <c r="DB89" s="5">
        <f t="shared" si="48"/>
        <v>57809.228141912135</v>
      </c>
      <c r="DC89" s="5">
        <f t="shared" si="49"/>
        <v>297061.7431422316</v>
      </c>
      <c r="DD89">
        <f t="shared" si="39"/>
        <v>1607.9244249501542</v>
      </c>
      <c r="DE89">
        <f t="shared" si="50"/>
        <v>40466.459699338498</v>
      </c>
      <c r="DF89">
        <f t="shared" si="51"/>
        <v>207943.22019956211</v>
      </c>
      <c r="DG89" s="19">
        <v>32839</v>
      </c>
      <c r="DH89" s="19">
        <v>3492</v>
      </c>
      <c r="DI89" s="19">
        <v>367</v>
      </c>
      <c r="DJ89" s="19">
        <v>11</v>
      </c>
      <c r="DK89" s="19">
        <v>4</v>
      </c>
    </row>
    <row r="90" spans="1:115">
      <c r="A90" s="3">
        <v>43586</v>
      </c>
      <c r="B90">
        <f t="shared" si="52"/>
        <v>2019</v>
      </c>
      <c r="C90" s="2">
        <v>77527263.423999995</v>
      </c>
      <c r="D90" s="2">
        <v>16835961</v>
      </c>
      <c r="E90" s="2">
        <v>1335448.6224788334</v>
      </c>
      <c r="F90" s="2">
        <v>18171409.622478835</v>
      </c>
      <c r="G90" s="2">
        <v>32846</v>
      </c>
      <c r="H90" s="2">
        <v>7553209</v>
      </c>
      <c r="I90" s="2">
        <v>363888.13816237455</v>
      </c>
      <c r="J90" s="2">
        <v>7917097.1381623745</v>
      </c>
      <c r="K90" s="2">
        <v>3490</v>
      </c>
      <c r="L90" s="2">
        <v>15457610.009099999</v>
      </c>
      <c r="M90" s="2">
        <f>VLOOKUP('Monthly Data'!B90,'Historic CDM'!$B$111:$J$122,4,FALSE)/12+VLOOKUP('Monthly Data'!B90,'Historic CDM'!$N$111:$V$122,4,FALSE)/12</f>
        <v>2431133.3526467136</v>
      </c>
      <c r="N90" s="2">
        <f t="shared" si="42"/>
        <v>17888743.361746714</v>
      </c>
      <c r="O90" s="2">
        <v>42931.6944</v>
      </c>
      <c r="P90" s="2">
        <v>368</v>
      </c>
      <c r="Q90" s="2">
        <v>10382702.990900001</v>
      </c>
      <c r="R90" s="2">
        <f>VLOOKUP('Monthly Data'!B90,'Historic CDM'!$B$111:$J$122,5,FALSE)/12+VLOOKUP('Monthly Data'!B90,'Historic CDM'!$N$111:$V$122,5,FALSE)/12</f>
        <v>181636.09214123851</v>
      </c>
      <c r="S90" s="2">
        <f t="shared" si="44"/>
        <v>10564339.08304124</v>
      </c>
      <c r="T90" s="2">
        <v>19017.3056</v>
      </c>
      <c r="U90" s="2">
        <v>8</v>
      </c>
      <c r="V90" s="2">
        <v>24733670</v>
      </c>
      <c r="W90" s="2">
        <f>VLOOKUP('Monthly Data'!B90,'Historic CDM'!$B$111:$J$122,9,FALSE)/12+VLOOKUP('Monthly Data'!B90,'Historic CDM'!$N$111:$V$122,9,FALSE)/12</f>
        <v>58579.423947454619</v>
      </c>
      <c r="X90" s="2">
        <f t="shared" si="41"/>
        <v>24792249.423947453</v>
      </c>
      <c r="Y90" s="2">
        <v>41362</v>
      </c>
      <c r="Z90" s="2">
        <v>4</v>
      </c>
      <c r="AA90" s="2">
        <v>231252</v>
      </c>
      <c r="AB90" s="2">
        <v>803</v>
      </c>
      <c r="AC90" s="2">
        <v>10102</v>
      </c>
      <c r="AD90" s="2">
        <v>39459</v>
      </c>
      <c r="AE90" s="2">
        <v>108</v>
      </c>
      <c r="AF90" s="2">
        <v>382</v>
      </c>
      <c r="AG90" s="2">
        <v>184434</v>
      </c>
      <c r="AH90" s="2">
        <v>256</v>
      </c>
      <c r="AI90">
        <f>Weather!C246</f>
        <v>258.19999999999993</v>
      </c>
      <c r="AJ90">
        <f>Weather!D246</f>
        <v>0.69999999999999929</v>
      </c>
      <c r="AK90">
        <f>Weather!E246</f>
        <v>199.39999999999995</v>
      </c>
      <c r="AL90">
        <f>Weather!F246</f>
        <v>3.9000000000000021</v>
      </c>
      <c r="AM90">
        <f>Weather!G246</f>
        <v>143.4</v>
      </c>
      <c r="AN90">
        <f>Weather!H246</f>
        <v>9.9000000000000021</v>
      </c>
      <c r="AO90">
        <f>Weather!I246</f>
        <v>95.2</v>
      </c>
      <c r="AP90">
        <f>Weather!J246</f>
        <v>23.700000000000003</v>
      </c>
      <c r="AQ90">
        <f>Weather!K246</f>
        <v>56.300000000000004</v>
      </c>
      <c r="AR90">
        <f>Weather!L246</f>
        <v>46.800000000000004</v>
      </c>
      <c r="AS90">
        <f>Weather!M246</f>
        <v>30.4</v>
      </c>
      <c r="AT90">
        <f>Weather!N246</f>
        <v>82.90000000000002</v>
      </c>
      <c r="AU90">
        <f>Weather!O246</f>
        <v>13.5</v>
      </c>
      <c r="AV90">
        <f>Weather!P246</f>
        <v>128</v>
      </c>
      <c r="AW90" s="7">
        <f>Weather!Q246</f>
        <v>11.693548387096772</v>
      </c>
      <c r="AX90" s="5">
        <f>'Economic Variables'!D200</f>
        <v>7398.9</v>
      </c>
      <c r="AY90" s="5">
        <f>'Economic Variables'!E200</f>
        <v>7366.8</v>
      </c>
      <c r="AZ90" s="5">
        <f>'Economic Variables'!F200</f>
        <v>249.2</v>
      </c>
      <c r="BA90" s="5">
        <f>'Economic Variables'!G200</f>
        <v>247.3</v>
      </c>
      <c r="BB90" s="79">
        <f>'Economic Variables'!H200</f>
        <v>752393.2</v>
      </c>
      <c r="BC90" s="5">
        <f>'Economic Variables'!I200</f>
        <v>8330.9</v>
      </c>
      <c r="BD90" s="5">
        <f>'Economic Variables'!J200</f>
        <v>7605</v>
      </c>
      <c r="BE90" s="5">
        <f>'Economic Variables'!K200</f>
        <v>443.8</v>
      </c>
      <c r="BF90" s="5">
        <f>'Economic Variables'!L200</f>
        <v>7208.6</v>
      </c>
      <c r="BG90" s="5">
        <f>'Economic Variables'!M200</f>
        <v>274.8</v>
      </c>
      <c r="BH90" s="5">
        <f>'Economic Variables'!N200</f>
        <v>1005.5</v>
      </c>
      <c r="BI90" s="5">
        <f>BC90+BF90</f>
        <v>15539.5</v>
      </c>
      <c r="BJ90" s="5">
        <f>'Economic Variables'!P200</f>
        <v>751916</v>
      </c>
      <c r="BK90" s="5">
        <f>'Economic Variables'!Q200</f>
        <v>8279</v>
      </c>
      <c r="BL90" s="5">
        <f>'Economic Variables'!R200</f>
        <v>7388</v>
      </c>
      <c r="BM90" s="5">
        <f>'Economic Variables'!S200</f>
        <v>3420</v>
      </c>
      <c r="BN90" s="5">
        <f t="shared" si="35"/>
        <v>89</v>
      </c>
      <c r="BO90" s="80">
        <f t="shared" si="36"/>
        <v>1.9493900066449128</v>
      </c>
      <c r="BP90" s="5">
        <f t="shared" si="37"/>
        <v>7921</v>
      </c>
      <c r="BQ90">
        <v>0</v>
      </c>
      <c r="BR90">
        <v>0</v>
      </c>
      <c r="BS90">
        <v>0</v>
      </c>
      <c r="BT90">
        <v>0</v>
      </c>
      <c r="BU90">
        <v>1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f t="shared" ref="CC90:CD97" si="54">CC78</f>
        <v>1</v>
      </c>
      <c r="CD90">
        <f t="shared" si="54"/>
        <v>0</v>
      </c>
      <c r="CE90">
        <f t="shared" si="38"/>
        <v>1</v>
      </c>
      <c r="CF90">
        <f t="shared" si="53"/>
        <v>31</v>
      </c>
      <c r="CG90">
        <v>20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 s="80">
        <f t="shared" si="45"/>
        <v>17.846145769680636</v>
      </c>
      <c r="CZ90" s="78">
        <f t="shared" si="46"/>
        <v>73.177716407823041</v>
      </c>
      <c r="DA90" s="5">
        <f t="shared" si="47"/>
        <v>2430.535782846021</v>
      </c>
      <c r="DB90" s="5">
        <f t="shared" si="48"/>
        <v>66027.119269007744</v>
      </c>
      <c r="DC90" s="5">
        <f t="shared" si="49"/>
        <v>309903.11779934319</v>
      </c>
      <c r="DD90">
        <f t="shared" si="39"/>
        <v>1568.0876018361425</v>
      </c>
      <c r="DE90">
        <f t="shared" si="50"/>
        <v>42598.141463875967</v>
      </c>
      <c r="DF90">
        <f t="shared" si="51"/>
        <v>199937.49535441495</v>
      </c>
      <c r="DG90" s="19">
        <v>32846</v>
      </c>
      <c r="DH90" s="19">
        <v>3490</v>
      </c>
      <c r="DI90" s="19">
        <v>365</v>
      </c>
      <c r="DJ90" s="19">
        <v>11</v>
      </c>
      <c r="DK90" s="19">
        <v>4</v>
      </c>
    </row>
    <row r="91" spans="1:115">
      <c r="A91" s="3">
        <v>43617</v>
      </c>
      <c r="B91">
        <f t="shared" si="52"/>
        <v>2019</v>
      </c>
      <c r="C91" s="2">
        <v>80026920.402999997</v>
      </c>
      <c r="D91" s="2">
        <v>19431835</v>
      </c>
      <c r="E91" s="2">
        <v>1335448.6224788334</v>
      </c>
      <c r="F91" s="2">
        <v>20767283.622478835</v>
      </c>
      <c r="G91" s="2">
        <v>32845</v>
      </c>
      <c r="H91" s="2">
        <v>7788135</v>
      </c>
      <c r="I91" s="2">
        <v>363888.13816237455</v>
      </c>
      <c r="J91" s="2">
        <v>8152023.1381623745</v>
      </c>
      <c r="K91" s="2">
        <v>3494</v>
      </c>
      <c r="L91" s="2">
        <v>15554138.243899999</v>
      </c>
      <c r="M91" s="2">
        <f>VLOOKUP('Monthly Data'!B91,'Historic CDM'!$B$111:$J$122,4,FALSE)/12+VLOOKUP('Monthly Data'!B91,'Historic CDM'!$N$111:$V$122,4,FALSE)/12</f>
        <v>2431133.3526467136</v>
      </c>
      <c r="N91" s="2">
        <f t="shared" si="42"/>
        <v>17985271.596546713</v>
      </c>
      <c r="O91" s="2">
        <v>47017.362417467681</v>
      </c>
      <c r="P91" s="2">
        <v>372</v>
      </c>
      <c r="Q91" s="2">
        <v>9962256.7561000008</v>
      </c>
      <c r="R91" s="2">
        <f>VLOOKUP('Monthly Data'!B91,'Historic CDM'!$B$111:$J$122,5,FALSE)/12+VLOOKUP('Monthly Data'!B91,'Historic CDM'!$N$111:$V$122,5,FALSE)/12</f>
        <v>181636.09214123851</v>
      </c>
      <c r="S91" s="2">
        <f t="shared" si="44"/>
        <v>10143892.84824124</v>
      </c>
      <c r="T91" s="2">
        <v>20951.637582532319</v>
      </c>
      <c r="U91" s="2">
        <v>8</v>
      </c>
      <c r="V91" s="2">
        <v>24688283</v>
      </c>
      <c r="W91" s="2">
        <f>VLOOKUP('Monthly Data'!B91,'Historic CDM'!$B$111:$J$122,9,FALSE)/12+VLOOKUP('Monthly Data'!B91,'Historic CDM'!$N$111:$V$122,9,FALSE)/12</f>
        <v>58579.423947454619</v>
      </c>
      <c r="X91" s="2">
        <f t="shared" si="41"/>
        <v>24746862.423947453</v>
      </c>
      <c r="Y91" s="2">
        <v>40452</v>
      </c>
      <c r="Z91" s="2">
        <v>4</v>
      </c>
      <c r="AA91" s="2">
        <v>207537</v>
      </c>
      <c r="AB91" s="2">
        <v>801</v>
      </c>
      <c r="AC91" s="2">
        <v>10103</v>
      </c>
      <c r="AD91" s="2">
        <v>37586</v>
      </c>
      <c r="AE91" s="2">
        <v>108</v>
      </c>
      <c r="AF91" s="2">
        <v>382</v>
      </c>
      <c r="AG91" s="2">
        <v>176463</v>
      </c>
      <c r="AH91" s="2">
        <v>258</v>
      </c>
      <c r="AI91">
        <f>Weather!C247</f>
        <v>101.90000000000002</v>
      </c>
      <c r="AJ91">
        <f>Weather!D247</f>
        <v>17.400000000000002</v>
      </c>
      <c r="AK91">
        <f>Weather!E247</f>
        <v>58.5</v>
      </c>
      <c r="AL91">
        <f>Weather!F247</f>
        <v>34</v>
      </c>
      <c r="AM91">
        <f>Weather!G247</f>
        <v>27.199999999999996</v>
      </c>
      <c r="AN91">
        <f>Weather!H247</f>
        <v>62.7</v>
      </c>
      <c r="AO91">
        <f>Weather!I247</f>
        <v>9.3000000000000007</v>
      </c>
      <c r="AP91">
        <f>Weather!J247</f>
        <v>104.8</v>
      </c>
      <c r="AQ91">
        <f>Weather!K247</f>
        <v>2.8000000000000007</v>
      </c>
      <c r="AR91">
        <f>Weather!L247</f>
        <v>158.29999999999998</v>
      </c>
      <c r="AS91">
        <f>Weather!M247</f>
        <v>0</v>
      </c>
      <c r="AT91">
        <f>Weather!N247</f>
        <v>215.5</v>
      </c>
      <c r="AU91">
        <f>Weather!O247</f>
        <v>0</v>
      </c>
      <c r="AV91">
        <f>Weather!P247</f>
        <v>275.50000000000006</v>
      </c>
      <c r="AW91" s="7">
        <f>Weather!Q247</f>
        <v>17.183333333333337</v>
      </c>
      <c r="AX91" s="5">
        <f>'Economic Variables'!D201</f>
        <v>7420.3</v>
      </c>
      <c r="AY91" s="5">
        <f>'Economic Variables'!E201</f>
        <v>7460.9</v>
      </c>
      <c r="AZ91" s="5">
        <f>'Economic Variables'!F201</f>
        <v>248.2</v>
      </c>
      <c r="BA91" s="5">
        <f>'Economic Variables'!G201</f>
        <v>250.5</v>
      </c>
      <c r="BB91" s="79">
        <f>'Economic Variables'!H201</f>
        <v>752393.2</v>
      </c>
      <c r="BC91" s="5">
        <f>'Economic Variables'!I201</f>
        <v>8330.9</v>
      </c>
      <c r="BD91" s="5">
        <f>'Economic Variables'!J201</f>
        <v>7605</v>
      </c>
      <c r="BE91" s="5">
        <f>'Economic Variables'!K201</f>
        <v>443.8</v>
      </c>
      <c r="BF91" s="5">
        <f>'Economic Variables'!L201</f>
        <v>7208.6</v>
      </c>
      <c r="BG91" s="5">
        <f>'Economic Variables'!M201</f>
        <v>274.8</v>
      </c>
      <c r="BH91" s="5">
        <f>'Economic Variables'!N201</f>
        <v>1005.5</v>
      </c>
      <c r="BI91" s="5">
        <f>BC91+BF91</f>
        <v>15539.5</v>
      </c>
      <c r="BJ91" s="5">
        <f>'Economic Variables'!P201</f>
        <v>751916</v>
      </c>
      <c r="BK91" s="5">
        <f>'Economic Variables'!Q201</f>
        <v>8279</v>
      </c>
      <c r="BL91" s="5">
        <f>'Economic Variables'!R201</f>
        <v>7388</v>
      </c>
      <c r="BM91" s="5">
        <f>'Economic Variables'!S201</f>
        <v>3420</v>
      </c>
      <c r="BN91" s="5">
        <f t="shared" si="35"/>
        <v>90</v>
      </c>
      <c r="BO91" s="80">
        <f t="shared" si="36"/>
        <v>1.954242509439325</v>
      </c>
      <c r="BP91" s="5">
        <f t="shared" si="37"/>
        <v>8100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1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f t="shared" si="54"/>
        <v>0</v>
      </c>
      <c r="CD91">
        <f t="shared" si="54"/>
        <v>0</v>
      </c>
      <c r="CE91">
        <f t="shared" si="38"/>
        <v>0</v>
      </c>
      <c r="CF91">
        <f t="shared" si="53"/>
        <v>30</v>
      </c>
      <c r="CG91">
        <v>22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 s="80">
        <f t="shared" si="45"/>
        <v>21.076047721600279</v>
      </c>
      <c r="CZ91" s="78">
        <f t="shared" si="46"/>
        <v>77.771638410249707</v>
      </c>
      <c r="DA91" s="5">
        <f t="shared" si="47"/>
        <v>2197.6138314451018</v>
      </c>
      <c r="DB91" s="5">
        <f t="shared" si="48"/>
        <v>57635.754819552501</v>
      </c>
      <c r="DC91" s="5">
        <f t="shared" si="49"/>
        <v>281214.34572667559</v>
      </c>
      <c r="DD91">
        <f t="shared" si="39"/>
        <v>1611.5834763930745</v>
      </c>
      <c r="DE91">
        <f t="shared" si="50"/>
        <v>42266.220201005162</v>
      </c>
      <c r="DF91">
        <f t="shared" si="51"/>
        <v>206223.85353289545</v>
      </c>
      <c r="DG91" s="19">
        <v>32845</v>
      </c>
      <c r="DH91" s="19">
        <v>3494</v>
      </c>
      <c r="DI91" s="19">
        <v>369</v>
      </c>
      <c r="DJ91" s="19">
        <v>11</v>
      </c>
      <c r="DK91" s="19">
        <v>4</v>
      </c>
    </row>
    <row r="92" spans="1:115">
      <c r="A92" s="3">
        <v>43647</v>
      </c>
      <c r="B92">
        <f t="shared" si="52"/>
        <v>2019</v>
      </c>
      <c r="C92" s="2">
        <v>98893890.582000017</v>
      </c>
      <c r="D92" s="2">
        <v>30007328</v>
      </c>
      <c r="E92" s="2">
        <v>1335448.6224788334</v>
      </c>
      <c r="F92" s="2">
        <v>31342776.622478835</v>
      </c>
      <c r="G92" s="2">
        <v>32861</v>
      </c>
      <c r="H92" s="2">
        <v>10125645</v>
      </c>
      <c r="I92" s="2">
        <v>363888.13816237455</v>
      </c>
      <c r="J92" s="2">
        <v>10489533.138162374</v>
      </c>
      <c r="K92" s="2">
        <v>3492</v>
      </c>
      <c r="L92" s="2">
        <v>18940554.060800001</v>
      </c>
      <c r="M92" s="2">
        <f>VLOOKUP('Monthly Data'!B92,'Historic CDM'!$B$111:$J$122,4,FALSE)/12+VLOOKUP('Monthly Data'!B92,'Historic CDM'!$N$111:$V$122,4,FALSE)/12</f>
        <v>2431133.3526467136</v>
      </c>
      <c r="N92" s="2">
        <f t="shared" si="42"/>
        <v>21371687.413446713</v>
      </c>
      <c r="O92" s="2">
        <v>50846.702799999999</v>
      </c>
      <c r="P92" s="2">
        <v>372</v>
      </c>
      <c r="Q92" s="2">
        <v>10845733.939199999</v>
      </c>
      <c r="R92" s="2">
        <f>VLOOKUP('Monthly Data'!B92,'Historic CDM'!$B$111:$J$122,5,FALSE)/12+VLOOKUP('Monthly Data'!B92,'Historic CDM'!$N$111:$V$122,5,FALSE)/12</f>
        <v>181636.09214123851</v>
      </c>
      <c r="S92" s="2">
        <f t="shared" si="44"/>
        <v>11027370.031341238</v>
      </c>
      <c r="T92" s="2">
        <v>20561.297200000001</v>
      </c>
      <c r="U92" s="2">
        <v>8</v>
      </c>
      <c r="V92" s="2">
        <v>25578193</v>
      </c>
      <c r="W92" s="2">
        <f>VLOOKUP('Monthly Data'!B92,'Historic CDM'!$B$111:$J$122,9,FALSE)/12+VLOOKUP('Monthly Data'!B92,'Historic CDM'!$N$111:$V$122,9,FALSE)/12</f>
        <v>58579.423947454619</v>
      </c>
      <c r="X92" s="2">
        <f t="shared" si="41"/>
        <v>25636772.423947453</v>
      </c>
      <c r="Y92" s="2">
        <v>39951</v>
      </c>
      <c r="Z92" s="2">
        <v>4</v>
      </c>
      <c r="AA92" s="2">
        <v>224040</v>
      </c>
      <c r="AB92" s="2">
        <v>800</v>
      </c>
      <c r="AC92" s="2">
        <v>10102</v>
      </c>
      <c r="AD92" s="2">
        <v>42107</v>
      </c>
      <c r="AE92" s="2">
        <v>108</v>
      </c>
      <c r="AF92" s="2">
        <v>382</v>
      </c>
      <c r="AG92" s="2">
        <v>196945</v>
      </c>
      <c r="AH92" s="2">
        <v>258</v>
      </c>
      <c r="AI92">
        <f>Weather!C248</f>
        <v>9.1999999999999993</v>
      </c>
      <c r="AJ92">
        <f>Weather!D248</f>
        <v>89.899999999999991</v>
      </c>
      <c r="AK92">
        <f>Weather!E248</f>
        <v>1.3999999999999986</v>
      </c>
      <c r="AL92">
        <f>Weather!F248</f>
        <v>144.10000000000002</v>
      </c>
      <c r="AM92">
        <f>Weather!G248</f>
        <v>0</v>
      </c>
      <c r="AN92">
        <f>Weather!H248</f>
        <v>204.70000000000002</v>
      </c>
      <c r="AO92">
        <f>Weather!I248</f>
        <v>0</v>
      </c>
      <c r="AP92">
        <f>Weather!J248</f>
        <v>266.70000000000005</v>
      </c>
      <c r="AQ92">
        <f>Weather!K248</f>
        <v>0</v>
      </c>
      <c r="AR92">
        <f>Weather!L248</f>
        <v>328.70000000000005</v>
      </c>
      <c r="AS92">
        <f>Weather!M248</f>
        <v>0</v>
      </c>
      <c r="AT92">
        <f>Weather!N248</f>
        <v>390.70000000000005</v>
      </c>
      <c r="AU92">
        <f>Weather!O248</f>
        <v>0</v>
      </c>
      <c r="AV92">
        <f>Weather!P248</f>
        <v>452.70000000000005</v>
      </c>
      <c r="AW92" s="7">
        <f>Weather!Q248</f>
        <v>22.603225806451611</v>
      </c>
      <c r="AX92" s="5">
        <f>'Economic Variables'!D202</f>
        <v>7423.6</v>
      </c>
      <c r="AY92" s="5">
        <f>'Economic Variables'!E202</f>
        <v>7509.9</v>
      </c>
      <c r="AZ92" s="5">
        <f>'Economic Variables'!F202</f>
        <v>245.7</v>
      </c>
      <c r="BA92" s="5">
        <f>'Economic Variables'!G202</f>
        <v>250.7</v>
      </c>
      <c r="BB92" s="79">
        <f>'Economic Variables'!H202</f>
        <v>752393.2</v>
      </c>
      <c r="BC92" s="5">
        <f>'Economic Variables'!I202</f>
        <v>8330.9</v>
      </c>
      <c r="BD92" s="5">
        <f>'Economic Variables'!J202</f>
        <v>7605</v>
      </c>
      <c r="BE92" s="5">
        <f>'Economic Variables'!K202</f>
        <v>443.8</v>
      </c>
      <c r="BF92" s="5">
        <f>'Economic Variables'!L202</f>
        <v>7208.6</v>
      </c>
      <c r="BG92" s="5">
        <f>'Economic Variables'!M202</f>
        <v>274.8</v>
      </c>
      <c r="BH92" s="5">
        <f>'Economic Variables'!N202</f>
        <v>1005.5</v>
      </c>
      <c r="BI92" s="5">
        <f>BC92+BF92</f>
        <v>15539.5</v>
      </c>
      <c r="BJ92" s="5">
        <f>'Economic Variables'!P202</f>
        <v>755135</v>
      </c>
      <c r="BK92" s="5">
        <f>'Economic Variables'!Q202</f>
        <v>8449</v>
      </c>
      <c r="BL92" s="5">
        <f>'Economic Variables'!R202</f>
        <v>7127</v>
      </c>
      <c r="BM92" s="5">
        <f>'Economic Variables'!S202</f>
        <v>3366</v>
      </c>
      <c r="BN92" s="5">
        <f t="shared" si="35"/>
        <v>91</v>
      </c>
      <c r="BO92" s="80">
        <f t="shared" si="36"/>
        <v>1.9590413923210936</v>
      </c>
      <c r="BP92" s="5">
        <f t="shared" si="37"/>
        <v>8281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1</v>
      </c>
      <c r="BX92">
        <v>0</v>
      </c>
      <c r="BY92">
        <v>0</v>
      </c>
      <c r="BZ92">
        <v>0</v>
      </c>
      <c r="CA92">
        <v>0</v>
      </c>
      <c r="CB92">
        <v>0</v>
      </c>
      <c r="CC92">
        <f t="shared" si="54"/>
        <v>0</v>
      </c>
      <c r="CD92">
        <f t="shared" si="54"/>
        <v>0</v>
      </c>
      <c r="CE92">
        <f t="shared" si="38"/>
        <v>0</v>
      </c>
      <c r="CF92">
        <f t="shared" si="53"/>
        <v>31</v>
      </c>
      <c r="CG92">
        <v>22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 s="80">
        <f t="shared" si="45"/>
        <v>30.767697586882417</v>
      </c>
      <c r="CZ92" s="78">
        <f t="shared" si="46"/>
        <v>96.899208681247217</v>
      </c>
      <c r="DA92" s="5">
        <f t="shared" si="47"/>
        <v>2611.3987553087381</v>
      </c>
      <c r="DB92" s="5">
        <f t="shared" si="48"/>
        <v>62655.511541711581</v>
      </c>
      <c r="DC92" s="5">
        <f t="shared" si="49"/>
        <v>291326.95936303923</v>
      </c>
      <c r="DD92">
        <f t="shared" si="39"/>
        <v>1853.2507295739431</v>
      </c>
      <c r="DE92">
        <f t="shared" si="50"/>
        <v>44465.201739279182</v>
      </c>
      <c r="DF92">
        <f t="shared" si="51"/>
        <v>206748.16470925364</v>
      </c>
      <c r="DG92" s="19">
        <v>32861</v>
      </c>
      <c r="DH92" s="19">
        <v>3492</v>
      </c>
      <c r="DI92" s="19">
        <v>369</v>
      </c>
      <c r="DJ92" s="19">
        <v>11</v>
      </c>
      <c r="DK92" s="19">
        <v>4</v>
      </c>
    </row>
    <row r="93" spans="1:115">
      <c r="A93" s="3">
        <v>43678</v>
      </c>
      <c r="B93">
        <f t="shared" si="52"/>
        <v>2019</v>
      </c>
      <c r="C93" s="2">
        <v>93474164.199999988</v>
      </c>
      <c r="D93" s="2">
        <v>26364558</v>
      </c>
      <c r="E93" s="2">
        <v>1335448.6224788334</v>
      </c>
      <c r="F93" s="2">
        <v>27700006.622478835</v>
      </c>
      <c r="G93" s="2">
        <v>32868</v>
      </c>
      <c r="H93" s="2">
        <v>9258381</v>
      </c>
      <c r="I93" s="2">
        <v>363888.13816237455</v>
      </c>
      <c r="J93" s="2">
        <v>9622269.1381623745</v>
      </c>
      <c r="K93" s="2">
        <v>3493</v>
      </c>
      <c r="L93" s="2">
        <v>18261776.753800001</v>
      </c>
      <c r="M93" s="2">
        <f>VLOOKUP('Monthly Data'!B93,'Historic CDM'!$B$111:$J$122,4,FALSE)/12+VLOOKUP('Monthly Data'!B93,'Historic CDM'!$N$111:$V$122,4,FALSE)/12</f>
        <v>2431133.3526467136</v>
      </c>
      <c r="N93" s="2">
        <f t="shared" si="42"/>
        <v>20692910.106446713</v>
      </c>
      <c r="O93" s="2">
        <v>49521.502</v>
      </c>
      <c r="P93" s="2">
        <v>374</v>
      </c>
      <c r="Q93" s="2">
        <v>10913171.246199999</v>
      </c>
      <c r="R93" s="2">
        <f>VLOOKUP('Monthly Data'!B93,'Historic CDM'!$B$111:$J$122,5,FALSE)/12+VLOOKUP('Monthly Data'!B93,'Historic CDM'!$N$111:$V$122,5,FALSE)/12</f>
        <v>181636.09214123851</v>
      </c>
      <c r="S93" s="2">
        <f t="shared" si="44"/>
        <v>11094807.338341238</v>
      </c>
      <c r="T93" s="2">
        <v>19835.498</v>
      </c>
      <c r="U93" s="2">
        <v>8</v>
      </c>
      <c r="V93" s="2">
        <v>25719439</v>
      </c>
      <c r="W93" s="2">
        <f>VLOOKUP('Monthly Data'!B93,'Historic CDM'!$B$111:$J$122,9,FALSE)/12+VLOOKUP('Monthly Data'!B93,'Historic CDM'!$N$111:$V$122,9,FALSE)/12</f>
        <v>58579.423947454619</v>
      </c>
      <c r="X93" s="2">
        <f t="shared" si="41"/>
        <v>25778018.423947453</v>
      </c>
      <c r="Y93" s="2">
        <v>41942</v>
      </c>
      <c r="Z93" s="2">
        <v>4</v>
      </c>
      <c r="AA93" s="2">
        <v>251602</v>
      </c>
      <c r="AB93" s="2">
        <v>800</v>
      </c>
      <c r="AC93" s="2">
        <v>10102</v>
      </c>
      <c r="AD93" s="2">
        <v>40577</v>
      </c>
      <c r="AE93" s="2">
        <v>108</v>
      </c>
      <c r="AF93" s="2">
        <v>381</v>
      </c>
      <c r="AG93" s="2">
        <v>189203</v>
      </c>
      <c r="AH93" s="2">
        <v>258</v>
      </c>
      <c r="AI93">
        <f>Weather!C249</f>
        <v>23.400000000000002</v>
      </c>
      <c r="AJ93">
        <f>Weather!D249</f>
        <v>46.500000000000007</v>
      </c>
      <c r="AK93">
        <f>Weather!E249</f>
        <v>5.3000000000000007</v>
      </c>
      <c r="AL93">
        <f>Weather!F249</f>
        <v>90.399999999999991</v>
      </c>
      <c r="AM93">
        <f>Weather!G249</f>
        <v>0</v>
      </c>
      <c r="AN93">
        <f>Weather!H249</f>
        <v>147.10000000000002</v>
      </c>
      <c r="AO93">
        <f>Weather!I249</f>
        <v>0</v>
      </c>
      <c r="AP93">
        <f>Weather!J249</f>
        <v>209.09999999999997</v>
      </c>
      <c r="AQ93">
        <f>Weather!K249</f>
        <v>0</v>
      </c>
      <c r="AR93">
        <f>Weather!L249</f>
        <v>271.09999999999997</v>
      </c>
      <c r="AS93">
        <f>Weather!M249</f>
        <v>0</v>
      </c>
      <c r="AT93">
        <f>Weather!N249</f>
        <v>333.09999999999991</v>
      </c>
      <c r="AU93">
        <f>Weather!O249</f>
        <v>0</v>
      </c>
      <c r="AV93">
        <f>Weather!P249</f>
        <v>395.09999999999991</v>
      </c>
      <c r="AW93" s="7">
        <f>Weather!Q249</f>
        <v>20.745161290322581</v>
      </c>
      <c r="AX93" s="5">
        <f>'Economic Variables'!D203</f>
        <v>7433.8</v>
      </c>
      <c r="AY93" s="5">
        <f>'Economic Variables'!E203</f>
        <v>7523.3</v>
      </c>
      <c r="AZ93" s="5">
        <f>'Economic Variables'!F203</f>
        <v>250.7</v>
      </c>
      <c r="BA93" s="5">
        <f>'Economic Variables'!G203</f>
        <v>256.2</v>
      </c>
      <c r="BB93" s="79">
        <f>'Economic Variables'!H203</f>
        <v>752393.2</v>
      </c>
      <c r="BC93" s="5">
        <f>'Economic Variables'!I203</f>
        <v>8330.9</v>
      </c>
      <c r="BD93" s="5">
        <f>'Economic Variables'!J203</f>
        <v>7605</v>
      </c>
      <c r="BE93" s="5">
        <f>'Economic Variables'!K203</f>
        <v>443.8</v>
      </c>
      <c r="BF93" s="5">
        <f>'Economic Variables'!L203</f>
        <v>7208.6</v>
      </c>
      <c r="BG93" s="5">
        <f>'Economic Variables'!M203</f>
        <v>274.8</v>
      </c>
      <c r="BH93" s="5">
        <f>'Economic Variables'!N203</f>
        <v>1005.5</v>
      </c>
      <c r="BI93" s="5">
        <f>BC93+BF93</f>
        <v>15539.5</v>
      </c>
      <c r="BJ93" s="5">
        <f>'Economic Variables'!P203</f>
        <v>755135</v>
      </c>
      <c r="BK93" s="5">
        <f>'Economic Variables'!Q203</f>
        <v>8449</v>
      </c>
      <c r="BL93" s="5">
        <f>'Economic Variables'!R203</f>
        <v>7127</v>
      </c>
      <c r="BM93" s="5">
        <f>'Economic Variables'!S203</f>
        <v>3366</v>
      </c>
      <c r="BN93" s="5">
        <f t="shared" si="35"/>
        <v>92</v>
      </c>
      <c r="BO93" s="80">
        <f t="shared" si="36"/>
        <v>1.9637878273455553</v>
      </c>
      <c r="BP93" s="5">
        <f t="shared" si="37"/>
        <v>8464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1</v>
      </c>
      <c r="BY93">
        <v>0</v>
      </c>
      <c r="BZ93">
        <v>0</v>
      </c>
      <c r="CA93">
        <v>0</v>
      </c>
      <c r="CB93">
        <v>0</v>
      </c>
      <c r="CC93">
        <f t="shared" si="54"/>
        <v>0</v>
      </c>
      <c r="CD93">
        <f t="shared" si="54"/>
        <v>0</v>
      </c>
      <c r="CE93">
        <f t="shared" si="38"/>
        <v>0</v>
      </c>
      <c r="CF93">
        <f t="shared" si="53"/>
        <v>31</v>
      </c>
      <c r="CG93">
        <v>20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 s="80">
        <f t="shared" si="45"/>
        <v>27.185974221891318</v>
      </c>
      <c r="CZ93" s="78">
        <f t="shared" si="46"/>
        <v>88.862232651130597</v>
      </c>
      <c r="DA93" s="5">
        <f t="shared" si="47"/>
        <v>2766.4318324126621</v>
      </c>
      <c r="DB93" s="5">
        <f t="shared" si="48"/>
        <v>69342.545864632732</v>
      </c>
      <c r="DC93" s="5">
        <f t="shared" si="49"/>
        <v>322225.23029934318</v>
      </c>
      <c r="DD93">
        <f t="shared" si="39"/>
        <v>1784.7947305888142</v>
      </c>
      <c r="DE93">
        <f t="shared" si="50"/>
        <v>44737.126364279182</v>
      </c>
      <c r="DF93">
        <f t="shared" si="51"/>
        <v>207887.24535441495</v>
      </c>
      <c r="DG93" s="19">
        <v>32868</v>
      </c>
      <c r="DH93" s="19">
        <v>3493</v>
      </c>
      <c r="DI93" s="19">
        <v>371</v>
      </c>
      <c r="DJ93" s="19">
        <v>11</v>
      </c>
      <c r="DK93" s="19">
        <v>4</v>
      </c>
    </row>
    <row r="94" spans="1:115">
      <c r="A94" s="3">
        <v>43709</v>
      </c>
      <c r="B94">
        <f t="shared" si="52"/>
        <v>2019</v>
      </c>
      <c r="C94" s="2">
        <v>77631143.509000003</v>
      </c>
      <c r="D94" s="2">
        <v>19884358</v>
      </c>
      <c r="E94" s="2">
        <v>1335448.6224788334</v>
      </c>
      <c r="F94" s="2">
        <v>21219806.622478835</v>
      </c>
      <c r="G94" s="2">
        <v>32879</v>
      </c>
      <c r="H94" s="2">
        <v>7909710</v>
      </c>
      <c r="I94" s="2">
        <v>363888.13816237455</v>
      </c>
      <c r="J94" s="2">
        <v>8273598.1381623745</v>
      </c>
      <c r="K94" s="2">
        <v>3495</v>
      </c>
      <c r="L94" s="2">
        <v>16512685.5669</v>
      </c>
      <c r="M94" s="2">
        <f>VLOOKUP('Monthly Data'!B94,'Historic CDM'!$B$111:$J$122,4,FALSE)/12+VLOOKUP('Monthly Data'!B94,'Historic CDM'!$N$111:$V$122,4,FALSE)/12</f>
        <v>2431133.3526467136</v>
      </c>
      <c r="N94" s="2">
        <f t="shared" si="42"/>
        <v>18943818.919546712</v>
      </c>
      <c r="O94" s="2">
        <v>49521.678800000002</v>
      </c>
      <c r="P94" s="2">
        <v>374</v>
      </c>
      <c r="Q94" s="2">
        <v>10256338.4331</v>
      </c>
      <c r="R94" s="2">
        <f>VLOOKUP('Monthly Data'!B94,'Historic CDM'!$B$111:$J$122,5,FALSE)/12+VLOOKUP('Monthly Data'!B94,'Historic CDM'!$N$111:$V$122,5,FALSE)/12</f>
        <v>181636.09214123851</v>
      </c>
      <c r="S94" s="2">
        <f t="shared" si="44"/>
        <v>10437974.525241239</v>
      </c>
      <c r="T94" s="2">
        <v>20125.321199999998</v>
      </c>
      <c r="U94" s="2">
        <v>8</v>
      </c>
      <c r="V94" s="2">
        <v>20400974</v>
      </c>
      <c r="W94" s="2">
        <f>VLOOKUP('Monthly Data'!B94,'Historic CDM'!$B$111:$J$122,9,FALSE)/12+VLOOKUP('Monthly Data'!B94,'Historic CDM'!$N$111:$V$122,9,FALSE)/12</f>
        <v>58579.423947454619</v>
      </c>
      <c r="X94" s="2">
        <f t="shared" si="41"/>
        <v>20459553.423947453</v>
      </c>
      <c r="Y94" s="2">
        <v>38222</v>
      </c>
      <c r="Z94" s="2">
        <v>4</v>
      </c>
      <c r="AA94" s="2">
        <v>286476</v>
      </c>
      <c r="AB94" s="2">
        <v>800</v>
      </c>
      <c r="AC94" s="2">
        <v>10100</v>
      </c>
      <c r="AD94" s="2">
        <v>39168</v>
      </c>
      <c r="AE94" s="2">
        <v>113</v>
      </c>
      <c r="AF94" s="2">
        <v>380</v>
      </c>
      <c r="AG94" s="2">
        <v>180088</v>
      </c>
      <c r="AH94" s="2">
        <v>258</v>
      </c>
      <c r="AI94">
        <f>Weather!C250</f>
        <v>69.900000000000006</v>
      </c>
      <c r="AJ94">
        <f>Weather!D250</f>
        <v>15.600000000000005</v>
      </c>
      <c r="AK94">
        <f>Weather!E250</f>
        <v>32.6</v>
      </c>
      <c r="AL94">
        <f>Weather!F250</f>
        <v>38.300000000000004</v>
      </c>
      <c r="AM94">
        <f>Weather!G250</f>
        <v>10.099999999999998</v>
      </c>
      <c r="AN94">
        <f>Weather!H250</f>
        <v>75.799999999999983</v>
      </c>
      <c r="AO94">
        <f>Weather!I250</f>
        <v>0.59999999999999964</v>
      </c>
      <c r="AP94">
        <f>Weather!J250</f>
        <v>126.30000000000001</v>
      </c>
      <c r="AQ94">
        <f>Weather!K250</f>
        <v>0</v>
      </c>
      <c r="AR94">
        <f>Weather!L250</f>
        <v>185.70000000000005</v>
      </c>
      <c r="AS94">
        <f>Weather!M250</f>
        <v>0</v>
      </c>
      <c r="AT94">
        <f>Weather!N250</f>
        <v>245.70000000000002</v>
      </c>
      <c r="AU94">
        <f>Weather!O250</f>
        <v>0</v>
      </c>
      <c r="AV94">
        <f>Weather!P250</f>
        <v>305.70000000000005</v>
      </c>
      <c r="AW94" s="7">
        <f>Weather!Q250</f>
        <v>18.189999999999998</v>
      </c>
      <c r="AX94" s="5">
        <f>'Economic Variables'!D204</f>
        <v>7448.5</v>
      </c>
      <c r="AY94" s="5">
        <f>'Economic Variables'!E204</f>
        <v>7505.1</v>
      </c>
      <c r="AZ94" s="5">
        <f>'Economic Variables'!F204</f>
        <v>254.8</v>
      </c>
      <c r="BA94" s="5">
        <f>'Economic Variables'!G204</f>
        <v>257.3</v>
      </c>
      <c r="BB94" s="79">
        <f>'Economic Variables'!H204</f>
        <v>752393.2</v>
      </c>
      <c r="BC94" s="5">
        <f>'Economic Variables'!I204</f>
        <v>8330.9</v>
      </c>
      <c r="BD94" s="5">
        <f>'Economic Variables'!J204</f>
        <v>7605</v>
      </c>
      <c r="BE94" s="5">
        <f>'Economic Variables'!K204</f>
        <v>443.8</v>
      </c>
      <c r="BF94" s="5">
        <f>'Economic Variables'!L204</f>
        <v>7208.6</v>
      </c>
      <c r="BG94" s="5">
        <f>'Economic Variables'!M204</f>
        <v>274.8</v>
      </c>
      <c r="BH94" s="5">
        <f>'Economic Variables'!N204</f>
        <v>1005.5</v>
      </c>
      <c r="BI94" s="5">
        <f>BC94+BF94</f>
        <v>15539.5</v>
      </c>
      <c r="BJ94" s="5">
        <f>'Economic Variables'!P204</f>
        <v>755135</v>
      </c>
      <c r="BK94" s="5">
        <f>'Economic Variables'!Q204</f>
        <v>8449</v>
      </c>
      <c r="BL94" s="5">
        <f>'Economic Variables'!R204</f>
        <v>7127</v>
      </c>
      <c r="BM94" s="5">
        <f>'Economic Variables'!S204</f>
        <v>3366</v>
      </c>
      <c r="BN94" s="5">
        <f t="shared" si="35"/>
        <v>93</v>
      </c>
      <c r="BO94" s="80">
        <f t="shared" si="36"/>
        <v>1.968482948553935</v>
      </c>
      <c r="BP94" s="5">
        <f t="shared" si="37"/>
        <v>8649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1</v>
      </c>
      <c r="BZ94">
        <v>0</v>
      </c>
      <c r="CA94">
        <v>0</v>
      </c>
      <c r="CB94">
        <v>0</v>
      </c>
      <c r="CC94">
        <f t="shared" si="54"/>
        <v>0</v>
      </c>
      <c r="CD94">
        <f t="shared" si="54"/>
        <v>1</v>
      </c>
      <c r="CE94">
        <f t="shared" si="38"/>
        <v>1</v>
      </c>
      <c r="CF94">
        <f t="shared" si="53"/>
        <v>30</v>
      </c>
      <c r="CG94">
        <v>21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 s="80">
        <f t="shared" si="45"/>
        <v>21.513029210619578</v>
      </c>
      <c r="CZ94" s="78">
        <f t="shared" si="46"/>
        <v>78.908899744037896</v>
      </c>
      <c r="DA94" s="5">
        <f t="shared" si="47"/>
        <v>2411.9962973703477</v>
      </c>
      <c r="DB94" s="5">
        <f t="shared" si="48"/>
        <v>62130.800745483568</v>
      </c>
      <c r="DC94" s="5">
        <f t="shared" si="49"/>
        <v>243566.11218985062</v>
      </c>
      <c r="DD94">
        <f t="shared" si="39"/>
        <v>1688.3974081592437</v>
      </c>
      <c r="DE94">
        <f t="shared" si="50"/>
        <v>43491.560521838495</v>
      </c>
      <c r="DF94">
        <f t="shared" si="51"/>
        <v>170496.27853289543</v>
      </c>
      <c r="DG94" s="19">
        <v>32879</v>
      </c>
      <c r="DH94" s="19">
        <v>3495</v>
      </c>
      <c r="DI94" s="19">
        <v>371</v>
      </c>
      <c r="DJ94" s="19">
        <v>11</v>
      </c>
      <c r="DK94" s="19">
        <v>4</v>
      </c>
    </row>
    <row r="95" spans="1:115">
      <c r="A95" s="3">
        <v>43739</v>
      </c>
      <c r="B95">
        <f t="shared" si="52"/>
        <v>2019</v>
      </c>
      <c r="C95" s="2">
        <v>74488025.611000001</v>
      </c>
      <c r="D95" s="2">
        <v>17568690</v>
      </c>
      <c r="E95" s="2">
        <v>1335448.6224788334</v>
      </c>
      <c r="F95" s="2">
        <v>18904138.622478835</v>
      </c>
      <c r="G95" s="2">
        <v>32889</v>
      </c>
      <c r="H95" s="2">
        <v>7436537</v>
      </c>
      <c r="I95" s="2">
        <v>363888.13816237455</v>
      </c>
      <c r="J95" s="2">
        <v>7800425.1381623745</v>
      </c>
      <c r="K95" s="2">
        <v>3493</v>
      </c>
      <c r="L95" s="2">
        <v>16153239.925100001</v>
      </c>
      <c r="M95" s="2">
        <f>VLOOKUP('Monthly Data'!B95,'Historic CDM'!$B$111:$J$122,4,FALSE)/12+VLOOKUP('Monthly Data'!B95,'Historic CDM'!$N$111:$V$122,4,FALSE)/12</f>
        <v>2431133.3526467136</v>
      </c>
      <c r="N95" s="2">
        <f t="shared" si="42"/>
        <v>18584373.277746715</v>
      </c>
      <c r="O95" s="2">
        <v>47517.264000000003</v>
      </c>
      <c r="P95" s="2">
        <v>376</v>
      </c>
      <c r="Q95" s="2">
        <v>9311906.0748999994</v>
      </c>
      <c r="R95" s="2">
        <f>VLOOKUP('Monthly Data'!B95,'Historic CDM'!$B$111:$J$122,5,FALSE)/12+VLOOKUP('Monthly Data'!B95,'Historic CDM'!$N$111:$V$122,5,FALSE)/12</f>
        <v>181636.09214123851</v>
      </c>
      <c r="S95" s="2">
        <f t="shared" si="44"/>
        <v>9493542.1670412384</v>
      </c>
      <c r="T95" s="2">
        <v>19655.736000000001</v>
      </c>
      <c r="U95" s="2">
        <v>8</v>
      </c>
      <c r="V95" s="2">
        <v>21189542</v>
      </c>
      <c r="W95" s="2">
        <f>VLOOKUP('Monthly Data'!B95,'Historic CDM'!$B$111:$J$122,9,FALSE)/12+VLOOKUP('Monthly Data'!B95,'Historic CDM'!$N$111:$V$122,9,FALSE)/12</f>
        <v>58579.423947454619</v>
      </c>
      <c r="X95" s="2">
        <f t="shared" si="41"/>
        <v>21248121.423947453</v>
      </c>
      <c r="Y95" s="2">
        <v>36208</v>
      </c>
      <c r="Z95" s="2">
        <v>4</v>
      </c>
      <c r="AA95" s="2">
        <v>322673</v>
      </c>
      <c r="AB95" s="2">
        <v>801</v>
      </c>
      <c r="AC95" s="2">
        <v>10103</v>
      </c>
      <c r="AD95" s="2">
        <v>39230</v>
      </c>
      <c r="AE95" s="2">
        <v>108</v>
      </c>
      <c r="AF95" s="2">
        <v>380</v>
      </c>
      <c r="AG95" s="2">
        <v>178506</v>
      </c>
      <c r="AH95" s="2">
        <v>258</v>
      </c>
      <c r="AI95">
        <f>Weather!C251</f>
        <v>293.8</v>
      </c>
      <c r="AJ95">
        <f>Weather!D251</f>
        <v>2.1999999999999993</v>
      </c>
      <c r="AK95">
        <f>Weather!E251</f>
        <v>233.80000000000007</v>
      </c>
      <c r="AL95">
        <f>Weather!F251</f>
        <v>4.1999999999999993</v>
      </c>
      <c r="AM95">
        <f>Weather!G251</f>
        <v>174.10000000000005</v>
      </c>
      <c r="AN95">
        <f>Weather!H251</f>
        <v>6.5</v>
      </c>
      <c r="AO95">
        <f>Weather!I251</f>
        <v>118.5</v>
      </c>
      <c r="AP95">
        <f>Weather!J251</f>
        <v>12.9</v>
      </c>
      <c r="AQ95">
        <f>Weather!K251</f>
        <v>71.3</v>
      </c>
      <c r="AR95">
        <f>Weather!L251</f>
        <v>27.7</v>
      </c>
      <c r="AS95">
        <f>Weather!M251</f>
        <v>36.200000000000003</v>
      </c>
      <c r="AT95">
        <f>Weather!N251</f>
        <v>54.600000000000016</v>
      </c>
      <c r="AU95">
        <f>Weather!O251</f>
        <v>14</v>
      </c>
      <c r="AV95">
        <f>Weather!P251</f>
        <v>94.4</v>
      </c>
      <c r="AW95" s="7">
        <f>Weather!Q251</f>
        <v>10.593548387096773</v>
      </c>
      <c r="AX95" s="5">
        <f>'Economic Variables'!D205</f>
        <v>7462.2</v>
      </c>
      <c r="AY95" s="5">
        <f>'Economic Variables'!E205</f>
        <v>7501.2</v>
      </c>
      <c r="AZ95" s="5">
        <f>'Economic Variables'!F205</f>
        <v>260.39999999999998</v>
      </c>
      <c r="BA95" s="5">
        <f>'Economic Variables'!G205</f>
        <v>261.3</v>
      </c>
      <c r="BB95" s="79">
        <f>'Economic Variables'!H205</f>
        <v>752393.2</v>
      </c>
      <c r="BC95" s="5">
        <f>'Economic Variables'!I205</f>
        <v>8330.9</v>
      </c>
      <c r="BD95" s="5">
        <f>'Economic Variables'!J205</f>
        <v>7605</v>
      </c>
      <c r="BE95" s="5">
        <f>'Economic Variables'!K205</f>
        <v>443.8</v>
      </c>
      <c r="BF95" s="5">
        <f>'Economic Variables'!L205</f>
        <v>7208.6</v>
      </c>
      <c r="BG95" s="5">
        <f>'Economic Variables'!M205</f>
        <v>274.8</v>
      </c>
      <c r="BH95" s="5">
        <f>'Economic Variables'!N205</f>
        <v>1005.5</v>
      </c>
      <c r="BI95" s="5">
        <f t="shared" si="34"/>
        <v>15539.5</v>
      </c>
      <c r="BJ95" s="5">
        <f>'Economic Variables'!P205</f>
        <v>755868</v>
      </c>
      <c r="BK95" s="5">
        <f>'Economic Variables'!Q205</f>
        <v>8560</v>
      </c>
      <c r="BL95" s="5">
        <f>'Economic Variables'!R205</f>
        <v>7208</v>
      </c>
      <c r="BM95" s="5">
        <f>'Economic Variables'!S205</f>
        <v>3193</v>
      </c>
      <c r="BN95" s="5">
        <f t="shared" si="35"/>
        <v>94</v>
      </c>
      <c r="BO95" s="80">
        <f t="shared" si="36"/>
        <v>1.9731278535996986</v>
      </c>
      <c r="BP95" s="5">
        <f t="shared" si="37"/>
        <v>8836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1</v>
      </c>
      <c r="CA95">
        <v>0</v>
      </c>
      <c r="CB95">
        <v>0</v>
      </c>
      <c r="CC95">
        <f t="shared" si="54"/>
        <v>0</v>
      </c>
      <c r="CD95">
        <f t="shared" si="54"/>
        <v>1</v>
      </c>
      <c r="CE95">
        <f t="shared" si="38"/>
        <v>1</v>
      </c>
      <c r="CF95">
        <f t="shared" si="53"/>
        <v>31</v>
      </c>
      <c r="CG95">
        <v>21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 s="80">
        <f t="shared" si="45"/>
        <v>18.541485703602081</v>
      </c>
      <c r="CZ95" s="78">
        <f t="shared" si="46"/>
        <v>72.037394033803778</v>
      </c>
      <c r="DA95" s="5">
        <f t="shared" si="47"/>
        <v>2353.6440321361088</v>
      </c>
      <c r="DB95" s="5">
        <f t="shared" si="48"/>
        <v>56509.179565721657</v>
      </c>
      <c r="DC95" s="5">
        <f t="shared" si="49"/>
        <v>252953.82647556491</v>
      </c>
      <c r="DD95">
        <f t="shared" si="39"/>
        <v>1594.4040217696222</v>
      </c>
      <c r="DE95">
        <f t="shared" si="50"/>
        <v>38280.411963875958</v>
      </c>
      <c r="DF95">
        <f t="shared" si="51"/>
        <v>171355.8179350601</v>
      </c>
      <c r="DG95" s="19">
        <v>32889</v>
      </c>
      <c r="DH95" s="19">
        <v>3493</v>
      </c>
      <c r="DI95" s="19">
        <v>373</v>
      </c>
      <c r="DJ95" s="19">
        <v>11</v>
      </c>
      <c r="DK95" s="19">
        <v>4</v>
      </c>
    </row>
    <row r="96" spans="1:115">
      <c r="A96" s="3">
        <v>43770</v>
      </c>
      <c r="B96">
        <f t="shared" si="52"/>
        <v>2019</v>
      </c>
      <c r="C96" s="2">
        <v>79575336.213</v>
      </c>
      <c r="D96" s="2">
        <v>19473549</v>
      </c>
      <c r="E96" s="2">
        <v>1335448.6224788334</v>
      </c>
      <c r="F96" s="2">
        <v>20808997.622478835</v>
      </c>
      <c r="G96" s="2">
        <v>32894</v>
      </c>
      <c r="H96" s="2">
        <v>8252119</v>
      </c>
      <c r="I96" s="2">
        <v>363888.13816237455</v>
      </c>
      <c r="J96" s="2">
        <v>8616007.1381623745</v>
      </c>
      <c r="K96" s="2">
        <v>3486</v>
      </c>
      <c r="L96" s="2">
        <v>16863808.834199999</v>
      </c>
      <c r="M96" s="2">
        <f>VLOOKUP('Monthly Data'!B96,'Historic CDM'!$B$111:$J$122,4,FALSE)/12+VLOOKUP('Monthly Data'!B96,'Historic CDM'!$N$111:$V$122,4,FALSE)/12</f>
        <v>2431133.3526467136</v>
      </c>
      <c r="N96" s="2">
        <f t="shared" si="42"/>
        <v>19294942.186846711</v>
      </c>
      <c r="O96" s="2">
        <v>44593.893199999999</v>
      </c>
      <c r="P96" s="2">
        <v>373</v>
      </c>
      <c r="Q96" s="2">
        <v>9947326.1657999996</v>
      </c>
      <c r="R96" s="2">
        <f>VLOOKUP('Monthly Data'!B96,'Historic CDM'!$B$111:$J$122,5,FALSE)/12+VLOOKUP('Monthly Data'!B96,'Historic CDM'!$N$111:$V$122,5,FALSE)/12</f>
        <v>181636.09214123851</v>
      </c>
      <c r="S96" s="2">
        <f t="shared" si="44"/>
        <v>10128962.257941239</v>
      </c>
      <c r="T96" s="2">
        <v>19101.106800000001</v>
      </c>
      <c r="U96" s="2">
        <v>8</v>
      </c>
      <c r="V96" s="2">
        <v>22319832</v>
      </c>
      <c r="W96" s="2">
        <f>VLOOKUP('Monthly Data'!B96,'Historic CDM'!$B$111:$J$122,9,FALSE)/12+VLOOKUP('Monthly Data'!B96,'Historic CDM'!$N$111:$V$122,9,FALSE)/12</f>
        <v>58579.423947454619</v>
      </c>
      <c r="X96" s="2">
        <f t="shared" si="41"/>
        <v>22378411.423947453</v>
      </c>
      <c r="Y96" s="2">
        <v>37278</v>
      </c>
      <c r="Z96" s="2">
        <v>4</v>
      </c>
      <c r="AA96" s="2">
        <v>342955</v>
      </c>
      <c r="AB96" s="2">
        <v>801</v>
      </c>
      <c r="AC96" s="2">
        <v>10104</v>
      </c>
      <c r="AD96" s="2">
        <v>39949</v>
      </c>
      <c r="AE96" s="2">
        <v>109</v>
      </c>
      <c r="AF96" s="2">
        <v>403</v>
      </c>
      <c r="AG96" s="2">
        <v>182668</v>
      </c>
      <c r="AH96" s="2">
        <v>255</v>
      </c>
      <c r="AI96">
        <f>Weather!C252</f>
        <v>563</v>
      </c>
      <c r="AJ96">
        <f>Weather!D252</f>
        <v>0</v>
      </c>
      <c r="AK96">
        <f>Weather!E252</f>
        <v>503</v>
      </c>
      <c r="AL96">
        <f>Weather!F252</f>
        <v>0</v>
      </c>
      <c r="AM96">
        <f>Weather!G252</f>
        <v>442.99999999999994</v>
      </c>
      <c r="AN96">
        <f>Weather!H252</f>
        <v>0</v>
      </c>
      <c r="AO96">
        <f>Weather!I252</f>
        <v>383</v>
      </c>
      <c r="AP96">
        <f>Weather!J252</f>
        <v>0</v>
      </c>
      <c r="AQ96">
        <f>Weather!K252</f>
        <v>323</v>
      </c>
      <c r="AR96">
        <f>Weather!L252</f>
        <v>0</v>
      </c>
      <c r="AS96">
        <f>Weather!M252</f>
        <v>262.99999999999994</v>
      </c>
      <c r="AT96">
        <f>Weather!N252</f>
        <v>0</v>
      </c>
      <c r="AU96">
        <f>Weather!O252</f>
        <v>203.19999999999996</v>
      </c>
      <c r="AV96">
        <f>Weather!P252</f>
        <v>0.19999999999999929</v>
      </c>
      <c r="AW96" s="7">
        <f>Weather!Q252</f>
        <v>1.2333333333333334</v>
      </c>
      <c r="AX96" s="5">
        <f>'Economic Variables'!D206</f>
        <v>7470.1</v>
      </c>
      <c r="AY96" s="5">
        <f>'Economic Variables'!E206</f>
        <v>7488.3</v>
      </c>
      <c r="AZ96" s="5">
        <f>'Economic Variables'!F206</f>
        <v>265.7</v>
      </c>
      <c r="BA96" s="5">
        <f>'Economic Variables'!G206</f>
        <v>265.2</v>
      </c>
      <c r="BB96" s="79">
        <f>'Economic Variables'!H206</f>
        <v>752393.2</v>
      </c>
      <c r="BC96" s="5">
        <f>'Economic Variables'!I206</f>
        <v>8330.9</v>
      </c>
      <c r="BD96" s="5">
        <f>'Economic Variables'!J206</f>
        <v>7605</v>
      </c>
      <c r="BE96" s="5">
        <f>'Economic Variables'!K206</f>
        <v>443.8</v>
      </c>
      <c r="BF96" s="5">
        <f>'Economic Variables'!L206</f>
        <v>7208.6</v>
      </c>
      <c r="BG96" s="5">
        <f>'Economic Variables'!M206</f>
        <v>274.8</v>
      </c>
      <c r="BH96" s="5">
        <f>'Economic Variables'!N206</f>
        <v>1005.5</v>
      </c>
      <c r="BI96" s="5">
        <f t="shared" si="34"/>
        <v>15539.5</v>
      </c>
      <c r="BJ96" s="5">
        <f>'Economic Variables'!P206</f>
        <v>755868</v>
      </c>
      <c r="BK96" s="5">
        <f>'Economic Variables'!Q206</f>
        <v>8560</v>
      </c>
      <c r="BL96" s="5">
        <f>'Economic Variables'!R206</f>
        <v>7208</v>
      </c>
      <c r="BM96" s="5">
        <f>'Economic Variables'!S206</f>
        <v>3193</v>
      </c>
      <c r="BN96" s="5">
        <f t="shared" si="35"/>
        <v>95</v>
      </c>
      <c r="BO96" s="80">
        <f t="shared" si="36"/>
        <v>1.9777236052888478</v>
      </c>
      <c r="BP96" s="5">
        <f t="shared" si="37"/>
        <v>9025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1</v>
      </c>
      <c r="CB96">
        <v>0</v>
      </c>
      <c r="CC96">
        <f t="shared" si="54"/>
        <v>0</v>
      </c>
      <c r="CD96">
        <f t="shared" si="54"/>
        <v>0</v>
      </c>
      <c r="CE96">
        <f t="shared" si="38"/>
        <v>0</v>
      </c>
      <c r="CF96">
        <f t="shared" si="53"/>
        <v>30</v>
      </c>
      <c r="CG96">
        <v>21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 s="80">
        <f t="shared" si="45"/>
        <v>21.086923271193161</v>
      </c>
      <c r="CZ96" s="78">
        <f t="shared" si="46"/>
        <v>82.386757871126164</v>
      </c>
      <c r="DA96" s="5">
        <f t="shared" si="47"/>
        <v>2463.2889297646766</v>
      </c>
      <c r="DB96" s="5">
        <f t="shared" si="48"/>
        <v>60291.442011554995</v>
      </c>
      <c r="DC96" s="5">
        <f t="shared" si="49"/>
        <v>266409.65980889823</v>
      </c>
      <c r="DD96">
        <f t="shared" si="39"/>
        <v>1724.3022508352738</v>
      </c>
      <c r="DE96">
        <f t="shared" si="50"/>
        <v>42204.009408088496</v>
      </c>
      <c r="DF96">
        <f t="shared" si="51"/>
        <v>186486.76186622877</v>
      </c>
      <c r="DG96" s="19">
        <v>32894</v>
      </c>
      <c r="DH96" s="19">
        <v>3486</v>
      </c>
      <c r="DI96" s="19">
        <v>370</v>
      </c>
      <c r="DJ96" s="19">
        <v>11</v>
      </c>
      <c r="DK96" s="19">
        <v>4</v>
      </c>
    </row>
    <row r="97" spans="1:115">
      <c r="A97" s="3">
        <v>43800</v>
      </c>
      <c r="B97">
        <f t="shared" si="52"/>
        <v>2019</v>
      </c>
      <c r="C97" s="2">
        <v>84835479</v>
      </c>
      <c r="D97" s="2">
        <v>21659266</v>
      </c>
      <c r="E97" s="2">
        <v>1335448.6224788334</v>
      </c>
      <c r="F97" s="2">
        <v>22994714.622478835</v>
      </c>
      <c r="G97" s="2">
        <v>32903</v>
      </c>
      <c r="H97" s="2">
        <v>8884348</v>
      </c>
      <c r="I97" s="2">
        <v>363888.13816237455</v>
      </c>
      <c r="J97" s="2">
        <v>9248236.1381623745</v>
      </c>
      <c r="K97" s="2">
        <v>3485</v>
      </c>
      <c r="L97" s="2">
        <v>17321360.001800001</v>
      </c>
      <c r="M97" s="2">
        <f>VLOOKUP('Monthly Data'!B97,'Historic CDM'!$B$111:$J$122,4,FALSE)/12+VLOOKUP('Monthly Data'!B97,'Historic CDM'!$N$111:$V$122,4,FALSE)/12</f>
        <v>2431133.3526467136</v>
      </c>
      <c r="N97" s="2">
        <f t="shared" si="42"/>
        <v>19752493.354446713</v>
      </c>
      <c r="O97" s="2">
        <v>44841.063999999998</v>
      </c>
      <c r="P97" s="2">
        <v>371</v>
      </c>
      <c r="Q97" s="2">
        <v>9366341.9981999993</v>
      </c>
      <c r="R97" s="2">
        <f>VLOOKUP('Monthly Data'!B97,'Historic CDM'!$B$111:$J$122,5,FALSE)/12+VLOOKUP('Monthly Data'!B97,'Historic CDM'!$N$111:$V$122,5,FALSE)/12</f>
        <v>181636.09214123851</v>
      </c>
      <c r="S97" s="2">
        <f t="shared" si="44"/>
        <v>9547978.0903412383</v>
      </c>
      <c r="T97" s="2">
        <v>18398.936000000002</v>
      </c>
      <c r="U97" s="2">
        <v>8</v>
      </c>
      <c r="V97" s="2">
        <v>24710883</v>
      </c>
      <c r="W97" s="2">
        <f>VLOOKUP('Monthly Data'!B97,'Historic CDM'!$B$111:$J$122,9,FALSE)/12+VLOOKUP('Monthly Data'!B97,'Historic CDM'!$N$111:$V$122,9,FALSE)/12</f>
        <v>58579.423947454619</v>
      </c>
      <c r="X97" s="2">
        <f t="shared" si="41"/>
        <v>24769462.423947453</v>
      </c>
      <c r="Y97" s="2">
        <v>38590</v>
      </c>
      <c r="Z97" s="2">
        <v>4</v>
      </c>
      <c r="AA97" s="2">
        <v>372143</v>
      </c>
      <c r="AB97" s="2">
        <v>801</v>
      </c>
      <c r="AC97" s="2">
        <v>10108</v>
      </c>
      <c r="AD97" s="2">
        <v>41244</v>
      </c>
      <c r="AE97" s="2">
        <v>110</v>
      </c>
      <c r="AF97" s="2">
        <v>403</v>
      </c>
      <c r="AG97" s="2">
        <v>188963</v>
      </c>
      <c r="AH97" s="2">
        <v>254</v>
      </c>
      <c r="AI97">
        <f>Weather!C253</f>
        <v>595.1</v>
      </c>
      <c r="AJ97">
        <f>Weather!D253</f>
        <v>0</v>
      </c>
      <c r="AK97">
        <f>Weather!E253</f>
        <v>533.1</v>
      </c>
      <c r="AL97">
        <f>Weather!F253</f>
        <v>0</v>
      </c>
      <c r="AM97">
        <f>Weather!G253</f>
        <v>471.1</v>
      </c>
      <c r="AN97">
        <f>Weather!H253</f>
        <v>0</v>
      </c>
      <c r="AO97">
        <f>Weather!I253</f>
        <v>409.1</v>
      </c>
      <c r="AP97">
        <f>Weather!J253</f>
        <v>0</v>
      </c>
      <c r="AQ97">
        <f>Weather!K253</f>
        <v>347.1</v>
      </c>
      <c r="AR97">
        <f>Weather!L253</f>
        <v>0</v>
      </c>
      <c r="AS97">
        <f>Weather!M253</f>
        <v>285.09999999999997</v>
      </c>
      <c r="AT97">
        <f>Weather!N253</f>
        <v>0</v>
      </c>
      <c r="AU97">
        <f>Weather!O253</f>
        <v>223.5</v>
      </c>
      <c r="AV97">
        <f>Weather!P253</f>
        <v>0.40000000000000036</v>
      </c>
      <c r="AW97" s="7">
        <f>Weather!Q253</f>
        <v>0.80322580645161301</v>
      </c>
      <c r="AX97" s="5">
        <f>'Economic Variables'!D207</f>
        <v>7482.6</v>
      </c>
      <c r="AY97" s="5">
        <f>'Economic Variables'!E207</f>
        <v>7493.8</v>
      </c>
      <c r="AZ97" s="5">
        <f>'Economic Variables'!F207</f>
        <v>266.10000000000002</v>
      </c>
      <c r="BA97" s="5">
        <f>'Economic Variables'!G207</f>
        <v>264.5</v>
      </c>
      <c r="BB97" s="79">
        <f>'Economic Variables'!H207</f>
        <v>752393.2</v>
      </c>
      <c r="BC97" s="5">
        <f>'Economic Variables'!I207</f>
        <v>8330.9</v>
      </c>
      <c r="BD97" s="5">
        <f>'Economic Variables'!J207</f>
        <v>7605</v>
      </c>
      <c r="BE97" s="5">
        <f>'Economic Variables'!K207</f>
        <v>443.8</v>
      </c>
      <c r="BF97" s="5">
        <f>'Economic Variables'!L207</f>
        <v>7208.6</v>
      </c>
      <c r="BG97" s="5">
        <f>'Economic Variables'!M207</f>
        <v>274.8</v>
      </c>
      <c r="BH97" s="5">
        <f>'Economic Variables'!N207</f>
        <v>1005.5</v>
      </c>
      <c r="BI97" s="5">
        <f t="shared" si="34"/>
        <v>15539.5</v>
      </c>
      <c r="BJ97" s="5">
        <f>'Economic Variables'!P207</f>
        <v>755868</v>
      </c>
      <c r="BK97" s="5">
        <f>'Economic Variables'!Q207</f>
        <v>8560</v>
      </c>
      <c r="BL97" s="5">
        <f>'Economic Variables'!R207</f>
        <v>7208</v>
      </c>
      <c r="BM97" s="5">
        <f>'Economic Variables'!S207</f>
        <v>3193</v>
      </c>
      <c r="BN97" s="5">
        <f t="shared" si="35"/>
        <v>96</v>
      </c>
      <c r="BO97" s="80">
        <f t="shared" si="36"/>
        <v>1.9822712330395684</v>
      </c>
      <c r="BP97" s="5">
        <f t="shared" si="37"/>
        <v>9216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1</v>
      </c>
      <c r="CC97">
        <f t="shared" si="54"/>
        <v>0</v>
      </c>
      <c r="CD97">
        <f t="shared" si="54"/>
        <v>0</v>
      </c>
      <c r="CE97">
        <f t="shared" si="38"/>
        <v>0</v>
      </c>
      <c r="CF97">
        <f t="shared" si="53"/>
        <v>31</v>
      </c>
      <c r="CG97">
        <v>21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 s="80">
        <f t="shared" si="45"/>
        <v>22.543992578849892</v>
      </c>
      <c r="CZ97" s="78">
        <f t="shared" si="46"/>
        <v>85.604074033066837</v>
      </c>
      <c r="DA97" s="5">
        <f t="shared" si="47"/>
        <v>2535.296284744797</v>
      </c>
      <c r="DB97" s="5">
        <f t="shared" si="48"/>
        <v>56833.202918697847</v>
      </c>
      <c r="DC97" s="5">
        <f t="shared" si="49"/>
        <v>294874.55266604113</v>
      </c>
      <c r="DD97">
        <f t="shared" si="39"/>
        <v>1717.4587735367977</v>
      </c>
      <c r="DE97">
        <f t="shared" si="50"/>
        <v>38499.911654601769</v>
      </c>
      <c r="DF97">
        <f t="shared" si="51"/>
        <v>199753.7292253827</v>
      </c>
      <c r="DG97" s="19">
        <v>32903</v>
      </c>
      <c r="DH97" s="19">
        <v>3485</v>
      </c>
      <c r="DI97" s="19">
        <v>368</v>
      </c>
      <c r="DJ97" s="19">
        <v>11</v>
      </c>
      <c r="DK97" s="19">
        <v>4</v>
      </c>
    </row>
    <row r="98" spans="1:115">
      <c r="A98" s="3">
        <v>43831</v>
      </c>
      <c r="B98">
        <f t="shared" ref="B98:B106" si="55">YEAR(A98)</f>
        <v>2020</v>
      </c>
      <c r="C98" s="2">
        <v>85793545.909999996</v>
      </c>
      <c r="D98" s="2">
        <v>21269108</v>
      </c>
      <c r="E98" s="2">
        <v>1316929.1653468369</v>
      </c>
      <c r="F98" s="2">
        <v>22586037.165346839</v>
      </c>
      <c r="G98" s="2">
        <v>32924</v>
      </c>
      <c r="H98" s="2">
        <v>8972484.4917000011</v>
      </c>
      <c r="I98" s="2">
        <v>402493.93105642492</v>
      </c>
      <c r="J98" s="2">
        <v>9374978.422756426</v>
      </c>
      <c r="K98" s="2">
        <v>3477</v>
      </c>
      <c r="L98" s="2">
        <v>18339805.007300001</v>
      </c>
      <c r="M98" s="2">
        <f>VLOOKUP('Monthly Data'!B98,'Historic CDM'!$B$111:$J$122,4,FALSE)/12+VLOOKUP('Monthly Data'!B98,'Historic CDM'!$N$111:$V$122,4,FALSE)/12</f>
        <v>2663197.0022316254</v>
      </c>
      <c r="N98" s="2">
        <f t="shared" si="42"/>
        <v>21003002.009531625</v>
      </c>
      <c r="O98" s="2">
        <v>46495.146000000001</v>
      </c>
      <c r="P98" s="2">
        <v>373</v>
      </c>
      <c r="Q98" s="2">
        <v>9596230.2354000006</v>
      </c>
      <c r="R98" s="2">
        <f>VLOOKUP('Monthly Data'!B98,'Historic CDM'!$B$111:$J$122,5,FALSE)/12+VLOOKUP('Monthly Data'!B98,'Historic CDM'!$N$111:$V$122,5,FALSE)/12</f>
        <v>325401.47595780867</v>
      </c>
      <c r="S98" s="2">
        <f t="shared" si="44"/>
        <v>9921631.7113578096</v>
      </c>
      <c r="T98" s="2">
        <v>16881.572414464659</v>
      </c>
      <c r="U98" s="2">
        <v>7</v>
      </c>
      <c r="V98" s="2">
        <v>25019492.682442501</v>
      </c>
      <c r="W98" s="2">
        <f>VLOOKUP('Monthly Data'!B98,'Historic CDM'!$B$111:$J$122,9,FALSE)/12+VLOOKUP('Monthly Data'!B98,'Historic CDM'!$N$111:$V$122,9,FALSE)/12</f>
        <v>93348.48581288378</v>
      </c>
      <c r="X98" s="2">
        <f t="shared" si="41"/>
        <v>25112841.168255385</v>
      </c>
      <c r="Y98" s="2">
        <v>38737.199159999996</v>
      </c>
      <c r="Z98" s="2">
        <v>4</v>
      </c>
      <c r="AA98" s="2">
        <v>361046.91109999997</v>
      </c>
      <c r="AB98" s="2">
        <v>798.81169999999997</v>
      </c>
      <c r="AC98" s="2">
        <v>10120</v>
      </c>
      <c r="AD98" s="2">
        <v>37740</v>
      </c>
      <c r="AE98" s="2">
        <v>101.76099999999985</v>
      </c>
      <c r="AF98" s="2">
        <v>377</v>
      </c>
      <c r="AG98" s="2">
        <v>187474</v>
      </c>
      <c r="AH98" s="2">
        <v>254</v>
      </c>
      <c r="AI98">
        <f>Weather!C254</f>
        <v>622.30000000000007</v>
      </c>
      <c r="AJ98">
        <f>Weather!D254</f>
        <v>0</v>
      </c>
      <c r="AK98">
        <f>Weather!E254</f>
        <v>560.30000000000007</v>
      </c>
      <c r="AL98">
        <f>Weather!F254</f>
        <v>0</v>
      </c>
      <c r="AM98">
        <f>Weather!G254</f>
        <v>498.29999999999995</v>
      </c>
      <c r="AN98">
        <f>Weather!H254</f>
        <v>0</v>
      </c>
      <c r="AO98">
        <f>Weather!I254</f>
        <v>436.29999999999995</v>
      </c>
      <c r="AP98">
        <f>Weather!J254</f>
        <v>0</v>
      </c>
      <c r="AQ98">
        <f>Weather!K254</f>
        <v>374.29999999999995</v>
      </c>
      <c r="AR98">
        <f>Weather!L254</f>
        <v>0</v>
      </c>
      <c r="AS98">
        <f>Weather!M254</f>
        <v>312.29999999999995</v>
      </c>
      <c r="AT98">
        <f>Weather!N254</f>
        <v>0</v>
      </c>
      <c r="AU98">
        <f>Weather!O254</f>
        <v>250.29999999999995</v>
      </c>
      <c r="AV98">
        <f>Weather!P254</f>
        <v>0</v>
      </c>
      <c r="AW98" s="7">
        <f>Weather!Q254</f>
        <v>-7.4193548387096714E-2</v>
      </c>
      <c r="AX98" s="5">
        <f>'Economic Variables'!D208</f>
        <v>7504.9</v>
      </c>
      <c r="AY98" s="5">
        <f>'Economic Variables'!E208</f>
        <v>7471.6</v>
      </c>
      <c r="AZ98" s="5">
        <f>'Economic Variables'!F208</f>
        <v>268.8</v>
      </c>
      <c r="BA98" s="5">
        <f>'Economic Variables'!G208</f>
        <v>266.39999999999998</v>
      </c>
      <c r="BB98" s="79">
        <f>'Economic Variables'!H208</f>
        <v>716151.8</v>
      </c>
      <c r="BC98" s="5">
        <f>'Economic Variables'!I208</f>
        <v>8734.2999999999993</v>
      </c>
      <c r="BD98" s="5">
        <f>'Economic Variables'!J208</f>
        <v>8058.6</v>
      </c>
      <c r="BE98" s="5">
        <f>'Economic Variables'!K208</f>
        <v>436.5</v>
      </c>
      <c r="BF98" s="5">
        <f>'Economic Variables'!L208</f>
        <v>6462.7</v>
      </c>
      <c r="BG98" s="5">
        <f>'Economic Variables'!M208</f>
        <v>261.60000000000002</v>
      </c>
      <c r="BH98" s="5">
        <f>'Economic Variables'!N208</f>
        <v>945</v>
      </c>
      <c r="BI98" s="5">
        <f t="shared" ref="BI98:BI106" si="56">BC98+BF98</f>
        <v>15197</v>
      </c>
      <c r="BJ98" s="5">
        <f>'Economic Variables'!P208</f>
        <v>744929</v>
      </c>
      <c r="BK98" s="5">
        <f>'Economic Variables'!Q208</f>
        <v>8332</v>
      </c>
      <c r="BL98" s="5">
        <f>'Economic Variables'!R208</f>
        <v>7290</v>
      </c>
      <c r="BM98" s="5">
        <f>'Economic Variables'!S208</f>
        <v>3219</v>
      </c>
      <c r="BN98" s="5">
        <f t="shared" si="35"/>
        <v>97</v>
      </c>
      <c r="BO98" s="80">
        <f t="shared" ref="BO98:BO106" si="57">LOG(BN98)</f>
        <v>1.9867717342662448</v>
      </c>
      <c r="BP98" s="5">
        <f t="shared" ref="BP98:BP106" si="58">BN98^2</f>
        <v>9409</v>
      </c>
      <c r="BQ98">
        <f>BQ86</f>
        <v>1</v>
      </c>
      <c r="BR98">
        <f t="shared" ref="BR98:CE98" si="59">BR86</f>
        <v>0</v>
      </c>
      <c r="BS98">
        <f t="shared" si="59"/>
        <v>0</v>
      </c>
      <c r="BT98">
        <f t="shared" si="59"/>
        <v>0</v>
      </c>
      <c r="BU98">
        <f t="shared" si="59"/>
        <v>0</v>
      </c>
      <c r="BV98">
        <f t="shared" si="59"/>
        <v>0</v>
      </c>
      <c r="BW98">
        <f t="shared" si="59"/>
        <v>0</v>
      </c>
      <c r="BX98">
        <f t="shared" si="59"/>
        <v>0</v>
      </c>
      <c r="BY98">
        <f t="shared" si="59"/>
        <v>0</v>
      </c>
      <c r="BZ98">
        <f t="shared" si="59"/>
        <v>0</v>
      </c>
      <c r="CA98">
        <f t="shared" si="59"/>
        <v>0</v>
      </c>
      <c r="CB98">
        <f t="shared" si="59"/>
        <v>0</v>
      </c>
      <c r="CC98">
        <f t="shared" si="59"/>
        <v>0</v>
      </c>
      <c r="CD98">
        <f t="shared" si="59"/>
        <v>0</v>
      </c>
      <c r="CE98">
        <f t="shared" si="59"/>
        <v>0</v>
      </c>
      <c r="CF98">
        <f>CF50</f>
        <v>31</v>
      </c>
      <c r="CG98">
        <v>22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 s="80">
        <f t="shared" ref="CY98:CY106" si="60">F98/$CF98/G98</f>
        <v>22.129201920891944</v>
      </c>
      <c r="CZ98" s="78">
        <f t="shared" ref="CZ98:CZ106" si="61">J98/$CF98/K98</f>
        <v>86.976893528499971</v>
      </c>
      <c r="DA98" s="5">
        <f t="shared" ref="DA98:DA106" si="62">N98/$CG98/P98</f>
        <v>2559.4689263382434</v>
      </c>
      <c r="DB98" s="5">
        <f t="shared" ref="DB98:DB106" si="63">S98/$CG98/U98</f>
        <v>64426.179943881878</v>
      </c>
      <c r="DC98" s="5">
        <f t="shared" ref="DC98:DC106" si="64">X98/$CG98/Z98</f>
        <v>285373.1950938112</v>
      </c>
      <c r="DD98">
        <f t="shared" ref="DD98:DD106" si="65">N98/$CF98/P98</f>
        <v>1816.3973025626244</v>
      </c>
      <c r="DE98">
        <f t="shared" ref="DE98:DE106" si="66">S98/$CF98/U98</f>
        <v>45721.80512146456</v>
      </c>
      <c r="DF98">
        <f t="shared" ref="DF98:DF106" si="67">X98/$CF98/Z98</f>
        <v>202522.91264722086</v>
      </c>
      <c r="DG98" s="19">
        <v>32924</v>
      </c>
      <c r="DH98" s="19">
        <v>3477</v>
      </c>
      <c r="DI98" s="19">
        <v>370</v>
      </c>
      <c r="DJ98" s="19">
        <v>10</v>
      </c>
      <c r="DK98" s="19">
        <v>4</v>
      </c>
    </row>
    <row r="99" spans="1:115">
      <c r="A99" s="3">
        <v>43862</v>
      </c>
      <c r="B99">
        <f t="shared" si="55"/>
        <v>2020</v>
      </c>
      <c r="C99" s="2">
        <v>80614227.849999994</v>
      </c>
      <c r="D99" s="2">
        <v>19874682</v>
      </c>
      <c r="E99" s="2">
        <v>1316929.1653468369</v>
      </c>
      <c r="F99" s="2">
        <v>21191611.165346839</v>
      </c>
      <c r="G99" s="2">
        <v>32945</v>
      </c>
      <c r="H99" s="2">
        <v>8419467.6387000009</v>
      </c>
      <c r="I99" s="2">
        <v>402493.93105642492</v>
      </c>
      <c r="J99" s="2">
        <v>8821961.5697564259</v>
      </c>
      <c r="K99" s="2">
        <v>3480</v>
      </c>
      <c r="L99" s="2">
        <v>17415175.743999999</v>
      </c>
      <c r="M99" s="2">
        <f>VLOOKUP('Monthly Data'!B99,'Historic CDM'!$B$111:$J$122,4,FALSE)/12+VLOOKUP('Monthly Data'!B99,'Historic CDM'!$N$111:$V$122,4,FALSE)/12</f>
        <v>2663197.0022316254</v>
      </c>
      <c r="N99" s="2">
        <f t="shared" si="42"/>
        <v>20078372.746231623</v>
      </c>
      <c r="O99" s="2">
        <v>45008.48149999998</v>
      </c>
      <c r="P99" s="2">
        <v>377</v>
      </c>
      <c r="Q99" s="2">
        <v>8951717.4705999997</v>
      </c>
      <c r="R99" s="2">
        <f>VLOOKUP('Monthly Data'!B99,'Historic CDM'!$B$111:$J$122,5,FALSE)/12+VLOOKUP('Monthly Data'!B99,'Historic CDM'!$N$111:$V$122,5,FALSE)/12</f>
        <v>325401.47595780867</v>
      </c>
      <c r="S99" s="2">
        <f t="shared" si="44"/>
        <v>9277118.9465578087</v>
      </c>
      <c r="T99" s="2">
        <v>16777.182234058619</v>
      </c>
      <c r="U99" s="2">
        <v>7</v>
      </c>
      <c r="V99" s="2">
        <v>23436895.789642498</v>
      </c>
      <c r="W99" s="2">
        <f>VLOOKUP('Monthly Data'!B99,'Historic CDM'!$B$111:$J$122,9,FALSE)/12+VLOOKUP('Monthly Data'!B99,'Historic CDM'!$N$111:$V$122,9,FALSE)/12</f>
        <v>93348.48581288378</v>
      </c>
      <c r="X99" s="2">
        <f t="shared" si="41"/>
        <v>23530244.275455382</v>
      </c>
      <c r="Y99" s="2">
        <v>38072.806199999999</v>
      </c>
      <c r="Z99" s="2">
        <v>4</v>
      </c>
      <c r="AA99" s="2">
        <v>311246.44910000003</v>
      </c>
      <c r="AB99" s="2">
        <v>796.78070000000002</v>
      </c>
      <c r="AC99" s="2">
        <v>10120</v>
      </c>
      <c r="AD99" s="2">
        <v>35409</v>
      </c>
      <c r="AE99" s="2">
        <v>101.75099999999986</v>
      </c>
      <c r="AF99" s="2">
        <v>377</v>
      </c>
      <c r="AG99" s="2">
        <v>175380</v>
      </c>
      <c r="AH99" s="2">
        <v>254</v>
      </c>
      <c r="AI99">
        <f>Weather!C255</f>
        <v>642.40000000000009</v>
      </c>
      <c r="AJ99">
        <f>Weather!D255</f>
        <v>0</v>
      </c>
      <c r="AK99">
        <f>Weather!E255</f>
        <v>584.40000000000009</v>
      </c>
      <c r="AL99">
        <f>Weather!F255</f>
        <v>0</v>
      </c>
      <c r="AM99">
        <f>Weather!G255</f>
        <v>526.40000000000009</v>
      </c>
      <c r="AN99">
        <f>Weather!H255</f>
        <v>0</v>
      </c>
      <c r="AO99">
        <f>Weather!I255</f>
        <v>468.4</v>
      </c>
      <c r="AP99">
        <f>Weather!J255</f>
        <v>0</v>
      </c>
      <c r="AQ99">
        <f>Weather!K255</f>
        <v>410.4</v>
      </c>
      <c r="AR99">
        <f>Weather!L255</f>
        <v>0</v>
      </c>
      <c r="AS99">
        <f>Weather!M255</f>
        <v>352.39999999999992</v>
      </c>
      <c r="AT99">
        <f>Weather!N255</f>
        <v>0</v>
      </c>
      <c r="AU99">
        <f>Weather!O255</f>
        <v>294.40000000000003</v>
      </c>
      <c r="AV99">
        <f>Weather!P255</f>
        <v>0</v>
      </c>
      <c r="AW99" s="7">
        <f>Weather!Q255</f>
        <v>-2.1517241379310343</v>
      </c>
      <c r="AX99" s="5">
        <f>'Economic Variables'!D209</f>
        <v>7512.3</v>
      </c>
      <c r="AY99" s="5">
        <f>'Economic Variables'!E209</f>
        <v>7442.1</v>
      </c>
      <c r="AZ99" s="5">
        <f>'Economic Variables'!F209</f>
        <v>269.39999999999998</v>
      </c>
      <c r="BA99" s="5">
        <f>'Economic Variables'!G209</f>
        <v>266</v>
      </c>
      <c r="BB99" s="79">
        <f>'Economic Variables'!H209</f>
        <v>716151.8</v>
      </c>
      <c r="BC99" s="5">
        <f>'Economic Variables'!I209</f>
        <v>8734.2999999999993</v>
      </c>
      <c r="BD99" s="5">
        <f>'Economic Variables'!J209</f>
        <v>8058.6</v>
      </c>
      <c r="BE99" s="5">
        <f>'Economic Variables'!K209</f>
        <v>436.5</v>
      </c>
      <c r="BF99" s="5">
        <f>'Economic Variables'!L209</f>
        <v>6462.7</v>
      </c>
      <c r="BG99" s="5">
        <f>'Economic Variables'!M209</f>
        <v>261.60000000000002</v>
      </c>
      <c r="BH99" s="5">
        <f>'Economic Variables'!N209</f>
        <v>945</v>
      </c>
      <c r="BI99" s="5">
        <f t="shared" si="56"/>
        <v>15197</v>
      </c>
      <c r="BJ99" s="5">
        <f>'Economic Variables'!P209</f>
        <v>744929</v>
      </c>
      <c r="BK99" s="5">
        <f>'Economic Variables'!Q209</f>
        <v>8332</v>
      </c>
      <c r="BL99" s="5">
        <f>'Economic Variables'!R209</f>
        <v>7290</v>
      </c>
      <c r="BM99" s="5">
        <f>'Economic Variables'!S209</f>
        <v>3219</v>
      </c>
      <c r="BN99" s="5">
        <f t="shared" si="35"/>
        <v>98</v>
      </c>
      <c r="BO99" s="80">
        <f t="shared" si="57"/>
        <v>1.9912260756924949</v>
      </c>
      <c r="BP99" s="5">
        <f t="shared" si="58"/>
        <v>9604</v>
      </c>
      <c r="BQ99">
        <f t="shared" ref="BQ99:CE99" si="68">BQ87</f>
        <v>0</v>
      </c>
      <c r="BR99">
        <f t="shared" si="68"/>
        <v>1</v>
      </c>
      <c r="BS99">
        <f t="shared" si="68"/>
        <v>0</v>
      </c>
      <c r="BT99">
        <f t="shared" si="68"/>
        <v>0</v>
      </c>
      <c r="BU99">
        <f t="shared" si="68"/>
        <v>0</v>
      </c>
      <c r="BV99">
        <f t="shared" si="68"/>
        <v>0</v>
      </c>
      <c r="BW99">
        <f t="shared" si="68"/>
        <v>0</v>
      </c>
      <c r="BX99">
        <f t="shared" si="68"/>
        <v>0</v>
      </c>
      <c r="BY99">
        <f t="shared" si="68"/>
        <v>0</v>
      </c>
      <c r="BZ99">
        <f t="shared" si="68"/>
        <v>0</v>
      </c>
      <c r="CA99">
        <f t="shared" si="68"/>
        <v>0</v>
      </c>
      <c r="CB99">
        <f t="shared" si="68"/>
        <v>0</v>
      </c>
      <c r="CC99">
        <f t="shared" si="68"/>
        <v>0</v>
      </c>
      <c r="CD99">
        <f t="shared" si="68"/>
        <v>0</v>
      </c>
      <c r="CE99">
        <f t="shared" si="68"/>
        <v>0</v>
      </c>
      <c r="CF99">
        <f t="shared" si="53"/>
        <v>29</v>
      </c>
      <c r="CG99">
        <v>19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 s="80">
        <f t="shared" si="60"/>
        <v>22.180762258253662</v>
      </c>
      <c r="CZ99" s="78">
        <f t="shared" si="61"/>
        <v>87.415394072100938</v>
      </c>
      <c r="DA99" s="5">
        <f t="shared" si="62"/>
        <v>2803.0675340264725</v>
      </c>
      <c r="DB99" s="5">
        <f t="shared" si="63"/>
        <v>69752.774034269241</v>
      </c>
      <c r="DC99" s="5">
        <f t="shared" si="64"/>
        <v>309608.47730862343</v>
      </c>
      <c r="DD99">
        <f t="shared" si="65"/>
        <v>1836.4925222932061</v>
      </c>
      <c r="DE99">
        <f t="shared" si="66"/>
        <v>45700.093332797092</v>
      </c>
      <c r="DF99">
        <f t="shared" si="67"/>
        <v>202846.93340909813</v>
      </c>
      <c r="DG99" s="19">
        <v>32945</v>
      </c>
      <c r="DH99" s="19">
        <v>3480</v>
      </c>
      <c r="DI99" s="19">
        <v>374</v>
      </c>
      <c r="DJ99" s="19">
        <v>10</v>
      </c>
      <c r="DK99" s="19">
        <v>4</v>
      </c>
    </row>
    <row r="100" spans="1:115">
      <c r="A100" s="3">
        <v>43891</v>
      </c>
      <c r="B100">
        <f t="shared" si="55"/>
        <v>2020</v>
      </c>
      <c r="C100" s="2">
        <v>79684656.841999993</v>
      </c>
      <c r="D100" s="2">
        <v>19954590</v>
      </c>
      <c r="E100" s="2">
        <v>1316929.1653468369</v>
      </c>
      <c r="F100" s="2">
        <v>21271519.165346839</v>
      </c>
      <c r="G100" s="2">
        <v>32948</v>
      </c>
      <c r="H100" s="2">
        <v>7804350.5681999996</v>
      </c>
      <c r="I100" s="2">
        <v>402493.93105642492</v>
      </c>
      <c r="J100" s="2">
        <v>8206844.4992564246</v>
      </c>
      <c r="K100" s="2">
        <v>3469</v>
      </c>
      <c r="L100" s="2">
        <v>16370015.6293</v>
      </c>
      <c r="M100" s="2">
        <f>VLOOKUP('Monthly Data'!B100,'Historic CDM'!$B$111:$J$122,4,FALSE)/12+VLOOKUP('Monthly Data'!B100,'Historic CDM'!$N$111:$V$122,4,FALSE)/12</f>
        <v>2663197.0022316254</v>
      </c>
      <c r="N100" s="2">
        <f t="shared" si="42"/>
        <v>19033212.631531626</v>
      </c>
      <c r="O100" s="2">
        <v>43688.862700000027</v>
      </c>
      <c r="P100" s="2">
        <v>378</v>
      </c>
      <c r="Q100" s="2">
        <v>8744080.9705999997</v>
      </c>
      <c r="R100" s="2">
        <f>VLOOKUP('Monthly Data'!B100,'Historic CDM'!$B$111:$J$122,5,FALSE)/12+VLOOKUP('Monthly Data'!B100,'Historic CDM'!$N$111:$V$122,5,FALSE)/12</f>
        <v>325401.47595780867</v>
      </c>
      <c r="S100" s="2">
        <f t="shared" si="44"/>
        <v>9069482.4465578087</v>
      </c>
      <c r="T100" s="2">
        <v>16975.27640463004</v>
      </c>
      <c r="U100" s="2">
        <v>7</v>
      </c>
      <c r="V100" s="2">
        <v>24144121.358527504</v>
      </c>
      <c r="W100" s="2">
        <f>VLOOKUP('Monthly Data'!B100,'Historic CDM'!$B$111:$J$122,9,FALSE)/12+VLOOKUP('Monthly Data'!B100,'Historic CDM'!$N$111:$V$122,9,FALSE)/12</f>
        <v>93348.48581288378</v>
      </c>
      <c r="X100" s="2">
        <f t="shared" si="41"/>
        <v>24237469.844340388</v>
      </c>
      <c r="Y100" s="2">
        <v>37867.646520000002</v>
      </c>
      <c r="Z100" s="2">
        <v>4</v>
      </c>
      <c r="AA100" s="2">
        <v>297441.027</v>
      </c>
      <c r="AB100" s="2">
        <v>797.57870000000003</v>
      </c>
      <c r="AC100" s="2">
        <v>10127</v>
      </c>
      <c r="AD100" s="2">
        <v>38216</v>
      </c>
      <c r="AE100" s="2">
        <v>102.73099999999987</v>
      </c>
      <c r="AF100" s="2">
        <v>377</v>
      </c>
      <c r="AG100" s="2">
        <v>187474</v>
      </c>
      <c r="AH100" s="2">
        <v>254</v>
      </c>
      <c r="AI100">
        <f>Weather!C256</f>
        <v>517.70000000000005</v>
      </c>
      <c r="AJ100">
        <f>Weather!D256</f>
        <v>0</v>
      </c>
      <c r="AK100">
        <f>Weather!E256</f>
        <v>455.7000000000001</v>
      </c>
      <c r="AL100">
        <f>Weather!F256</f>
        <v>0</v>
      </c>
      <c r="AM100">
        <f>Weather!G256</f>
        <v>393.70000000000005</v>
      </c>
      <c r="AN100">
        <f>Weather!H256</f>
        <v>0</v>
      </c>
      <c r="AO100">
        <f>Weather!I256</f>
        <v>331.70000000000005</v>
      </c>
      <c r="AP100">
        <f>Weather!J256</f>
        <v>0</v>
      </c>
      <c r="AQ100">
        <f>Weather!K256</f>
        <v>270.60000000000002</v>
      </c>
      <c r="AR100">
        <f>Weather!L256</f>
        <v>0.90000000000000036</v>
      </c>
      <c r="AS100">
        <f>Weather!M256</f>
        <v>211.29999999999998</v>
      </c>
      <c r="AT100">
        <f>Weather!N256</f>
        <v>3.5999999999999996</v>
      </c>
      <c r="AU100">
        <f>Weather!O256</f>
        <v>153.29999999999998</v>
      </c>
      <c r="AV100">
        <f>Weather!P256</f>
        <v>7.6</v>
      </c>
      <c r="AW100" s="7">
        <f>Weather!Q256</f>
        <v>3.3000000000000003</v>
      </c>
      <c r="AX100" s="5">
        <f>'Economic Variables'!D210</f>
        <v>7358</v>
      </c>
      <c r="AY100" s="5">
        <f>'Economic Variables'!E210</f>
        <v>7256.2</v>
      </c>
      <c r="AZ100" s="5">
        <f>'Economic Variables'!F210</f>
        <v>266.8</v>
      </c>
      <c r="BA100" s="5">
        <f>'Economic Variables'!G210</f>
        <v>264.10000000000002</v>
      </c>
      <c r="BB100" s="79">
        <f>'Economic Variables'!H210</f>
        <v>716151.8</v>
      </c>
      <c r="BC100" s="5">
        <f>'Economic Variables'!I210</f>
        <v>8734.2999999999993</v>
      </c>
      <c r="BD100" s="5">
        <f>'Economic Variables'!J210</f>
        <v>8058.6</v>
      </c>
      <c r="BE100" s="5">
        <f>'Economic Variables'!K210</f>
        <v>436.5</v>
      </c>
      <c r="BF100" s="5">
        <f>'Economic Variables'!L210</f>
        <v>6462.7</v>
      </c>
      <c r="BG100" s="5">
        <f>'Economic Variables'!M210</f>
        <v>261.60000000000002</v>
      </c>
      <c r="BH100" s="5">
        <f>'Economic Variables'!N210</f>
        <v>945</v>
      </c>
      <c r="BI100" s="5">
        <f t="shared" si="56"/>
        <v>15197</v>
      </c>
      <c r="BJ100" s="5">
        <f>'Economic Variables'!P210</f>
        <v>744929</v>
      </c>
      <c r="BK100" s="5">
        <f>'Economic Variables'!Q210</f>
        <v>8332</v>
      </c>
      <c r="BL100" s="5">
        <f>'Economic Variables'!R210</f>
        <v>7290</v>
      </c>
      <c r="BM100" s="5">
        <f>'Economic Variables'!S210</f>
        <v>3219</v>
      </c>
      <c r="BN100" s="5">
        <f t="shared" si="35"/>
        <v>99</v>
      </c>
      <c r="BO100" s="80">
        <f t="shared" si="57"/>
        <v>1.9956351945975499</v>
      </c>
      <c r="BP100" s="5">
        <f t="shared" si="58"/>
        <v>9801</v>
      </c>
      <c r="BQ100">
        <f t="shared" ref="BQ100:CE100" si="69">BQ88</f>
        <v>0</v>
      </c>
      <c r="BR100">
        <f t="shared" si="69"/>
        <v>0</v>
      </c>
      <c r="BS100">
        <f t="shared" si="69"/>
        <v>1</v>
      </c>
      <c r="BT100">
        <f t="shared" si="69"/>
        <v>0</v>
      </c>
      <c r="BU100">
        <f t="shared" si="69"/>
        <v>0</v>
      </c>
      <c r="BV100">
        <f t="shared" si="69"/>
        <v>0</v>
      </c>
      <c r="BW100">
        <f t="shared" si="69"/>
        <v>0</v>
      </c>
      <c r="BX100">
        <f t="shared" si="69"/>
        <v>0</v>
      </c>
      <c r="BY100">
        <f t="shared" si="69"/>
        <v>0</v>
      </c>
      <c r="BZ100">
        <f t="shared" si="69"/>
        <v>0</v>
      </c>
      <c r="CA100">
        <f t="shared" si="69"/>
        <v>0</v>
      </c>
      <c r="CB100">
        <f t="shared" si="69"/>
        <v>0</v>
      </c>
      <c r="CC100">
        <f t="shared" si="69"/>
        <v>1</v>
      </c>
      <c r="CD100">
        <f t="shared" si="69"/>
        <v>0</v>
      </c>
      <c r="CE100">
        <f t="shared" si="69"/>
        <v>1</v>
      </c>
      <c r="CF100">
        <f t="shared" si="53"/>
        <v>31</v>
      </c>
      <c r="CG100">
        <v>22</v>
      </c>
      <c r="CH100">
        <v>1</v>
      </c>
      <c r="CI100">
        <v>0.5</v>
      </c>
      <c r="CJ100">
        <v>0.5</v>
      </c>
      <c r="CK100">
        <v>517.70000000000005</v>
      </c>
      <c r="CL100">
        <v>0</v>
      </c>
      <c r="CM100">
        <v>455.7000000000001</v>
      </c>
      <c r="CN100">
        <v>0</v>
      </c>
      <c r="CO100">
        <v>393.70000000000005</v>
      </c>
      <c r="CP100">
        <v>0</v>
      </c>
      <c r="CQ100">
        <v>331.70000000000005</v>
      </c>
      <c r="CR100">
        <v>0</v>
      </c>
      <c r="CS100">
        <v>270.60000000000002</v>
      </c>
      <c r="CT100">
        <v>0.90000000000000036</v>
      </c>
      <c r="CU100">
        <v>211.29999999999998</v>
      </c>
      <c r="CV100">
        <v>3.5999999999999996</v>
      </c>
      <c r="CW100">
        <v>153.29999999999998</v>
      </c>
      <c r="CX100">
        <v>7.6</v>
      </c>
      <c r="CY100" s="80">
        <f t="shared" si="60"/>
        <v>20.82609073667092</v>
      </c>
      <c r="CZ100" s="78">
        <f t="shared" si="61"/>
        <v>76.315053136596248</v>
      </c>
      <c r="DA100" s="5">
        <f t="shared" si="62"/>
        <v>2288.7461076877858</v>
      </c>
      <c r="DB100" s="5">
        <f t="shared" si="63"/>
        <v>58892.743159466292</v>
      </c>
      <c r="DC100" s="5">
        <f t="shared" si="64"/>
        <v>275425.79368568625</v>
      </c>
      <c r="DD100">
        <f t="shared" si="65"/>
        <v>1624.2714312622998</v>
      </c>
      <c r="DE100">
        <f t="shared" si="66"/>
        <v>41794.849984137363</v>
      </c>
      <c r="DF100">
        <f t="shared" si="67"/>
        <v>195463.46648661603</v>
      </c>
      <c r="DG100" s="19">
        <v>32948</v>
      </c>
      <c r="DH100" s="19">
        <v>3469</v>
      </c>
      <c r="DI100" s="19">
        <v>375</v>
      </c>
      <c r="DJ100" s="19">
        <v>10</v>
      </c>
      <c r="DK100" s="19">
        <v>4</v>
      </c>
    </row>
    <row r="101" spans="1:115">
      <c r="A101" s="3">
        <v>43922</v>
      </c>
      <c r="B101">
        <f t="shared" si="55"/>
        <v>2020</v>
      </c>
      <c r="C101" s="2">
        <v>70121964.585999995</v>
      </c>
      <c r="D101" s="2">
        <v>18877359</v>
      </c>
      <c r="E101" s="2">
        <v>1316929.1653468369</v>
      </c>
      <c r="F101" s="2">
        <v>20194288.165346839</v>
      </c>
      <c r="G101" s="2">
        <v>32972</v>
      </c>
      <c r="H101" s="2">
        <v>6373556.1447999999</v>
      </c>
      <c r="I101" s="2">
        <v>402493.93105642492</v>
      </c>
      <c r="J101" s="2">
        <v>6776050.0758564249</v>
      </c>
      <c r="K101" s="2">
        <v>3492</v>
      </c>
      <c r="L101" s="2">
        <v>13483628.0768</v>
      </c>
      <c r="M101" s="2">
        <f>VLOOKUP('Monthly Data'!B101,'Historic CDM'!$B$111:$J$122,4,FALSE)/12+VLOOKUP('Monthly Data'!B101,'Historic CDM'!$N$111:$V$122,4,FALSE)/12</f>
        <v>2663197.0022316254</v>
      </c>
      <c r="N101" s="2">
        <f t="shared" si="42"/>
        <v>16146825.079031626</v>
      </c>
      <c r="O101" s="2">
        <v>37751.436657644525</v>
      </c>
      <c r="P101" s="2">
        <v>367</v>
      </c>
      <c r="Q101" s="2">
        <v>6667644.6582000004</v>
      </c>
      <c r="R101" s="2">
        <f>VLOOKUP('Monthly Data'!B101,'Historic CDM'!$B$111:$J$122,5,FALSE)/12+VLOOKUP('Monthly Data'!B101,'Historic CDM'!$N$111:$V$122,5,FALSE)/12</f>
        <v>325401.47595780867</v>
      </c>
      <c r="S101" s="2">
        <f t="shared" si="44"/>
        <v>6993046.1341578094</v>
      </c>
      <c r="T101" s="2">
        <v>15469.919530781117</v>
      </c>
      <c r="U101" s="2">
        <v>7</v>
      </c>
      <c r="V101" s="2">
        <v>22214453.056290001</v>
      </c>
      <c r="W101" s="2">
        <f>VLOOKUP('Monthly Data'!B101,'Historic CDM'!$B$111:$J$122,9,FALSE)/12+VLOOKUP('Monthly Data'!B101,'Historic CDM'!$N$111:$V$122,9,FALSE)/12</f>
        <v>93348.48581288378</v>
      </c>
      <c r="X101" s="2">
        <f t="shared" si="41"/>
        <v>22307801.542102885</v>
      </c>
      <c r="Y101" s="2">
        <v>39130.12917</v>
      </c>
      <c r="Z101" s="2">
        <v>4</v>
      </c>
      <c r="AA101" s="2">
        <v>251703.02619999999</v>
      </c>
      <c r="AB101" s="2">
        <v>796.78070000000002</v>
      </c>
      <c r="AC101" s="2">
        <v>10131</v>
      </c>
      <c r="AD101" s="2">
        <v>35856</v>
      </c>
      <c r="AE101" s="2">
        <v>97.360999999999876</v>
      </c>
      <c r="AF101" s="2">
        <v>377</v>
      </c>
      <c r="AG101" s="2">
        <v>180830</v>
      </c>
      <c r="AH101" s="2">
        <v>253</v>
      </c>
      <c r="AI101">
        <f>Weather!C257</f>
        <v>436.59999999999997</v>
      </c>
      <c r="AJ101">
        <f>Weather!D257</f>
        <v>0</v>
      </c>
      <c r="AK101">
        <f>Weather!E257</f>
        <v>376.6</v>
      </c>
      <c r="AL101">
        <f>Weather!F257</f>
        <v>0</v>
      </c>
      <c r="AM101">
        <f>Weather!G257</f>
        <v>316.60000000000002</v>
      </c>
      <c r="AN101">
        <f>Weather!H257</f>
        <v>0</v>
      </c>
      <c r="AO101">
        <f>Weather!I257</f>
        <v>257.10000000000008</v>
      </c>
      <c r="AP101">
        <f>Weather!J257</f>
        <v>0.5</v>
      </c>
      <c r="AQ101">
        <f>Weather!K257</f>
        <v>201.10000000000005</v>
      </c>
      <c r="AR101">
        <f>Weather!L257</f>
        <v>4.5</v>
      </c>
      <c r="AS101">
        <f>Weather!M257</f>
        <v>146.90000000000006</v>
      </c>
      <c r="AT101">
        <f>Weather!N257</f>
        <v>10.3</v>
      </c>
      <c r="AU101">
        <f>Weather!O257</f>
        <v>96.499999999999986</v>
      </c>
      <c r="AV101">
        <f>Weather!P257</f>
        <v>19.899999999999999</v>
      </c>
      <c r="AW101" s="7">
        <f>Weather!Q257</f>
        <v>5.4466666666666672</v>
      </c>
      <c r="AX101" s="5">
        <f>'Economic Variables'!D211</f>
        <v>6963.7</v>
      </c>
      <c r="AY101" s="5">
        <f>'Economic Variables'!E211</f>
        <v>6885.2</v>
      </c>
      <c r="AZ101" s="5">
        <f>'Economic Variables'!F211</f>
        <v>250.7</v>
      </c>
      <c r="BA101" s="5">
        <f>'Economic Variables'!G211</f>
        <v>248.2</v>
      </c>
      <c r="BB101" s="79">
        <f>'Economic Variables'!H211</f>
        <v>716151.8</v>
      </c>
      <c r="BC101" s="5">
        <f>'Economic Variables'!I211</f>
        <v>8734.2999999999993</v>
      </c>
      <c r="BD101" s="5">
        <f>'Economic Variables'!J211</f>
        <v>8058.6</v>
      </c>
      <c r="BE101" s="5">
        <f>'Economic Variables'!K211</f>
        <v>436.5</v>
      </c>
      <c r="BF101" s="5">
        <f>'Economic Variables'!L211</f>
        <v>6462.7</v>
      </c>
      <c r="BG101" s="5">
        <f>'Economic Variables'!M211</f>
        <v>261.60000000000002</v>
      </c>
      <c r="BH101" s="5">
        <f>'Economic Variables'!N211</f>
        <v>945</v>
      </c>
      <c r="BI101" s="5">
        <f t="shared" si="56"/>
        <v>15197</v>
      </c>
      <c r="BJ101" s="5">
        <f>'Economic Variables'!P211</f>
        <v>657308</v>
      </c>
      <c r="BK101" s="5">
        <f>'Economic Variables'!Q211</f>
        <v>8622</v>
      </c>
      <c r="BL101" s="5">
        <f>'Economic Variables'!R211</f>
        <v>5997</v>
      </c>
      <c r="BM101" s="5">
        <f>'Economic Variables'!S211</f>
        <v>3067</v>
      </c>
      <c r="BN101" s="5">
        <f t="shared" si="35"/>
        <v>100</v>
      </c>
      <c r="BO101" s="80">
        <f t="shared" si="57"/>
        <v>2</v>
      </c>
      <c r="BP101" s="5">
        <f t="shared" si="58"/>
        <v>10000</v>
      </c>
      <c r="BQ101">
        <f t="shared" ref="BQ101:CE101" si="70">BQ89</f>
        <v>0</v>
      </c>
      <c r="BR101">
        <f t="shared" si="70"/>
        <v>0</v>
      </c>
      <c r="BS101">
        <f t="shared" si="70"/>
        <v>0</v>
      </c>
      <c r="BT101">
        <f t="shared" si="70"/>
        <v>1</v>
      </c>
      <c r="BU101">
        <f t="shared" si="70"/>
        <v>0</v>
      </c>
      <c r="BV101">
        <f t="shared" si="70"/>
        <v>0</v>
      </c>
      <c r="BW101">
        <f t="shared" si="70"/>
        <v>0</v>
      </c>
      <c r="BX101">
        <f t="shared" si="70"/>
        <v>0</v>
      </c>
      <c r="BY101">
        <f t="shared" si="70"/>
        <v>0</v>
      </c>
      <c r="BZ101">
        <f t="shared" si="70"/>
        <v>0</v>
      </c>
      <c r="CA101">
        <f t="shared" si="70"/>
        <v>0</v>
      </c>
      <c r="CB101">
        <f t="shared" si="70"/>
        <v>0</v>
      </c>
      <c r="CC101">
        <f t="shared" si="70"/>
        <v>1</v>
      </c>
      <c r="CD101">
        <f t="shared" si="70"/>
        <v>0</v>
      </c>
      <c r="CE101">
        <f t="shared" si="70"/>
        <v>1</v>
      </c>
      <c r="CF101">
        <f t="shared" si="53"/>
        <v>30</v>
      </c>
      <c r="CG101">
        <v>21</v>
      </c>
      <c r="CH101">
        <v>1</v>
      </c>
      <c r="CI101">
        <v>1</v>
      </c>
      <c r="CJ101">
        <v>1</v>
      </c>
      <c r="CK101">
        <v>436.59999999999997</v>
      </c>
      <c r="CL101">
        <v>0</v>
      </c>
      <c r="CM101">
        <v>376.6</v>
      </c>
      <c r="CN101">
        <v>0</v>
      </c>
      <c r="CO101">
        <v>316.60000000000002</v>
      </c>
      <c r="CP101">
        <v>0</v>
      </c>
      <c r="CQ101">
        <v>257.10000000000008</v>
      </c>
      <c r="CR101">
        <v>0.5</v>
      </c>
      <c r="CS101">
        <v>201.10000000000005</v>
      </c>
      <c r="CT101">
        <v>4.5</v>
      </c>
      <c r="CU101">
        <v>146.90000000000006</v>
      </c>
      <c r="CV101">
        <v>10.3</v>
      </c>
      <c r="CW101">
        <v>96.499999999999986</v>
      </c>
      <c r="CX101">
        <v>19.899999999999999</v>
      </c>
      <c r="CY101" s="80">
        <f t="shared" si="60"/>
        <v>20.415593195587004</v>
      </c>
      <c r="CZ101" s="78">
        <f t="shared" si="61"/>
        <v>64.681654026884544</v>
      </c>
      <c r="DA101" s="5">
        <f t="shared" si="62"/>
        <v>2095.0856466889354</v>
      </c>
      <c r="DB101" s="5">
        <f t="shared" si="63"/>
        <v>47571.742409236795</v>
      </c>
      <c r="DC101" s="5">
        <f t="shared" si="64"/>
        <v>265569.0659774153</v>
      </c>
      <c r="DD101">
        <f t="shared" si="65"/>
        <v>1466.559952682255</v>
      </c>
      <c r="DE101">
        <f t="shared" si="66"/>
        <v>33300.21968646576</v>
      </c>
      <c r="DF101">
        <f t="shared" si="67"/>
        <v>185898.34618419071</v>
      </c>
      <c r="DG101" s="19">
        <v>32972</v>
      </c>
      <c r="DH101" s="19">
        <v>3492</v>
      </c>
      <c r="DI101" s="19">
        <v>364</v>
      </c>
      <c r="DJ101" s="19">
        <v>10</v>
      </c>
      <c r="DK101" s="19">
        <v>4</v>
      </c>
    </row>
    <row r="102" spans="1:115">
      <c r="A102" s="3">
        <v>43952</v>
      </c>
      <c r="B102">
        <f t="shared" si="55"/>
        <v>2020</v>
      </c>
      <c r="C102" s="2">
        <v>76465573.435000002</v>
      </c>
      <c r="D102" s="2">
        <v>20776763</v>
      </c>
      <c r="E102" s="2">
        <v>1316929.1653468369</v>
      </c>
      <c r="F102" s="2">
        <v>22093692.165346839</v>
      </c>
      <c r="G102" s="2">
        <v>32990</v>
      </c>
      <c r="H102" s="2">
        <v>6578556.1870000008</v>
      </c>
      <c r="I102" s="2">
        <v>402493.93105642492</v>
      </c>
      <c r="J102" s="2">
        <v>6981050.1180564258</v>
      </c>
      <c r="K102" s="2">
        <v>3492</v>
      </c>
      <c r="L102" s="2">
        <v>14074312.727499999</v>
      </c>
      <c r="M102" s="2">
        <f>VLOOKUP('Monthly Data'!B102,'Historic CDM'!$B$111:$J$122,4,FALSE)/12+VLOOKUP('Monthly Data'!B102,'Historic CDM'!$N$111:$V$122,4,FALSE)/12</f>
        <v>2663197.0022316254</v>
      </c>
      <c r="N102" s="2">
        <f t="shared" si="42"/>
        <v>16737509.729731625</v>
      </c>
      <c r="O102" s="2">
        <v>44924.407099535056</v>
      </c>
      <c r="P102" s="2">
        <v>367</v>
      </c>
      <c r="Q102" s="2">
        <v>7562912.0127999997</v>
      </c>
      <c r="R102" s="2">
        <f>VLOOKUP('Monthly Data'!B102,'Historic CDM'!$B$111:$J$122,5,FALSE)/12+VLOOKUP('Monthly Data'!B102,'Historic CDM'!$N$111:$V$122,5,FALSE)/12</f>
        <v>325401.47595780867</v>
      </c>
      <c r="S102" s="2">
        <f t="shared" si="44"/>
        <v>7888313.4887578087</v>
      </c>
      <c r="T102" s="2">
        <v>15960.428550789582</v>
      </c>
      <c r="U102" s="2">
        <v>7</v>
      </c>
      <c r="V102" s="2">
        <v>24746131.3460625</v>
      </c>
      <c r="W102" s="2">
        <f>VLOOKUP('Monthly Data'!B102,'Historic CDM'!$B$111:$J$122,9,FALSE)/12+VLOOKUP('Monthly Data'!B102,'Historic CDM'!$N$111:$V$122,9,FALSE)/12</f>
        <v>93348.48581288378</v>
      </c>
      <c r="X102" s="2">
        <f t="shared" si="41"/>
        <v>24839479.831875384</v>
      </c>
      <c r="Y102" s="2">
        <v>39883.359779999999</v>
      </c>
      <c r="Z102" s="2">
        <v>4</v>
      </c>
      <c r="AA102" s="2">
        <v>229479.27240000002</v>
      </c>
      <c r="AB102" s="2">
        <v>796.83070000000009</v>
      </c>
      <c r="AC102" s="2">
        <v>10131</v>
      </c>
      <c r="AD102" s="2">
        <v>36944</v>
      </c>
      <c r="AE102" s="2">
        <v>99.150999999999854</v>
      </c>
      <c r="AF102" s="2">
        <v>368</v>
      </c>
      <c r="AG102" s="2">
        <v>186856</v>
      </c>
      <c r="AH102" s="2">
        <v>253</v>
      </c>
      <c r="AI102">
        <f>Weather!C258</f>
        <v>263.60000000000002</v>
      </c>
      <c r="AJ102">
        <f>Weather!D258</f>
        <v>17.7</v>
      </c>
      <c r="AK102">
        <f>Weather!E258</f>
        <v>212.40000000000003</v>
      </c>
      <c r="AL102">
        <f>Weather!F258</f>
        <v>28.5</v>
      </c>
      <c r="AM102">
        <f>Weather!G258</f>
        <v>164.40000000000003</v>
      </c>
      <c r="AN102">
        <f>Weather!H258</f>
        <v>42.5</v>
      </c>
      <c r="AO102">
        <f>Weather!I258</f>
        <v>121.30000000000003</v>
      </c>
      <c r="AP102">
        <f>Weather!J258</f>
        <v>61.4</v>
      </c>
      <c r="AQ102">
        <f>Weather!K258</f>
        <v>87.800000000000026</v>
      </c>
      <c r="AR102">
        <f>Weather!L258</f>
        <v>89.899999999999991</v>
      </c>
      <c r="AS102">
        <f>Weather!M258</f>
        <v>59.899999999999991</v>
      </c>
      <c r="AT102">
        <f>Weather!N258</f>
        <v>124.00000000000001</v>
      </c>
      <c r="AU102">
        <f>Weather!O258</f>
        <v>36.099999999999994</v>
      </c>
      <c r="AV102">
        <f>Weather!P258</f>
        <v>162.19999999999999</v>
      </c>
      <c r="AW102" s="7">
        <f>Weather!Q258</f>
        <v>12.067741935483872</v>
      </c>
      <c r="AX102" s="5">
        <f>'Economic Variables'!D212</f>
        <v>6568.2</v>
      </c>
      <c r="AY102" s="5">
        <f>'Economic Variables'!E212</f>
        <v>6536.7</v>
      </c>
      <c r="AZ102" s="5">
        <f>'Economic Variables'!F212</f>
        <v>239.5</v>
      </c>
      <c r="BA102" s="5">
        <f>'Economic Variables'!G212</f>
        <v>238.2</v>
      </c>
      <c r="BB102" s="79">
        <f>'Economic Variables'!H212</f>
        <v>716151.8</v>
      </c>
      <c r="BC102" s="5">
        <f>'Economic Variables'!I212</f>
        <v>8734.2999999999993</v>
      </c>
      <c r="BD102" s="5">
        <f>'Economic Variables'!J212</f>
        <v>8058.6</v>
      </c>
      <c r="BE102" s="5">
        <f>'Economic Variables'!K212</f>
        <v>436.5</v>
      </c>
      <c r="BF102" s="5">
        <f>'Economic Variables'!L212</f>
        <v>6462.7</v>
      </c>
      <c r="BG102" s="5">
        <f>'Economic Variables'!M212</f>
        <v>261.60000000000002</v>
      </c>
      <c r="BH102" s="5">
        <f>'Economic Variables'!N212</f>
        <v>945</v>
      </c>
      <c r="BI102" s="5">
        <f t="shared" si="56"/>
        <v>15197</v>
      </c>
      <c r="BJ102" s="5">
        <f>'Economic Variables'!P212</f>
        <v>657308</v>
      </c>
      <c r="BK102" s="5">
        <f>'Economic Variables'!Q212</f>
        <v>8622</v>
      </c>
      <c r="BL102" s="5">
        <f>'Economic Variables'!R212</f>
        <v>5997</v>
      </c>
      <c r="BM102" s="5">
        <f>'Economic Variables'!S212</f>
        <v>3067</v>
      </c>
      <c r="BN102" s="5">
        <f t="shared" si="35"/>
        <v>101</v>
      </c>
      <c r="BO102" s="80">
        <f t="shared" si="57"/>
        <v>2.0043213737826426</v>
      </c>
      <c r="BP102" s="5">
        <f t="shared" si="58"/>
        <v>10201</v>
      </c>
      <c r="BQ102">
        <f t="shared" ref="BQ102:CE102" si="71">BQ90</f>
        <v>0</v>
      </c>
      <c r="BR102">
        <f t="shared" si="71"/>
        <v>0</v>
      </c>
      <c r="BS102">
        <f t="shared" si="71"/>
        <v>0</v>
      </c>
      <c r="BT102">
        <f t="shared" si="71"/>
        <v>0</v>
      </c>
      <c r="BU102">
        <f t="shared" si="71"/>
        <v>1</v>
      </c>
      <c r="BV102">
        <f t="shared" si="71"/>
        <v>0</v>
      </c>
      <c r="BW102">
        <f t="shared" si="71"/>
        <v>0</v>
      </c>
      <c r="BX102">
        <f t="shared" si="71"/>
        <v>0</v>
      </c>
      <c r="BY102">
        <f t="shared" si="71"/>
        <v>0</v>
      </c>
      <c r="BZ102">
        <f t="shared" si="71"/>
        <v>0</v>
      </c>
      <c r="CA102">
        <f t="shared" si="71"/>
        <v>0</v>
      </c>
      <c r="CB102">
        <f t="shared" si="71"/>
        <v>0</v>
      </c>
      <c r="CC102">
        <f t="shared" si="71"/>
        <v>1</v>
      </c>
      <c r="CD102">
        <f t="shared" si="71"/>
        <v>0</v>
      </c>
      <c r="CE102">
        <f t="shared" si="71"/>
        <v>1</v>
      </c>
      <c r="CF102">
        <f t="shared" si="53"/>
        <v>31</v>
      </c>
      <c r="CG102">
        <v>20</v>
      </c>
      <c r="CH102">
        <v>1</v>
      </c>
      <c r="CI102">
        <v>1</v>
      </c>
      <c r="CJ102">
        <v>1</v>
      </c>
      <c r="CK102">
        <v>263.60000000000002</v>
      </c>
      <c r="CL102">
        <v>17.7</v>
      </c>
      <c r="CM102">
        <v>212.40000000000003</v>
      </c>
      <c r="CN102">
        <v>28.5</v>
      </c>
      <c r="CO102">
        <v>164.40000000000003</v>
      </c>
      <c r="CP102">
        <v>42.5</v>
      </c>
      <c r="CQ102">
        <v>121.30000000000003</v>
      </c>
      <c r="CR102">
        <v>61.4</v>
      </c>
      <c r="CS102">
        <v>87.800000000000026</v>
      </c>
      <c r="CT102">
        <v>89.899999999999991</v>
      </c>
      <c r="CU102">
        <v>59.899999999999991</v>
      </c>
      <c r="CV102">
        <v>124.00000000000001</v>
      </c>
      <c r="CW102">
        <v>36.099999999999994</v>
      </c>
      <c r="CX102">
        <v>162.19999999999999</v>
      </c>
      <c r="CY102" s="80">
        <f t="shared" si="60"/>
        <v>21.603508556206513</v>
      </c>
      <c r="CZ102" s="78">
        <f t="shared" si="61"/>
        <v>64.488878894213741</v>
      </c>
      <c r="DA102" s="5">
        <f t="shared" si="62"/>
        <v>2280.3146770751532</v>
      </c>
      <c r="DB102" s="5">
        <f t="shared" si="63"/>
        <v>56345.096348270061</v>
      </c>
      <c r="DC102" s="5">
        <f t="shared" si="64"/>
        <v>310493.49789844232</v>
      </c>
      <c r="DD102">
        <f t="shared" si="65"/>
        <v>1471.1707594033248</v>
      </c>
      <c r="DE102">
        <f t="shared" si="66"/>
        <v>36351.675063400042</v>
      </c>
      <c r="DF102">
        <f t="shared" si="67"/>
        <v>200318.38574093051</v>
      </c>
      <c r="DG102" s="19">
        <v>32990</v>
      </c>
      <c r="DH102" s="19">
        <v>3492</v>
      </c>
      <c r="DI102" s="19">
        <v>364</v>
      </c>
      <c r="DJ102" s="19">
        <v>10</v>
      </c>
      <c r="DK102" s="19">
        <v>4</v>
      </c>
    </row>
    <row r="103" spans="1:115">
      <c r="A103" s="3">
        <v>43983</v>
      </c>
      <c r="B103">
        <f t="shared" si="55"/>
        <v>2020</v>
      </c>
      <c r="C103" s="2">
        <v>82215618.697999999</v>
      </c>
      <c r="D103" s="2">
        <v>25438992</v>
      </c>
      <c r="E103" s="2">
        <v>1316929.1653468369</v>
      </c>
      <c r="F103" s="2">
        <v>26755921.165346839</v>
      </c>
      <c r="G103" s="2">
        <v>33005</v>
      </c>
      <c r="H103" s="2">
        <v>7536109.5622999994</v>
      </c>
      <c r="I103" s="2">
        <v>402493.93105642492</v>
      </c>
      <c r="J103" s="2">
        <v>7938603.4933564244</v>
      </c>
      <c r="K103" s="2">
        <v>3489</v>
      </c>
      <c r="L103" s="2">
        <v>15417127.8377</v>
      </c>
      <c r="M103" s="2">
        <f>VLOOKUP('Monthly Data'!B103,'Historic CDM'!$B$111:$J$122,4,FALSE)/12+VLOOKUP('Monthly Data'!B103,'Historic CDM'!$N$111:$V$122,4,FALSE)/12</f>
        <v>2663197.0022316254</v>
      </c>
      <c r="N103" s="2">
        <f t="shared" si="42"/>
        <v>18080324.839931626</v>
      </c>
      <c r="O103" s="2">
        <v>45779.457057969237</v>
      </c>
      <c r="P103" s="2">
        <v>370</v>
      </c>
      <c r="Q103" s="2">
        <v>9540691.3804000001</v>
      </c>
      <c r="R103" s="2">
        <f>VLOOKUP('Monthly Data'!B103,'Historic CDM'!$B$111:$J$122,5,FALSE)/12+VLOOKUP('Monthly Data'!B103,'Historic CDM'!$N$111:$V$122,5,FALSE)/12</f>
        <v>325401.47595780867</v>
      </c>
      <c r="S103" s="2">
        <f t="shared" si="44"/>
        <v>9866092.8563578092</v>
      </c>
      <c r="T103" s="2">
        <v>19947.043807362079</v>
      </c>
      <c r="U103" s="2">
        <v>8</v>
      </c>
      <c r="V103" s="2">
        <v>21252125.333835002</v>
      </c>
      <c r="W103" s="2">
        <f>VLOOKUP('Monthly Data'!B103,'Historic CDM'!$B$111:$J$122,9,FALSE)/12+VLOOKUP('Monthly Data'!B103,'Historic CDM'!$N$111:$V$122,9,FALSE)/12</f>
        <v>93348.48581288378</v>
      </c>
      <c r="X103" s="2">
        <f t="shared" si="41"/>
        <v>21345473.819647886</v>
      </c>
      <c r="Y103" s="2">
        <v>35291.124207009721</v>
      </c>
      <c r="Z103" s="2">
        <v>4</v>
      </c>
      <c r="AA103" s="2">
        <v>206807.5668</v>
      </c>
      <c r="AB103" s="2">
        <v>797.8687000000001</v>
      </c>
      <c r="AC103" s="2">
        <v>10139</v>
      </c>
      <c r="AD103" s="2">
        <v>35769</v>
      </c>
      <c r="AE103" s="2">
        <v>99.358999999999867</v>
      </c>
      <c r="AF103" s="2">
        <v>368</v>
      </c>
      <c r="AG103" s="2">
        <v>180830</v>
      </c>
      <c r="AH103" s="2">
        <v>253</v>
      </c>
      <c r="AI103">
        <f>Weather!C259</f>
        <v>59.5</v>
      </c>
      <c r="AJ103">
        <f>Weather!D259</f>
        <v>34.399999999999991</v>
      </c>
      <c r="AK103">
        <f>Weather!E259</f>
        <v>33.4</v>
      </c>
      <c r="AL103">
        <f>Weather!F259</f>
        <v>68.3</v>
      </c>
      <c r="AM103">
        <f>Weather!G259</f>
        <v>16.099999999999998</v>
      </c>
      <c r="AN103">
        <f>Weather!H259</f>
        <v>111.00000000000001</v>
      </c>
      <c r="AO103">
        <f>Weather!I259</f>
        <v>6.7999999999999989</v>
      </c>
      <c r="AP103">
        <f>Weather!J259</f>
        <v>161.70000000000002</v>
      </c>
      <c r="AQ103">
        <f>Weather!K259</f>
        <v>0.19999999999999929</v>
      </c>
      <c r="AR103">
        <f>Weather!L259</f>
        <v>215.10000000000002</v>
      </c>
      <c r="AS103">
        <f>Weather!M259</f>
        <v>0</v>
      </c>
      <c r="AT103">
        <f>Weather!N259</f>
        <v>274.89999999999998</v>
      </c>
      <c r="AU103">
        <f>Weather!O259</f>
        <v>0</v>
      </c>
      <c r="AV103">
        <f>Weather!P259</f>
        <v>334.90000000000003</v>
      </c>
      <c r="AW103" s="7">
        <f>Weather!Q259</f>
        <v>19.163333333333334</v>
      </c>
      <c r="AX103" s="5">
        <f>'Economic Variables'!D213</f>
        <v>6459.7</v>
      </c>
      <c r="AY103" s="5">
        <f>'Economic Variables'!E213</f>
        <v>6498.5</v>
      </c>
      <c r="AZ103" s="5">
        <f>'Economic Variables'!F213</f>
        <v>237.9</v>
      </c>
      <c r="BA103" s="5">
        <f>'Economic Variables'!G213</f>
        <v>240.3</v>
      </c>
      <c r="BB103" s="79">
        <f>'Economic Variables'!H213</f>
        <v>716151.8</v>
      </c>
      <c r="BC103" s="5">
        <f>'Economic Variables'!I213</f>
        <v>8734.2999999999993</v>
      </c>
      <c r="BD103" s="5">
        <f>'Economic Variables'!J213</f>
        <v>8058.6</v>
      </c>
      <c r="BE103" s="5">
        <f>'Economic Variables'!K213</f>
        <v>436.5</v>
      </c>
      <c r="BF103" s="5">
        <f>'Economic Variables'!L213</f>
        <v>6462.7</v>
      </c>
      <c r="BG103" s="5">
        <f>'Economic Variables'!M213</f>
        <v>261.60000000000002</v>
      </c>
      <c r="BH103" s="5">
        <f>'Economic Variables'!N213</f>
        <v>945</v>
      </c>
      <c r="BI103" s="5">
        <f t="shared" si="56"/>
        <v>15197</v>
      </c>
      <c r="BJ103" s="5">
        <f>'Economic Variables'!P213</f>
        <v>657308</v>
      </c>
      <c r="BK103" s="5">
        <f>'Economic Variables'!Q213</f>
        <v>8622</v>
      </c>
      <c r="BL103" s="5">
        <f>'Economic Variables'!R213</f>
        <v>5997</v>
      </c>
      <c r="BM103" s="5">
        <f>'Economic Variables'!S213</f>
        <v>3067</v>
      </c>
      <c r="BN103" s="5">
        <f t="shared" si="35"/>
        <v>102</v>
      </c>
      <c r="BO103" s="80">
        <f t="shared" si="57"/>
        <v>2.0086001717619175</v>
      </c>
      <c r="BP103" s="5">
        <f t="shared" si="58"/>
        <v>10404</v>
      </c>
      <c r="BQ103">
        <f t="shared" ref="BQ103:CE103" si="72">BQ91</f>
        <v>0</v>
      </c>
      <c r="BR103">
        <f t="shared" si="72"/>
        <v>0</v>
      </c>
      <c r="BS103">
        <f t="shared" si="72"/>
        <v>0</v>
      </c>
      <c r="BT103">
        <f t="shared" si="72"/>
        <v>0</v>
      </c>
      <c r="BU103">
        <f t="shared" si="72"/>
        <v>0</v>
      </c>
      <c r="BV103">
        <f t="shared" si="72"/>
        <v>1</v>
      </c>
      <c r="BW103">
        <f t="shared" si="72"/>
        <v>0</v>
      </c>
      <c r="BX103">
        <f t="shared" si="72"/>
        <v>0</v>
      </c>
      <c r="BY103">
        <f t="shared" si="72"/>
        <v>0</v>
      </c>
      <c r="BZ103">
        <f t="shared" si="72"/>
        <v>0</v>
      </c>
      <c r="CA103">
        <f t="shared" si="72"/>
        <v>0</v>
      </c>
      <c r="CB103">
        <f t="shared" si="72"/>
        <v>0</v>
      </c>
      <c r="CC103">
        <f t="shared" si="72"/>
        <v>0</v>
      </c>
      <c r="CD103">
        <f t="shared" si="72"/>
        <v>0</v>
      </c>
      <c r="CE103">
        <f t="shared" si="72"/>
        <v>0</v>
      </c>
      <c r="CF103">
        <f t="shared" si="53"/>
        <v>30</v>
      </c>
      <c r="CG103">
        <v>22</v>
      </c>
      <c r="CH103">
        <v>1</v>
      </c>
      <c r="CI103">
        <v>0.5</v>
      </c>
      <c r="CJ103">
        <v>0.5</v>
      </c>
      <c r="CK103">
        <v>59.5</v>
      </c>
      <c r="CL103">
        <v>34.399999999999991</v>
      </c>
      <c r="CM103">
        <v>33.4</v>
      </c>
      <c r="CN103">
        <v>68.3</v>
      </c>
      <c r="CO103">
        <v>16.099999999999998</v>
      </c>
      <c r="CP103">
        <v>111.00000000000001</v>
      </c>
      <c r="CQ103">
        <v>6.7999999999999989</v>
      </c>
      <c r="CR103">
        <v>161.70000000000002</v>
      </c>
      <c r="CS103">
        <v>0.19999999999999929</v>
      </c>
      <c r="CT103">
        <v>215.10000000000002</v>
      </c>
      <c r="CU103">
        <v>0</v>
      </c>
      <c r="CV103">
        <v>274.89999999999998</v>
      </c>
      <c r="CW103">
        <v>0</v>
      </c>
      <c r="CX103">
        <v>334.90000000000003</v>
      </c>
      <c r="CY103" s="80">
        <f t="shared" si="60"/>
        <v>27.022088739430227</v>
      </c>
      <c r="CZ103" s="78">
        <f t="shared" si="61"/>
        <v>75.844114773635468</v>
      </c>
      <c r="DA103" s="5">
        <f t="shared" si="62"/>
        <v>2221.1701277557281</v>
      </c>
      <c r="DB103" s="5">
        <f t="shared" si="63"/>
        <v>56057.345774760281</v>
      </c>
      <c r="DC103" s="5">
        <f t="shared" si="64"/>
        <v>242562.2024959987</v>
      </c>
      <c r="DD103">
        <f t="shared" si="65"/>
        <v>1628.8580936875339</v>
      </c>
      <c r="DE103">
        <f t="shared" si="66"/>
        <v>41108.720234824206</v>
      </c>
      <c r="DF103">
        <f t="shared" si="67"/>
        <v>177878.94849706572</v>
      </c>
      <c r="DG103" s="19">
        <v>33005</v>
      </c>
      <c r="DH103" s="19">
        <v>3489</v>
      </c>
      <c r="DI103" s="19">
        <v>368</v>
      </c>
      <c r="DJ103" s="19">
        <v>10</v>
      </c>
      <c r="DK103" s="19">
        <v>4</v>
      </c>
    </row>
    <row r="104" spans="1:115">
      <c r="A104" s="3">
        <v>44013</v>
      </c>
      <c r="B104">
        <f t="shared" si="55"/>
        <v>2020</v>
      </c>
      <c r="C104" s="2">
        <v>101180653.74599999</v>
      </c>
      <c r="D104" s="2">
        <v>34585299</v>
      </c>
      <c r="E104" s="2">
        <v>1316929.1653468369</v>
      </c>
      <c r="F104" s="2">
        <v>35902228.165346839</v>
      </c>
      <c r="G104" s="2">
        <v>33007</v>
      </c>
      <c r="H104" s="2">
        <v>9404576.3479999993</v>
      </c>
      <c r="I104" s="2">
        <v>402493.93105642492</v>
      </c>
      <c r="J104" s="2">
        <v>9807070.2790564243</v>
      </c>
      <c r="K104" s="2">
        <v>3493</v>
      </c>
      <c r="L104" s="2">
        <v>18114820.206</v>
      </c>
      <c r="M104" s="2">
        <f>VLOOKUP('Monthly Data'!B104,'Historic CDM'!$B$111:$J$122,4,FALSE)/12+VLOOKUP('Monthly Data'!B104,'Historic CDM'!$N$111:$V$122,4,FALSE)/12</f>
        <v>2663197.0022316254</v>
      </c>
      <c r="N104" s="2">
        <f t="shared" ref="N104:N124" si="73">L104+M104</f>
        <v>20778017.208231624</v>
      </c>
      <c r="O104" s="2">
        <v>49160.445300000007</v>
      </c>
      <c r="P104" s="2">
        <v>372</v>
      </c>
      <c r="Q104" s="2">
        <v>10594851.4222</v>
      </c>
      <c r="R104" s="2">
        <f>VLOOKUP('Monthly Data'!B104,'Historic CDM'!$B$111:$J$122,5,FALSE)/12+VLOOKUP('Monthly Data'!B104,'Historic CDM'!$N$111:$V$122,5,FALSE)/12</f>
        <v>325401.47595780867</v>
      </c>
      <c r="S104" s="2">
        <f t="shared" si="44"/>
        <v>10920252.898157809</v>
      </c>
      <c r="T104" s="2">
        <v>19906.60583360491</v>
      </c>
      <c r="U104" s="2">
        <v>8</v>
      </c>
      <c r="V104" s="2">
        <v>24568791.58701</v>
      </c>
      <c r="W104" s="2">
        <f>VLOOKUP('Monthly Data'!B104,'Historic CDM'!$B$111:$J$122,9,FALSE)/12+VLOOKUP('Monthly Data'!B104,'Historic CDM'!$N$111:$V$122,9,FALSE)/12</f>
        <v>93348.48581288378</v>
      </c>
      <c r="X104" s="2">
        <f t="shared" si="41"/>
        <v>24662140.072822884</v>
      </c>
      <c r="Y104" s="2">
        <v>39625.675633724582</v>
      </c>
      <c r="Z104" s="2">
        <v>4</v>
      </c>
      <c r="AA104" s="2">
        <v>223499.66889999999</v>
      </c>
      <c r="AB104" s="2">
        <v>798.41269999999997</v>
      </c>
      <c r="AC104" s="2">
        <v>10144</v>
      </c>
      <c r="AD104" s="2">
        <v>36944</v>
      </c>
      <c r="AE104" s="2">
        <v>99.30999999999986</v>
      </c>
      <c r="AF104" s="2">
        <v>368</v>
      </c>
      <c r="AG104" s="2">
        <v>186856</v>
      </c>
      <c r="AH104" s="2">
        <v>253</v>
      </c>
      <c r="AI104">
        <f>Weather!C260</f>
        <v>1.3000000000000007</v>
      </c>
      <c r="AJ104">
        <f>Weather!D260</f>
        <v>98.4</v>
      </c>
      <c r="AK104">
        <f>Weather!E260</f>
        <v>0</v>
      </c>
      <c r="AL104">
        <f>Weather!F260</f>
        <v>159.09999999999997</v>
      </c>
      <c r="AM104">
        <f>Weather!G260</f>
        <v>0</v>
      </c>
      <c r="AN104">
        <f>Weather!H260</f>
        <v>221.09999999999994</v>
      </c>
      <c r="AO104">
        <f>Weather!I260</f>
        <v>0</v>
      </c>
      <c r="AP104">
        <f>Weather!J260</f>
        <v>283.09999999999997</v>
      </c>
      <c r="AQ104">
        <f>Weather!K260</f>
        <v>0</v>
      </c>
      <c r="AR104">
        <f>Weather!L260</f>
        <v>345.09999999999997</v>
      </c>
      <c r="AS104">
        <f>Weather!M260</f>
        <v>0</v>
      </c>
      <c r="AT104">
        <f>Weather!N260</f>
        <v>407.09999999999991</v>
      </c>
      <c r="AU104">
        <f>Weather!O260</f>
        <v>0</v>
      </c>
      <c r="AV104">
        <f>Weather!P260</f>
        <v>469.09999999999985</v>
      </c>
      <c r="AW104" s="7">
        <f>Weather!Q260</f>
        <v>23.132258064516133</v>
      </c>
      <c r="AX104" s="5">
        <f>'Economic Variables'!D214</f>
        <v>6643.5</v>
      </c>
      <c r="AY104" s="5">
        <f>'Economic Variables'!E214</f>
        <v>6711.9</v>
      </c>
      <c r="AZ104" s="5">
        <f>'Economic Variables'!F214</f>
        <v>248.9</v>
      </c>
      <c r="BA104" s="5">
        <f>'Economic Variables'!G214</f>
        <v>253.1</v>
      </c>
      <c r="BB104" s="79">
        <f>'Economic Variables'!H214</f>
        <v>716151.8</v>
      </c>
      <c r="BC104" s="5">
        <f>'Economic Variables'!I214</f>
        <v>8734.2999999999993</v>
      </c>
      <c r="BD104" s="5">
        <f>'Economic Variables'!J214</f>
        <v>8058.6</v>
      </c>
      <c r="BE104" s="5">
        <f>'Economic Variables'!K214</f>
        <v>436.5</v>
      </c>
      <c r="BF104" s="5">
        <f>'Economic Variables'!L214</f>
        <v>6462.7</v>
      </c>
      <c r="BG104" s="5">
        <f>'Economic Variables'!M214</f>
        <v>261.60000000000002</v>
      </c>
      <c r="BH104" s="5">
        <f>'Economic Variables'!N214</f>
        <v>945</v>
      </c>
      <c r="BI104" s="5">
        <f t="shared" si="56"/>
        <v>15197</v>
      </c>
      <c r="BJ104" s="5">
        <f>'Economic Variables'!P214</f>
        <v>722716</v>
      </c>
      <c r="BK104" s="5">
        <f>'Economic Variables'!Q214</f>
        <v>8730</v>
      </c>
      <c r="BL104" s="5">
        <f>'Economic Variables'!R214</f>
        <v>6125</v>
      </c>
      <c r="BM104" s="5">
        <f>'Economic Variables'!S214</f>
        <v>3155</v>
      </c>
      <c r="BN104" s="5">
        <f t="shared" si="35"/>
        <v>103</v>
      </c>
      <c r="BO104" s="80">
        <f t="shared" si="57"/>
        <v>2.012837224705172</v>
      </c>
      <c r="BP104" s="5">
        <f t="shared" si="58"/>
        <v>10609</v>
      </c>
      <c r="BQ104">
        <f t="shared" ref="BQ104:CE104" si="74">BQ92</f>
        <v>0</v>
      </c>
      <c r="BR104">
        <f t="shared" si="74"/>
        <v>0</v>
      </c>
      <c r="BS104">
        <f t="shared" si="74"/>
        <v>0</v>
      </c>
      <c r="BT104">
        <f t="shared" si="74"/>
        <v>0</v>
      </c>
      <c r="BU104">
        <f t="shared" si="74"/>
        <v>0</v>
      </c>
      <c r="BV104">
        <f t="shared" si="74"/>
        <v>0</v>
      </c>
      <c r="BW104">
        <f t="shared" si="74"/>
        <v>1</v>
      </c>
      <c r="BX104">
        <f t="shared" si="74"/>
        <v>0</v>
      </c>
      <c r="BY104">
        <f t="shared" si="74"/>
        <v>0</v>
      </c>
      <c r="BZ104">
        <f t="shared" si="74"/>
        <v>0</v>
      </c>
      <c r="CA104">
        <f t="shared" si="74"/>
        <v>0</v>
      </c>
      <c r="CB104">
        <f t="shared" si="74"/>
        <v>0</v>
      </c>
      <c r="CC104">
        <f t="shared" si="74"/>
        <v>0</v>
      </c>
      <c r="CD104">
        <f t="shared" si="74"/>
        <v>0</v>
      </c>
      <c r="CE104">
        <f t="shared" si="74"/>
        <v>0</v>
      </c>
      <c r="CF104">
        <f t="shared" si="53"/>
        <v>31</v>
      </c>
      <c r="CG104">
        <v>22</v>
      </c>
      <c r="CH104">
        <v>1</v>
      </c>
      <c r="CI104">
        <v>0.5</v>
      </c>
      <c r="CJ104">
        <v>0</v>
      </c>
      <c r="CK104">
        <v>1.3000000000000007</v>
      </c>
      <c r="CL104">
        <v>98.4</v>
      </c>
      <c r="CM104">
        <v>0</v>
      </c>
      <c r="CN104">
        <v>159.09999999999997</v>
      </c>
      <c r="CO104">
        <v>0</v>
      </c>
      <c r="CP104">
        <v>221.09999999999994</v>
      </c>
      <c r="CQ104">
        <v>0</v>
      </c>
      <c r="CR104">
        <v>283.09999999999997</v>
      </c>
      <c r="CS104">
        <v>0</v>
      </c>
      <c r="CT104">
        <v>345.09999999999997</v>
      </c>
      <c r="CU104">
        <v>0</v>
      </c>
      <c r="CV104">
        <v>407.09999999999991</v>
      </c>
      <c r="CW104">
        <v>0</v>
      </c>
      <c r="CX104">
        <v>469.09999999999985</v>
      </c>
      <c r="CY104" s="80">
        <f t="shared" si="60"/>
        <v>35.087599370755996</v>
      </c>
      <c r="CZ104" s="78">
        <f t="shared" si="61"/>
        <v>90.568882271976435</v>
      </c>
      <c r="DA104" s="5">
        <f t="shared" si="62"/>
        <v>2538.8584076529355</v>
      </c>
      <c r="DB104" s="5">
        <f t="shared" si="63"/>
        <v>62046.891466805733</v>
      </c>
      <c r="DC104" s="5">
        <f t="shared" si="64"/>
        <v>280251.59173662367</v>
      </c>
      <c r="DD104">
        <f t="shared" si="65"/>
        <v>1801.7704828504704</v>
      </c>
      <c r="DE104">
        <f t="shared" si="66"/>
        <v>44033.277815152454</v>
      </c>
      <c r="DF104">
        <f t="shared" si="67"/>
        <v>198888.22639373294</v>
      </c>
      <c r="DG104" s="19">
        <v>33007</v>
      </c>
      <c r="DH104" s="19">
        <v>3493</v>
      </c>
      <c r="DI104" s="19">
        <v>370</v>
      </c>
      <c r="DJ104" s="19">
        <v>10</v>
      </c>
      <c r="DK104" s="19">
        <v>4</v>
      </c>
    </row>
    <row r="105" spans="1:115">
      <c r="A105" s="3">
        <v>44044</v>
      </c>
      <c r="B105">
        <f t="shared" si="55"/>
        <v>2020</v>
      </c>
      <c r="C105" s="2">
        <v>93185534.171999991</v>
      </c>
      <c r="D105" s="2">
        <v>29577564</v>
      </c>
      <c r="E105" s="2">
        <v>1316929.1653468369</v>
      </c>
      <c r="F105" s="2">
        <v>30894493.165346839</v>
      </c>
      <c r="G105" s="2">
        <v>33009</v>
      </c>
      <c r="H105" s="2">
        <v>8717592.2872000001</v>
      </c>
      <c r="I105" s="2">
        <v>402493.93105642492</v>
      </c>
      <c r="J105" s="2">
        <v>9120086.2182564251</v>
      </c>
      <c r="K105" s="2">
        <v>3491</v>
      </c>
      <c r="L105" s="2">
        <v>17149226.798999999</v>
      </c>
      <c r="M105" s="2">
        <f>VLOOKUP('Monthly Data'!B105,'Historic CDM'!$B$111:$J$122,4,FALSE)/12+VLOOKUP('Monthly Data'!B105,'Historic CDM'!$N$111:$V$122,4,FALSE)/12</f>
        <v>2663197.0022316254</v>
      </c>
      <c r="N105" s="2">
        <f t="shared" si="73"/>
        <v>19812423.801231623</v>
      </c>
      <c r="O105" s="2">
        <v>48382.784629457783</v>
      </c>
      <c r="P105" s="2">
        <v>370</v>
      </c>
      <c r="Q105" s="2">
        <v>10765047.603</v>
      </c>
      <c r="R105" s="2">
        <f>VLOOKUP('Monthly Data'!B105,'Historic CDM'!$B$111:$J$122,5,FALSE)/12+VLOOKUP('Monthly Data'!B105,'Historic CDM'!$N$111:$V$122,5,FALSE)/12</f>
        <v>325401.47595780867</v>
      </c>
      <c r="S105" s="2">
        <f t="shared" si="44"/>
        <v>11090449.078957809</v>
      </c>
      <c r="T105" s="2">
        <v>19721.828746219649</v>
      </c>
      <c r="U105" s="2">
        <v>8</v>
      </c>
      <c r="V105" s="2">
        <v>23622326.039069999</v>
      </c>
      <c r="W105" s="2">
        <f>VLOOKUP('Monthly Data'!B105,'Historic CDM'!$B$111:$J$122,9,FALSE)/12+VLOOKUP('Monthly Data'!B105,'Historic CDM'!$N$111:$V$122,9,FALSE)/12</f>
        <v>93348.48581288378</v>
      </c>
      <c r="X105" s="2">
        <f t="shared" si="41"/>
        <v>23715674.524882883</v>
      </c>
      <c r="Y105" s="2">
        <v>39263.259420000002</v>
      </c>
      <c r="Z105" s="2">
        <v>4</v>
      </c>
      <c r="AA105" s="2">
        <v>251034.97379999998</v>
      </c>
      <c r="AB105" s="2">
        <v>798.60969999999998</v>
      </c>
      <c r="AC105" s="2">
        <v>10146</v>
      </c>
      <c r="AD105" s="2">
        <v>37070</v>
      </c>
      <c r="AE105" s="2">
        <v>99.649999999999864</v>
      </c>
      <c r="AF105" s="2">
        <v>366</v>
      </c>
      <c r="AG105" s="2">
        <v>186856</v>
      </c>
      <c r="AH105" s="2">
        <v>253</v>
      </c>
      <c r="AI105">
        <f>Weather!C261</f>
        <v>16.899999999999999</v>
      </c>
      <c r="AJ105">
        <f>Weather!D261</f>
        <v>41.9</v>
      </c>
      <c r="AK105">
        <f>Weather!E261</f>
        <v>2.3999999999999986</v>
      </c>
      <c r="AL105">
        <f>Weather!F261</f>
        <v>89.4</v>
      </c>
      <c r="AM105">
        <f>Weather!G261</f>
        <v>0</v>
      </c>
      <c r="AN105">
        <f>Weather!H261</f>
        <v>149</v>
      </c>
      <c r="AO105">
        <f>Weather!I261</f>
        <v>0</v>
      </c>
      <c r="AP105">
        <f>Weather!J261</f>
        <v>211.00000000000003</v>
      </c>
      <c r="AQ105">
        <f>Weather!K261</f>
        <v>0</v>
      </c>
      <c r="AR105">
        <f>Weather!L261</f>
        <v>273.00000000000006</v>
      </c>
      <c r="AS105">
        <f>Weather!M261</f>
        <v>0</v>
      </c>
      <c r="AT105">
        <f>Weather!N261</f>
        <v>335</v>
      </c>
      <c r="AU105">
        <f>Weather!O261</f>
        <v>0</v>
      </c>
      <c r="AV105">
        <f>Weather!P261</f>
        <v>397</v>
      </c>
      <c r="AW105" s="7">
        <f>Weather!Q261</f>
        <v>20.806451612903221</v>
      </c>
      <c r="AX105" s="5">
        <f>'Economic Variables'!D215</f>
        <v>6879.1</v>
      </c>
      <c r="AY105" s="5">
        <f>'Economic Variables'!E215</f>
        <v>6950.9</v>
      </c>
      <c r="AZ105" s="5">
        <f>'Economic Variables'!F215</f>
        <v>256.5</v>
      </c>
      <c r="BA105" s="5">
        <f>'Economic Variables'!G215</f>
        <v>262.10000000000002</v>
      </c>
      <c r="BB105" s="79">
        <f>'Economic Variables'!H215</f>
        <v>716151.8</v>
      </c>
      <c r="BC105" s="5">
        <f>'Economic Variables'!I215</f>
        <v>8734.2999999999993</v>
      </c>
      <c r="BD105" s="5">
        <f>'Economic Variables'!J215</f>
        <v>8058.6</v>
      </c>
      <c r="BE105" s="5">
        <f>'Economic Variables'!K215</f>
        <v>436.5</v>
      </c>
      <c r="BF105" s="5">
        <f>'Economic Variables'!L215</f>
        <v>6462.7</v>
      </c>
      <c r="BG105" s="5">
        <f>'Economic Variables'!M215</f>
        <v>261.60000000000002</v>
      </c>
      <c r="BH105" s="5">
        <f>'Economic Variables'!N215</f>
        <v>945</v>
      </c>
      <c r="BI105" s="5">
        <f t="shared" si="56"/>
        <v>15197</v>
      </c>
      <c r="BJ105" s="5">
        <f>'Economic Variables'!P215</f>
        <v>722716</v>
      </c>
      <c r="BK105" s="5">
        <f>'Economic Variables'!Q215</f>
        <v>8730</v>
      </c>
      <c r="BL105" s="5">
        <f>'Economic Variables'!R215</f>
        <v>6125</v>
      </c>
      <c r="BM105" s="5">
        <f>'Economic Variables'!S215</f>
        <v>3155</v>
      </c>
      <c r="BN105" s="5">
        <f t="shared" si="35"/>
        <v>104</v>
      </c>
      <c r="BO105" s="80">
        <f t="shared" si="57"/>
        <v>2.0170333392987803</v>
      </c>
      <c r="BP105" s="5">
        <f t="shared" si="58"/>
        <v>10816</v>
      </c>
      <c r="BQ105">
        <f t="shared" ref="BQ105:CE105" si="75">BQ93</f>
        <v>0</v>
      </c>
      <c r="BR105">
        <f t="shared" si="75"/>
        <v>0</v>
      </c>
      <c r="BS105">
        <f t="shared" si="75"/>
        <v>0</v>
      </c>
      <c r="BT105">
        <f t="shared" si="75"/>
        <v>0</v>
      </c>
      <c r="BU105">
        <f t="shared" si="75"/>
        <v>0</v>
      </c>
      <c r="BV105">
        <f t="shared" si="75"/>
        <v>0</v>
      </c>
      <c r="BW105">
        <f t="shared" si="75"/>
        <v>0</v>
      </c>
      <c r="BX105">
        <f t="shared" si="75"/>
        <v>1</v>
      </c>
      <c r="BY105">
        <f t="shared" si="75"/>
        <v>0</v>
      </c>
      <c r="BZ105">
        <f t="shared" si="75"/>
        <v>0</v>
      </c>
      <c r="CA105">
        <f t="shared" si="75"/>
        <v>0</v>
      </c>
      <c r="CB105">
        <f t="shared" si="75"/>
        <v>0</v>
      </c>
      <c r="CC105">
        <f t="shared" si="75"/>
        <v>0</v>
      </c>
      <c r="CD105">
        <f t="shared" si="75"/>
        <v>0</v>
      </c>
      <c r="CE105">
        <f t="shared" si="75"/>
        <v>0</v>
      </c>
      <c r="CF105">
        <f t="shared" si="53"/>
        <v>31</v>
      </c>
      <c r="CG105">
        <v>20</v>
      </c>
      <c r="CH105">
        <v>1</v>
      </c>
      <c r="CI105">
        <v>0.5</v>
      </c>
      <c r="CJ105">
        <v>0</v>
      </c>
      <c r="CK105">
        <v>16.899999999999999</v>
      </c>
      <c r="CL105">
        <v>41.9</v>
      </c>
      <c r="CM105">
        <v>2.3999999999999986</v>
      </c>
      <c r="CN105">
        <v>89.4</v>
      </c>
      <c r="CO105">
        <v>0</v>
      </c>
      <c r="CP105">
        <v>149</v>
      </c>
      <c r="CQ105">
        <v>0</v>
      </c>
      <c r="CR105">
        <v>211.00000000000003</v>
      </c>
      <c r="CS105">
        <v>0</v>
      </c>
      <c r="CT105">
        <v>273.00000000000006</v>
      </c>
      <c r="CU105">
        <v>0</v>
      </c>
      <c r="CV105">
        <v>335</v>
      </c>
      <c r="CW105">
        <v>0</v>
      </c>
      <c r="CX105">
        <v>397</v>
      </c>
      <c r="CY105" s="80">
        <f t="shared" si="60"/>
        <v>30.191661477805017</v>
      </c>
      <c r="CZ105" s="78">
        <f t="shared" si="61"/>
        <v>84.27279565201232</v>
      </c>
      <c r="DA105" s="5">
        <f t="shared" si="62"/>
        <v>2677.354567734003</v>
      </c>
      <c r="DB105" s="5">
        <f t="shared" si="63"/>
        <v>69315.306743486304</v>
      </c>
      <c r="DC105" s="5">
        <f t="shared" si="64"/>
        <v>296445.93156103604</v>
      </c>
      <c r="DD105">
        <f t="shared" si="65"/>
        <v>1727.3255275703245</v>
      </c>
      <c r="DE105">
        <f t="shared" si="66"/>
        <v>44719.552737733102</v>
      </c>
      <c r="DF105">
        <f t="shared" si="67"/>
        <v>191255.43971679744</v>
      </c>
      <c r="DG105" s="19">
        <v>33009</v>
      </c>
      <c r="DH105" s="19">
        <v>3491</v>
      </c>
      <c r="DI105" s="19">
        <v>368</v>
      </c>
      <c r="DJ105" s="19">
        <v>10</v>
      </c>
      <c r="DK105" s="19">
        <v>4</v>
      </c>
    </row>
    <row r="106" spans="1:115">
      <c r="A106" s="3">
        <v>44075</v>
      </c>
      <c r="B106">
        <f t="shared" si="55"/>
        <v>2020</v>
      </c>
      <c r="C106" s="2">
        <v>79188834.636000007</v>
      </c>
      <c r="D106" s="2">
        <v>19739259</v>
      </c>
      <c r="E106" s="2">
        <v>1316929.1653468369</v>
      </c>
      <c r="F106" s="2">
        <v>21056188.165346839</v>
      </c>
      <c r="G106" s="2">
        <v>33006</v>
      </c>
      <c r="H106" s="2">
        <v>7363749.0932</v>
      </c>
      <c r="I106" s="2">
        <v>402493.93105642492</v>
      </c>
      <c r="J106" s="2">
        <v>7766243.024256425</v>
      </c>
      <c r="K106" s="2">
        <v>3499</v>
      </c>
      <c r="L106" s="2">
        <v>15057208.451300001</v>
      </c>
      <c r="M106" s="2">
        <f>VLOOKUP('Monthly Data'!B106,'Historic CDM'!$B$111:$J$122,4,FALSE)/12+VLOOKUP('Monthly Data'!B106,'Historic CDM'!$N$111:$V$122,4,FALSE)/12</f>
        <v>2663197.0022316254</v>
      </c>
      <c r="N106" s="2">
        <f t="shared" si="73"/>
        <v>17720405.453531627</v>
      </c>
      <c r="O106" s="2">
        <v>45371.435417038039</v>
      </c>
      <c r="P106" s="2">
        <v>369</v>
      </c>
      <c r="Q106" s="2">
        <v>10595280.289999999</v>
      </c>
      <c r="R106" s="2">
        <f>VLOOKUP('Monthly Data'!B106,'Historic CDM'!$B$111:$J$122,5,FALSE)/12+VLOOKUP('Monthly Data'!B106,'Historic CDM'!$N$111:$V$122,5,FALSE)/12</f>
        <v>325401.47595780867</v>
      </c>
      <c r="S106" s="2">
        <f t="shared" si="44"/>
        <v>10920681.765957808</v>
      </c>
      <c r="T106" s="2">
        <v>19339.75014291799</v>
      </c>
      <c r="U106" s="2">
        <v>8</v>
      </c>
      <c r="V106" s="2">
        <v>23750152.380157501</v>
      </c>
      <c r="W106" s="2">
        <f>VLOOKUP('Monthly Data'!B106,'Historic CDM'!$B$111:$J$122,9,FALSE)/12+VLOOKUP('Monthly Data'!B106,'Historic CDM'!$N$111:$V$122,9,FALSE)/12</f>
        <v>93348.48581288378</v>
      </c>
      <c r="X106" s="2">
        <f t="shared" si="41"/>
        <v>23843500.865970384</v>
      </c>
      <c r="Y106" s="2">
        <v>37791.658080000001</v>
      </c>
      <c r="Z106" s="2">
        <v>4</v>
      </c>
      <c r="AA106" s="2">
        <v>285730.07429999998</v>
      </c>
      <c r="AB106" s="2">
        <v>798.35170000000005</v>
      </c>
      <c r="AC106" s="2">
        <v>10145</v>
      </c>
      <c r="AD106" s="2">
        <v>35752</v>
      </c>
      <c r="AE106" s="2">
        <v>99.30999999999986</v>
      </c>
      <c r="AF106" s="2">
        <v>368</v>
      </c>
      <c r="AG106" s="2">
        <v>180830</v>
      </c>
      <c r="AH106" s="2">
        <v>253</v>
      </c>
      <c r="AI106">
        <f>Weather!C262</f>
        <v>127.69999999999999</v>
      </c>
      <c r="AJ106">
        <f>Weather!D262</f>
        <v>5.6000000000000014</v>
      </c>
      <c r="AK106">
        <f>Weather!E262</f>
        <v>83.399999999999991</v>
      </c>
      <c r="AL106">
        <f>Weather!F262</f>
        <v>21.3</v>
      </c>
      <c r="AM106">
        <f>Weather!G262</f>
        <v>47.600000000000009</v>
      </c>
      <c r="AN106">
        <f>Weather!H262</f>
        <v>45.5</v>
      </c>
      <c r="AO106">
        <f>Weather!I262</f>
        <v>21.7</v>
      </c>
      <c r="AP106">
        <f>Weather!J262</f>
        <v>79.600000000000009</v>
      </c>
      <c r="AQ106">
        <f>Weather!K262</f>
        <v>7.1</v>
      </c>
      <c r="AR106">
        <f>Weather!L262</f>
        <v>125.00000000000001</v>
      </c>
      <c r="AS106">
        <f>Weather!M262</f>
        <v>3.0999999999999996</v>
      </c>
      <c r="AT106">
        <f>Weather!N262</f>
        <v>181</v>
      </c>
      <c r="AU106">
        <f>Weather!O262</f>
        <v>9.9999999999999645E-2</v>
      </c>
      <c r="AV106">
        <f>Weather!P262</f>
        <v>238.00000000000003</v>
      </c>
      <c r="AW106" s="7">
        <f>Weather!Q262</f>
        <v>15.929999999999998</v>
      </c>
      <c r="AX106" s="5">
        <f>'Economic Variables'!D216</f>
        <v>7040.8</v>
      </c>
      <c r="AY106" s="5">
        <f>'Economic Variables'!E216</f>
        <v>7075.5</v>
      </c>
      <c r="AZ106" s="5">
        <f>'Economic Variables'!F216</f>
        <v>260.8</v>
      </c>
      <c r="BA106" s="5">
        <f>'Economic Variables'!G216</f>
        <v>263</v>
      </c>
      <c r="BB106" s="79">
        <f>'Economic Variables'!H216</f>
        <v>716151.8</v>
      </c>
      <c r="BC106" s="5">
        <f>'Economic Variables'!I216</f>
        <v>8734.2999999999993</v>
      </c>
      <c r="BD106" s="5">
        <f>'Economic Variables'!J216</f>
        <v>8058.6</v>
      </c>
      <c r="BE106" s="5">
        <f>'Economic Variables'!K216</f>
        <v>436.5</v>
      </c>
      <c r="BF106" s="5">
        <f>'Economic Variables'!L216</f>
        <v>6462.7</v>
      </c>
      <c r="BG106" s="5">
        <f>'Economic Variables'!M216</f>
        <v>261.60000000000002</v>
      </c>
      <c r="BH106" s="5">
        <f>'Economic Variables'!N216</f>
        <v>945</v>
      </c>
      <c r="BI106" s="5">
        <f t="shared" si="56"/>
        <v>15197</v>
      </c>
      <c r="BJ106" s="5">
        <f>'Economic Variables'!P216</f>
        <v>722716</v>
      </c>
      <c r="BK106" s="5">
        <f>'Economic Variables'!Q216</f>
        <v>8730</v>
      </c>
      <c r="BL106" s="5">
        <f>'Economic Variables'!R216</f>
        <v>6125</v>
      </c>
      <c r="BM106" s="5">
        <f>'Economic Variables'!S216</f>
        <v>3155</v>
      </c>
      <c r="BN106" s="5">
        <f t="shared" si="35"/>
        <v>105</v>
      </c>
      <c r="BO106" s="80">
        <f t="shared" si="57"/>
        <v>2.0211892990699383</v>
      </c>
      <c r="BP106" s="5">
        <f t="shared" si="58"/>
        <v>11025</v>
      </c>
      <c r="BQ106">
        <f t="shared" ref="BQ106:CE106" si="76">BQ94</f>
        <v>0</v>
      </c>
      <c r="BR106">
        <f t="shared" si="76"/>
        <v>0</v>
      </c>
      <c r="BS106">
        <f t="shared" si="76"/>
        <v>0</v>
      </c>
      <c r="BT106">
        <f t="shared" si="76"/>
        <v>0</v>
      </c>
      <c r="BU106">
        <f t="shared" si="76"/>
        <v>0</v>
      </c>
      <c r="BV106">
        <f t="shared" si="76"/>
        <v>0</v>
      </c>
      <c r="BW106">
        <f t="shared" si="76"/>
        <v>0</v>
      </c>
      <c r="BX106">
        <f t="shared" si="76"/>
        <v>0</v>
      </c>
      <c r="BY106">
        <f t="shared" si="76"/>
        <v>1</v>
      </c>
      <c r="BZ106">
        <f t="shared" si="76"/>
        <v>0</v>
      </c>
      <c r="CA106">
        <f t="shared" si="76"/>
        <v>0</v>
      </c>
      <c r="CB106">
        <f t="shared" si="76"/>
        <v>0</v>
      </c>
      <c r="CC106">
        <f t="shared" si="76"/>
        <v>0</v>
      </c>
      <c r="CD106">
        <f t="shared" si="76"/>
        <v>1</v>
      </c>
      <c r="CE106">
        <f t="shared" si="76"/>
        <v>1</v>
      </c>
      <c r="CF106">
        <f t="shared" si="53"/>
        <v>30</v>
      </c>
      <c r="CG106">
        <v>21</v>
      </c>
      <c r="CH106">
        <v>1</v>
      </c>
      <c r="CI106">
        <v>0.5</v>
      </c>
      <c r="CJ106">
        <v>0</v>
      </c>
      <c r="CK106">
        <v>127.69999999999999</v>
      </c>
      <c r="CL106">
        <v>5.6000000000000014</v>
      </c>
      <c r="CM106">
        <v>83.399999999999991</v>
      </c>
      <c r="CN106">
        <v>21.3</v>
      </c>
      <c r="CO106">
        <v>47.600000000000009</v>
      </c>
      <c r="CP106">
        <v>45.5</v>
      </c>
      <c r="CQ106">
        <v>21.7</v>
      </c>
      <c r="CR106">
        <v>79.600000000000009</v>
      </c>
      <c r="CS106">
        <v>7.1</v>
      </c>
      <c r="CT106">
        <v>125.00000000000001</v>
      </c>
      <c r="CU106">
        <v>3.0999999999999996</v>
      </c>
      <c r="CV106">
        <v>181</v>
      </c>
      <c r="CW106">
        <v>9.9999999999999645E-2</v>
      </c>
      <c r="CX106">
        <v>238.00000000000003</v>
      </c>
      <c r="CY106" s="80">
        <f t="shared" si="60"/>
        <v>21.265010569135754</v>
      </c>
      <c r="CZ106" s="78">
        <f t="shared" si="61"/>
        <v>73.985357952333288</v>
      </c>
      <c r="DA106" s="5">
        <f t="shared" si="62"/>
        <v>2286.7990003267037</v>
      </c>
      <c r="DB106" s="5">
        <f t="shared" si="63"/>
        <v>65004.05813070124</v>
      </c>
      <c r="DC106" s="5">
        <f t="shared" si="64"/>
        <v>283851.2007853617</v>
      </c>
      <c r="DD106">
        <f t="shared" si="65"/>
        <v>1600.7593002286926</v>
      </c>
      <c r="DE106">
        <f t="shared" si="66"/>
        <v>45502.84069149087</v>
      </c>
      <c r="DF106">
        <f t="shared" si="67"/>
        <v>198695.84054975319</v>
      </c>
      <c r="DG106" s="19">
        <v>33006</v>
      </c>
      <c r="DH106" s="19">
        <v>3499</v>
      </c>
      <c r="DI106" s="19">
        <v>367</v>
      </c>
      <c r="DJ106" s="19">
        <v>10</v>
      </c>
      <c r="DK106" s="19">
        <v>4</v>
      </c>
    </row>
    <row r="107" spans="1:115">
      <c r="A107" s="3">
        <v>44105</v>
      </c>
      <c r="B107">
        <f t="shared" ref="B107:B121" si="77">YEAR(A107)</f>
        <v>2020</v>
      </c>
      <c r="C107" s="2">
        <v>74714014.269000009</v>
      </c>
      <c r="D107" s="2">
        <v>18296619</v>
      </c>
      <c r="E107" s="2">
        <v>1316929.1653468369</v>
      </c>
      <c r="F107" s="2">
        <v>19613548.165346839</v>
      </c>
      <c r="G107" s="2">
        <v>33007</v>
      </c>
      <c r="H107" s="2">
        <v>7301672.449</v>
      </c>
      <c r="I107" s="2">
        <v>402493.93105642492</v>
      </c>
      <c r="J107" s="2">
        <v>7704166.380056425</v>
      </c>
      <c r="K107" s="2">
        <v>3498</v>
      </c>
      <c r="L107" s="2">
        <v>15100202.930500001</v>
      </c>
      <c r="M107" s="2">
        <f>VLOOKUP('Monthly Data'!B107,'Historic CDM'!$B$111:$J$122,4,FALSE)/12+VLOOKUP('Monthly Data'!B107,'Historic CDM'!$N$111:$V$122,4,FALSE)/12</f>
        <v>2663197.0022316254</v>
      </c>
      <c r="N107" s="2">
        <f t="shared" si="73"/>
        <v>17763399.932731625</v>
      </c>
      <c r="O107" s="2">
        <v>42761.319000000018</v>
      </c>
      <c r="P107" s="2">
        <v>369</v>
      </c>
      <c r="Q107" s="2">
        <v>9449695.6436000019</v>
      </c>
      <c r="R107" s="2">
        <f>VLOOKUP('Monthly Data'!B107,'Historic CDM'!$B$111:$J$122,5,FALSE)/12+VLOOKUP('Monthly Data'!B107,'Historic CDM'!$N$111:$V$122,5,FALSE)/12</f>
        <v>325401.47595780867</v>
      </c>
      <c r="S107" s="2">
        <f t="shared" si="44"/>
        <v>9775097.1195578109</v>
      </c>
      <c r="T107" s="2">
        <v>18869.115512573389</v>
      </c>
      <c r="U107" s="2">
        <v>8</v>
      </c>
      <c r="V107" s="2">
        <v>22017276.312817499</v>
      </c>
      <c r="W107" s="2">
        <f>VLOOKUP('Monthly Data'!B107,'Historic CDM'!$B$111:$J$122,9,FALSE)/12+VLOOKUP('Monthly Data'!B107,'Historic CDM'!$N$111:$V$122,9,FALSE)/12</f>
        <v>93348.48581288378</v>
      </c>
      <c r="X107" s="2">
        <f t="shared" si="41"/>
        <v>22110624.798630383</v>
      </c>
      <c r="Y107" s="2">
        <v>38537.228069999997</v>
      </c>
      <c r="Z107" s="2">
        <v>4</v>
      </c>
      <c r="AA107" s="2">
        <v>320925.6875</v>
      </c>
      <c r="AB107" s="2">
        <v>796.9547</v>
      </c>
      <c r="AC107" s="2">
        <v>10143</v>
      </c>
      <c r="AD107" s="2">
        <v>36944</v>
      </c>
      <c r="AE107" s="2">
        <v>99.30999999999986</v>
      </c>
      <c r="AF107" s="2">
        <v>367</v>
      </c>
      <c r="AG107" s="2">
        <v>187459</v>
      </c>
      <c r="AH107" s="2">
        <v>253</v>
      </c>
      <c r="AI107">
        <f>Weather!C263</f>
        <v>319.8</v>
      </c>
      <c r="AJ107">
        <f>Weather!D263</f>
        <v>0</v>
      </c>
      <c r="AK107">
        <f>Weather!E263</f>
        <v>257.8</v>
      </c>
      <c r="AL107">
        <f>Weather!F263</f>
        <v>0</v>
      </c>
      <c r="AM107">
        <f>Weather!G263</f>
        <v>196.4</v>
      </c>
      <c r="AN107">
        <f>Weather!H263</f>
        <v>0.60000000000000142</v>
      </c>
      <c r="AO107">
        <f>Weather!I263</f>
        <v>139.79999999999998</v>
      </c>
      <c r="AP107">
        <f>Weather!J263</f>
        <v>6.0000000000000018</v>
      </c>
      <c r="AQ107">
        <f>Weather!K263</f>
        <v>90.1</v>
      </c>
      <c r="AR107">
        <f>Weather!L263</f>
        <v>18.300000000000004</v>
      </c>
      <c r="AS107">
        <f>Weather!M263</f>
        <v>54.2</v>
      </c>
      <c r="AT107">
        <f>Weather!N263</f>
        <v>44.400000000000006</v>
      </c>
      <c r="AU107">
        <f>Weather!O263</f>
        <v>27.5</v>
      </c>
      <c r="AV107">
        <f>Weather!P263</f>
        <v>79.700000000000017</v>
      </c>
      <c r="AW107" s="7">
        <f>Weather!Q263</f>
        <v>9.6838709677419335</v>
      </c>
      <c r="AX107" s="5">
        <f>'Economic Variables'!D217</f>
        <v>7159.1</v>
      </c>
      <c r="AY107" s="5">
        <f>'Economic Variables'!E217</f>
        <v>7184.1</v>
      </c>
      <c r="AZ107" s="5">
        <f>'Economic Variables'!F217</f>
        <v>262.89999999999998</v>
      </c>
      <c r="BA107" s="5">
        <f>'Economic Variables'!G217</f>
        <v>263.60000000000002</v>
      </c>
      <c r="BB107" s="79">
        <f>'Economic Variables'!H217</f>
        <v>716151.8</v>
      </c>
      <c r="BC107" s="5">
        <f>'Economic Variables'!I217</f>
        <v>8734.2999999999993</v>
      </c>
      <c r="BD107" s="5">
        <f>'Economic Variables'!J217</f>
        <v>8058.6</v>
      </c>
      <c r="BE107" s="5">
        <f>'Economic Variables'!K217</f>
        <v>436.5</v>
      </c>
      <c r="BF107" s="5">
        <f>'Economic Variables'!L217</f>
        <v>6462.7</v>
      </c>
      <c r="BG107" s="5">
        <f>'Economic Variables'!M217</f>
        <v>261.60000000000002</v>
      </c>
      <c r="BH107" s="5">
        <f>'Economic Variables'!N217</f>
        <v>945</v>
      </c>
      <c r="BI107" s="5">
        <f t="shared" ref="BI107:BI121" si="78">BC107+BF107</f>
        <v>15197</v>
      </c>
      <c r="BJ107" s="5">
        <f>'Economic Variables'!P217</f>
        <v>739655</v>
      </c>
      <c r="BK107" s="5">
        <f>'Economic Variables'!Q217</f>
        <v>9253</v>
      </c>
      <c r="BL107" s="5">
        <f>'Economic Variables'!R217</f>
        <v>6439</v>
      </c>
      <c r="BM107" s="5">
        <f>'Economic Variables'!S217</f>
        <v>3233</v>
      </c>
      <c r="BN107" s="5">
        <f t="shared" si="35"/>
        <v>106</v>
      </c>
      <c r="BO107" s="80">
        <f t="shared" ref="BO107:BO121" si="79">LOG(BN107)</f>
        <v>2.0253058652647704</v>
      </c>
      <c r="BP107" s="5">
        <f t="shared" ref="BP107:BP121" si="80">BN107^2</f>
        <v>11236</v>
      </c>
      <c r="BQ107">
        <f t="shared" ref="BQ107:CE107" si="81">BQ95</f>
        <v>0</v>
      </c>
      <c r="BR107">
        <f t="shared" si="81"/>
        <v>0</v>
      </c>
      <c r="BS107">
        <f t="shared" si="81"/>
        <v>0</v>
      </c>
      <c r="BT107">
        <f t="shared" si="81"/>
        <v>0</v>
      </c>
      <c r="BU107">
        <f t="shared" si="81"/>
        <v>0</v>
      </c>
      <c r="BV107">
        <f t="shared" si="81"/>
        <v>0</v>
      </c>
      <c r="BW107">
        <f t="shared" si="81"/>
        <v>0</v>
      </c>
      <c r="BX107">
        <f t="shared" si="81"/>
        <v>0</v>
      </c>
      <c r="BY107">
        <f t="shared" si="81"/>
        <v>0</v>
      </c>
      <c r="BZ107">
        <f t="shared" si="81"/>
        <v>1</v>
      </c>
      <c r="CA107">
        <f t="shared" si="81"/>
        <v>0</v>
      </c>
      <c r="CB107">
        <f t="shared" si="81"/>
        <v>0</v>
      </c>
      <c r="CC107">
        <f t="shared" si="81"/>
        <v>0</v>
      </c>
      <c r="CD107">
        <f t="shared" si="81"/>
        <v>1</v>
      </c>
      <c r="CE107">
        <f t="shared" si="81"/>
        <v>1</v>
      </c>
      <c r="CF107">
        <f t="shared" si="53"/>
        <v>31</v>
      </c>
      <c r="CG107">
        <v>21</v>
      </c>
      <c r="CH107">
        <v>1</v>
      </c>
      <c r="CI107">
        <v>0.5</v>
      </c>
      <c r="CJ107">
        <v>0</v>
      </c>
      <c r="CK107">
        <v>319.8</v>
      </c>
      <c r="CL107">
        <v>0</v>
      </c>
      <c r="CM107">
        <v>257.8</v>
      </c>
      <c r="CN107">
        <v>0</v>
      </c>
      <c r="CO107">
        <v>196.4</v>
      </c>
      <c r="CP107">
        <v>0.60000000000000142</v>
      </c>
      <c r="CQ107">
        <v>139.79999999999998</v>
      </c>
      <c r="CR107">
        <v>6.0000000000000018</v>
      </c>
      <c r="CS107">
        <v>90.1</v>
      </c>
      <c r="CT107">
        <v>18.300000000000004</v>
      </c>
      <c r="CU107">
        <v>54.2</v>
      </c>
      <c r="CV107">
        <v>44.400000000000006</v>
      </c>
      <c r="CW107">
        <v>27.5</v>
      </c>
      <c r="CX107">
        <v>79.700000000000017</v>
      </c>
      <c r="CY107" s="80">
        <f t="shared" ref="CY107:CY121" si="82">F107/$CF107/G107</f>
        <v>19.16851280358598</v>
      </c>
      <c r="CZ107" s="78">
        <f t="shared" ref="CZ107:CZ121" si="83">J107/$CF107/K107</f>
        <v>71.046739888751404</v>
      </c>
      <c r="DA107" s="5">
        <f t="shared" ref="DA107:DA121" si="84">N107/$CG107/P107</f>
        <v>2292.3473909835625</v>
      </c>
      <c r="DB107" s="5">
        <f t="shared" ref="DB107:DB121" si="85">S107/$CG107/U107</f>
        <v>58185.101902129827</v>
      </c>
      <c r="DC107" s="5">
        <f t="shared" ref="DC107:DC121" si="86">X107/$CG107/Z107</f>
        <v>263221.72379321884</v>
      </c>
      <c r="DD107">
        <f t="shared" ref="DD107:DD121" si="87">N107/$CF107/P107</f>
        <v>1552.880490666284</v>
      </c>
      <c r="DE107">
        <f t="shared" ref="DE107:DE121" si="88">S107/$CF107/U107</f>
        <v>39415.714191765364</v>
      </c>
      <c r="DF107">
        <f t="shared" ref="DF107:DF121" si="89">X107/$CF107/Z107</f>
        <v>178311.49031153534</v>
      </c>
      <c r="DG107" s="19">
        <v>33007</v>
      </c>
      <c r="DH107" s="19">
        <v>3498</v>
      </c>
      <c r="DI107" s="19">
        <v>367</v>
      </c>
      <c r="DJ107" s="19">
        <v>10</v>
      </c>
      <c r="DK107" s="19">
        <v>4</v>
      </c>
    </row>
    <row r="108" spans="1:115">
      <c r="A108" s="3">
        <v>44136</v>
      </c>
      <c r="B108">
        <f t="shared" si="77"/>
        <v>2020</v>
      </c>
      <c r="C108" s="2">
        <v>77727930.761000007</v>
      </c>
      <c r="D108" s="2">
        <v>18779701</v>
      </c>
      <c r="E108" s="2">
        <v>1316929.1653468369</v>
      </c>
      <c r="F108" s="2">
        <v>20096630.165346839</v>
      </c>
      <c r="G108" s="2">
        <v>33025</v>
      </c>
      <c r="H108" s="2">
        <v>7726790.7452999996</v>
      </c>
      <c r="I108" s="2">
        <v>402493.93105642492</v>
      </c>
      <c r="J108" s="2">
        <v>8129284.6763564246</v>
      </c>
      <c r="K108" s="2">
        <v>3503</v>
      </c>
      <c r="L108" s="2">
        <v>15338084.906300001</v>
      </c>
      <c r="M108" s="2">
        <f>VLOOKUP('Monthly Data'!B108,'Historic CDM'!$B$111:$J$122,4,FALSE)/12+VLOOKUP('Monthly Data'!B108,'Historic CDM'!$N$111:$V$122,4,FALSE)/12</f>
        <v>2663197.0022316254</v>
      </c>
      <c r="N108" s="2">
        <f t="shared" si="73"/>
        <v>18001281.908531625</v>
      </c>
      <c r="O108" s="2">
        <v>43788.984599999982</v>
      </c>
      <c r="P108" s="2">
        <v>369</v>
      </c>
      <c r="Q108" s="2">
        <v>9943167.1392000001</v>
      </c>
      <c r="R108" s="2">
        <f>VLOOKUP('Monthly Data'!B108,'Historic CDM'!$B$111:$J$122,5,FALSE)/12+VLOOKUP('Monthly Data'!B108,'Historic CDM'!$N$111:$V$122,5,FALSE)/12</f>
        <v>325401.47595780867</v>
      </c>
      <c r="S108" s="2">
        <f t="shared" si="44"/>
        <v>10268568.615157809</v>
      </c>
      <c r="T108" s="2">
        <v>18720.062548165508</v>
      </c>
      <c r="U108" s="2">
        <v>8</v>
      </c>
      <c r="V108" s="2">
        <v>23260504.061025001</v>
      </c>
      <c r="W108" s="2">
        <f>VLOOKUP('Monthly Data'!B108,'Historic CDM'!$B$111:$J$122,9,FALSE)/12+VLOOKUP('Monthly Data'!B108,'Historic CDM'!$N$111:$V$122,9,FALSE)/12</f>
        <v>93348.48581288378</v>
      </c>
      <c r="X108" s="2">
        <f t="shared" si="41"/>
        <v>23353852.546837885</v>
      </c>
      <c r="Y108" s="2">
        <v>39193.711920000002</v>
      </c>
      <c r="Z108" s="2">
        <v>4</v>
      </c>
      <c r="AA108" s="2">
        <v>340266.59820000001</v>
      </c>
      <c r="AB108" s="2">
        <v>794.8297</v>
      </c>
      <c r="AC108" s="2">
        <v>10145</v>
      </c>
      <c r="AD108" s="2">
        <v>35705</v>
      </c>
      <c r="AE108" s="2">
        <v>97.059999999999874</v>
      </c>
      <c r="AF108" s="2">
        <v>367</v>
      </c>
      <c r="AG108" s="2">
        <v>181413</v>
      </c>
      <c r="AH108" s="2">
        <v>253</v>
      </c>
      <c r="AI108">
        <f>Weather!C264</f>
        <v>386.19999999999993</v>
      </c>
      <c r="AJ108">
        <f>Weather!D264</f>
        <v>0</v>
      </c>
      <c r="AK108">
        <f>Weather!E264</f>
        <v>326.99999999999994</v>
      </c>
      <c r="AL108">
        <f>Weather!F264</f>
        <v>0.80000000000000071</v>
      </c>
      <c r="AM108">
        <f>Weather!G264</f>
        <v>269.60000000000002</v>
      </c>
      <c r="AN108">
        <f>Weather!H264</f>
        <v>3.4000000000000021</v>
      </c>
      <c r="AO108">
        <f>Weather!I264</f>
        <v>213.70000000000002</v>
      </c>
      <c r="AP108">
        <f>Weather!J264</f>
        <v>7.5000000000000018</v>
      </c>
      <c r="AQ108">
        <f>Weather!K264</f>
        <v>164.70000000000002</v>
      </c>
      <c r="AR108">
        <f>Weather!L264</f>
        <v>18.5</v>
      </c>
      <c r="AS108">
        <f>Weather!M264</f>
        <v>121.00000000000001</v>
      </c>
      <c r="AT108">
        <f>Weather!N264</f>
        <v>34.800000000000004</v>
      </c>
      <c r="AU108">
        <f>Weather!O264</f>
        <v>82.8</v>
      </c>
      <c r="AV108">
        <f>Weather!P264</f>
        <v>56.600000000000009</v>
      </c>
      <c r="AW108" s="7">
        <f>Weather!Q264</f>
        <v>7.126666666666666</v>
      </c>
      <c r="AX108" s="5">
        <f>'Economic Variables'!D218</f>
        <v>7242.5</v>
      </c>
      <c r="AY108" s="5">
        <f>'Economic Variables'!E218</f>
        <v>7255.2</v>
      </c>
      <c r="AZ108" s="5">
        <f>'Economic Variables'!F218</f>
        <v>263.3</v>
      </c>
      <c r="BA108" s="5">
        <f>'Economic Variables'!G218</f>
        <v>261.89999999999998</v>
      </c>
      <c r="BB108" s="79">
        <f>'Economic Variables'!H218</f>
        <v>716151.8</v>
      </c>
      <c r="BC108" s="5">
        <f>'Economic Variables'!I218</f>
        <v>8734.2999999999993</v>
      </c>
      <c r="BD108" s="5">
        <f>'Economic Variables'!J218</f>
        <v>8058.6</v>
      </c>
      <c r="BE108" s="5">
        <f>'Economic Variables'!K218</f>
        <v>436.5</v>
      </c>
      <c r="BF108" s="5">
        <f>'Economic Variables'!L218</f>
        <v>6462.7</v>
      </c>
      <c r="BG108" s="5">
        <f>'Economic Variables'!M218</f>
        <v>261.60000000000002</v>
      </c>
      <c r="BH108" s="5">
        <f>'Economic Variables'!N218</f>
        <v>945</v>
      </c>
      <c r="BI108" s="5">
        <f t="shared" si="78"/>
        <v>15197</v>
      </c>
      <c r="BJ108" s="5">
        <f>'Economic Variables'!P218</f>
        <v>739655</v>
      </c>
      <c r="BK108" s="5">
        <f>'Economic Variables'!Q218</f>
        <v>9253</v>
      </c>
      <c r="BL108" s="5">
        <f>'Economic Variables'!R218</f>
        <v>6439</v>
      </c>
      <c r="BM108" s="5">
        <f>'Economic Variables'!S218</f>
        <v>3233</v>
      </c>
      <c r="BN108" s="5">
        <f t="shared" ref="BN108:BN133" si="90">BN107+1</f>
        <v>107</v>
      </c>
      <c r="BO108" s="80">
        <f t="shared" si="79"/>
        <v>2.0293837776852097</v>
      </c>
      <c r="BP108" s="5">
        <f t="shared" si="80"/>
        <v>11449</v>
      </c>
      <c r="BQ108">
        <f t="shared" ref="BQ108:CE108" si="91">BQ96</f>
        <v>0</v>
      </c>
      <c r="BR108">
        <f t="shared" si="91"/>
        <v>0</v>
      </c>
      <c r="BS108">
        <f t="shared" si="91"/>
        <v>0</v>
      </c>
      <c r="BT108">
        <f t="shared" si="91"/>
        <v>0</v>
      </c>
      <c r="BU108">
        <f t="shared" si="91"/>
        <v>0</v>
      </c>
      <c r="BV108">
        <f t="shared" si="91"/>
        <v>0</v>
      </c>
      <c r="BW108">
        <f t="shared" si="91"/>
        <v>0</v>
      </c>
      <c r="BX108">
        <f t="shared" si="91"/>
        <v>0</v>
      </c>
      <c r="BY108">
        <f t="shared" si="91"/>
        <v>0</v>
      </c>
      <c r="BZ108">
        <f t="shared" si="91"/>
        <v>0</v>
      </c>
      <c r="CA108">
        <f t="shared" si="91"/>
        <v>1</v>
      </c>
      <c r="CB108">
        <f t="shared" si="91"/>
        <v>0</v>
      </c>
      <c r="CC108">
        <f t="shared" si="91"/>
        <v>0</v>
      </c>
      <c r="CD108">
        <f t="shared" si="91"/>
        <v>0</v>
      </c>
      <c r="CE108">
        <f t="shared" si="91"/>
        <v>0</v>
      </c>
      <c r="CF108">
        <f t="shared" si="53"/>
        <v>30</v>
      </c>
      <c r="CG108">
        <v>21</v>
      </c>
      <c r="CH108">
        <v>1</v>
      </c>
      <c r="CI108">
        <v>0.5</v>
      </c>
      <c r="CJ108">
        <v>0</v>
      </c>
      <c r="CK108">
        <v>386.19999999999993</v>
      </c>
      <c r="CL108">
        <v>0</v>
      </c>
      <c r="CM108">
        <v>326.99999999999994</v>
      </c>
      <c r="CN108">
        <v>0.80000000000000071</v>
      </c>
      <c r="CO108">
        <v>269.60000000000002</v>
      </c>
      <c r="CP108">
        <v>3.4000000000000021</v>
      </c>
      <c r="CQ108">
        <v>213.70000000000002</v>
      </c>
      <c r="CR108">
        <v>7.5000000000000018</v>
      </c>
      <c r="CS108">
        <v>164.70000000000002</v>
      </c>
      <c r="CT108">
        <v>18.5</v>
      </c>
      <c r="CU108">
        <v>121.00000000000001</v>
      </c>
      <c r="CV108">
        <v>34.800000000000004</v>
      </c>
      <c r="CW108">
        <v>82.8</v>
      </c>
      <c r="CX108">
        <v>56.600000000000009</v>
      </c>
      <c r="CY108" s="80">
        <f t="shared" si="82"/>
        <v>20.284259566335439</v>
      </c>
      <c r="CZ108" s="78">
        <f t="shared" si="83"/>
        <v>77.355454147458602</v>
      </c>
      <c r="DA108" s="5">
        <f t="shared" si="84"/>
        <v>2323.0458005589912</v>
      </c>
      <c r="DB108" s="5">
        <f t="shared" si="85"/>
        <v>61122.432233082196</v>
      </c>
      <c r="DC108" s="5">
        <f t="shared" si="86"/>
        <v>278022.05412902246</v>
      </c>
      <c r="DD108">
        <f t="shared" si="87"/>
        <v>1626.1320603912941</v>
      </c>
      <c r="DE108">
        <f t="shared" si="88"/>
        <v>42785.702563157538</v>
      </c>
      <c r="DF108">
        <f t="shared" si="89"/>
        <v>194615.43789031572</v>
      </c>
      <c r="DG108" s="19">
        <v>33025</v>
      </c>
      <c r="DH108" s="19">
        <v>3503</v>
      </c>
      <c r="DI108" s="19">
        <v>367</v>
      </c>
      <c r="DJ108" s="19">
        <v>10</v>
      </c>
      <c r="DK108" s="19">
        <v>4</v>
      </c>
    </row>
    <row r="109" spans="1:115">
      <c r="A109" s="3">
        <v>44166</v>
      </c>
      <c r="B109">
        <f t="shared" si="77"/>
        <v>2020</v>
      </c>
      <c r="C109" s="2">
        <v>84007571.090000004</v>
      </c>
      <c r="D109" s="2">
        <v>23168666</v>
      </c>
      <c r="E109" s="2">
        <v>1316929.1653468369</v>
      </c>
      <c r="F109" s="2">
        <v>24485595.165346839</v>
      </c>
      <c r="G109" s="2">
        <v>33044</v>
      </c>
      <c r="H109" s="2">
        <v>8621644.1539000012</v>
      </c>
      <c r="I109" s="2">
        <v>402493.93105642492</v>
      </c>
      <c r="J109" s="2">
        <v>9024138.0849564262</v>
      </c>
      <c r="K109" s="2">
        <v>3502</v>
      </c>
      <c r="L109" s="2">
        <v>16548687.229499999</v>
      </c>
      <c r="M109" s="2">
        <f>VLOOKUP('Monthly Data'!B109,'Historic CDM'!$B$111:$J$122,4,FALSE)/12+VLOOKUP('Monthly Data'!B109,'Historic CDM'!$N$111:$V$122,4,FALSE)/12</f>
        <v>2663197.0022316254</v>
      </c>
      <c r="N109" s="2">
        <f t="shared" si="73"/>
        <v>19211884.231731623</v>
      </c>
      <c r="O109" s="2">
        <v>42751.05599999999</v>
      </c>
      <c r="P109" s="2">
        <v>370</v>
      </c>
      <c r="Q109" s="2">
        <v>9637886.5332000013</v>
      </c>
      <c r="R109" s="2">
        <f>VLOOKUP('Monthly Data'!B109,'Historic CDM'!$B$111:$J$122,5,FALSE)/12+VLOOKUP('Monthly Data'!B109,'Historic CDM'!$N$111:$V$122,5,FALSE)/12</f>
        <v>325401.47595780867</v>
      </c>
      <c r="S109" s="2">
        <f t="shared" si="44"/>
        <v>9963288.0091578104</v>
      </c>
      <c r="T109" s="2">
        <v>18376.110826177803</v>
      </c>
      <c r="U109" s="2">
        <v>8</v>
      </c>
      <c r="V109" s="2">
        <v>23172575.087475002</v>
      </c>
      <c r="W109" s="2">
        <f>VLOOKUP('Monthly Data'!B109,'Historic CDM'!$B$111:$J$122,9,FALSE)/12+VLOOKUP('Monthly Data'!B109,'Historic CDM'!$N$111:$V$122,9,FALSE)/12</f>
        <v>93348.48581288378</v>
      </c>
      <c r="X109" s="2">
        <f t="shared" si="41"/>
        <v>23265923.573287886</v>
      </c>
      <c r="Y109" s="2">
        <v>38098.831319999998</v>
      </c>
      <c r="Z109" s="2">
        <v>4</v>
      </c>
      <c r="AA109" s="2">
        <v>370027.13270000002</v>
      </c>
      <c r="AB109" s="2">
        <v>796.81970000000001</v>
      </c>
      <c r="AC109" s="2">
        <v>10145</v>
      </c>
      <c r="AD109" s="2">
        <v>36761</v>
      </c>
      <c r="AE109" s="2">
        <v>98.819999999999865</v>
      </c>
      <c r="AF109" s="2">
        <v>367</v>
      </c>
      <c r="AG109" s="2">
        <v>186856</v>
      </c>
      <c r="AH109" s="2">
        <v>253</v>
      </c>
      <c r="AI109">
        <f>Weather!C265</f>
        <v>607.40000000000009</v>
      </c>
      <c r="AJ109">
        <f>Weather!D265</f>
        <v>0</v>
      </c>
      <c r="AK109">
        <f>Weather!E265</f>
        <v>545.4</v>
      </c>
      <c r="AL109">
        <f>Weather!F265</f>
        <v>0</v>
      </c>
      <c r="AM109">
        <f>Weather!G265</f>
        <v>483.40000000000003</v>
      </c>
      <c r="AN109">
        <f>Weather!H265</f>
        <v>0</v>
      </c>
      <c r="AO109">
        <f>Weather!I265</f>
        <v>421.4</v>
      </c>
      <c r="AP109">
        <f>Weather!J265</f>
        <v>0</v>
      </c>
      <c r="AQ109">
        <f>Weather!K265</f>
        <v>359.4</v>
      </c>
      <c r="AR109">
        <f>Weather!L265</f>
        <v>0</v>
      </c>
      <c r="AS109">
        <f>Weather!M265</f>
        <v>297.39999999999998</v>
      </c>
      <c r="AT109">
        <f>Weather!N265</f>
        <v>0</v>
      </c>
      <c r="AU109">
        <f>Weather!O265</f>
        <v>235.39999999999995</v>
      </c>
      <c r="AV109">
        <f>Weather!P265</f>
        <v>0</v>
      </c>
      <c r="AW109" s="7">
        <f>Weather!Q265</f>
        <v>0.40645161290322557</v>
      </c>
      <c r="AX109" s="5">
        <f>'Economic Variables'!D219</f>
        <v>7258.1</v>
      </c>
      <c r="AY109" s="5">
        <f>'Economic Variables'!E219</f>
        <v>7273.3</v>
      </c>
      <c r="AZ109" s="5">
        <f>'Economic Variables'!F219</f>
        <v>266</v>
      </c>
      <c r="BA109" s="5">
        <f>'Economic Variables'!G219</f>
        <v>264.10000000000002</v>
      </c>
      <c r="BB109" s="79">
        <f>'Economic Variables'!H219</f>
        <v>716151.8</v>
      </c>
      <c r="BC109" s="5">
        <f>'Economic Variables'!I219</f>
        <v>8734.2999999999993</v>
      </c>
      <c r="BD109" s="5">
        <f>'Economic Variables'!J219</f>
        <v>8058.6</v>
      </c>
      <c r="BE109" s="5">
        <f>'Economic Variables'!K219</f>
        <v>436.5</v>
      </c>
      <c r="BF109" s="5">
        <f>'Economic Variables'!L219</f>
        <v>6462.7</v>
      </c>
      <c r="BG109" s="5">
        <f>'Economic Variables'!M219</f>
        <v>261.60000000000002</v>
      </c>
      <c r="BH109" s="5">
        <f>'Economic Variables'!N219</f>
        <v>945</v>
      </c>
      <c r="BI109" s="5">
        <f t="shared" si="78"/>
        <v>15197</v>
      </c>
      <c r="BJ109" s="5">
        <f>'Economic Variables'!P219</f>
        <v>739655</v>
      </c>
      <c r="BK109" s="5">
        <f>'Economic Variables'!Q219</f>
        <v>9253</v>
      </c>
      <c r="BL109" s="5">
        <f>'Economic Variables'!R219</f>
        <v>6439</v>
      </c>
      <c r="BM109" s="5">
        <f>'Economic Variables'!S219</f>
        <v>3233</v>
      </c>
      <c r="BN109" s="5">
        <f t="shared" si="90"/>
        <v>108</v>
      </c>
      <c r="BO109" s="80">
        <f t="shared" si="79"/>
        <v>2.0334237554869499</v>
      </c>
      <c r="BP109" s="5">
        <f t="shared" si="80"/>
        <v>11664</v>
      </c>
      <c r="BQ109">
        <f t="shared" ref="BQ109:CE109" si="92">BQ97</f>
        <v>0</v>
      </c>
      <c r="BR109">
        <f t="shared" si="92"/>
        <v>0</v>
      </c>
      <c r="BS109">
        <f t="shared" si="92"/>
        <v>0</v>
      </c>
      <c r="BT109">
        <f t="shared" si="92"/>
        <v>0</v>
      </c>
      <c r="BU109">
        <f t="shared" si="92"/>
        <v>0</v>
      </c>
      <c r="BV109">
        <f t="shared" si="92"/>
        <v>0</v>
      </c>
      <c r="BW109">
        <f t="shared" si="92"/>
        <v>0</v>
      </c>
      <c r="BX109">
        <f t="shared" si="92"/>
        <v>0</v>
      </c>
      <c r="BY109">
        <f t="shared" si="92"/>
        <v>0</v>
      </c>
      <c r="BZ109">
        <f t="shared" si="92"/>
        <v>0</v>
      </c>
      <c r="CA109">
        <f t="shared" si="92"/>
        <v>0</v>
      </c>
      <c r="CB109">
        <f t="shared" si="92"/>
        <v>1</v>
      </c>
      <c r="CC109">
        <f t="shared" si="92"/>
        <v>0</v>
      </c>
      <c r="CD109">
        <f t="shared" si="92"/>
        <v>0</v>
      </c>
      <c r="CE109">
        <f t="shared" si="92"/>
        <v>0</v>
      </c>
      <c r="CF109">
        <f t="shared" si="53"/>
        <v>31</v>
      </c>
      <c r="CG109">
        <v>21</v>
      </c>
      <c r="CH109">
        <v>1</v>
      </c>
      <c r="CI109">
        <v>0.5</v>
      </c>
      <c r="CJ109">
        <v>0</v>
      </c>
      <c r="CK109">
        <v>607.40000000000009</v>
      </c>
      <c r="CL109">
        <v>0</v>
      </c>
      <c r="CM109">
        <v>545.4</v>
      </c>
      <c r="CN109">
        <v>0</v>
      </c>
      <c r="CO109">
        <v>483.40000000000003</v>
      </c>
      <c r="CP109">
        <v>0</v>
      </c>
      <c r="CQ109">
        <v>421.4</v>
      </c>
      <c r="CR109">
        <v>0</v>
      </c>
      <c r="CS109">
        <v>359.4</v>
      </c>
      <c r="CT109">
        <v>0</v>
      </c>
      <c r="CU109">
        <v>297.39999999999998</v>
      </c>
      <c r="CV109">
        <v>0</v>
      </c>
      <c r="CW109">
        <v>235.39999999999995</v>
      </c>
      <c r="CX109">
        <v>0</v>
      </c>
      <c r="CY109" s="80">
        <f t="shared" si="82"/>
        <v>23.903217181926383</v>
      </c>
      <c r="CZ109" s="78">
        <f t="shared" si="83"/>
        <v>83.124279996282539</v>
      </c>
      <c r="DA109" s="5">
        <f t="shared" si="84"/>
        <v>2472.5719731958329</v>
      </c>
      <c r="DB109" s="5">
        <f t="shared" si="85"/>
        <v>59305.285768796493</v>
      </c>
      <c r="DC109" s="5">
        <f t="shared" si="86"/>
        <v>276975.2806343796</v>
      </c>
      <c r="DD109">
        <f t="shared" si="87"/>
        <v>1674.9681108745967</v>
      </c>
      <c r="DE109">
        <f t="shared" si="88"/>
        <v>40174.548424023429</v>
      </c>
      <c r="DF109">
        <f t="shared" si="89"/>
        <v>187628.41591361197</v>
      </c>
      <c r="DG109" s="19">
        <v>33044</v>
      </c>
      <c r="DH109" s="19">
        <v>3502</v>
      </c>
      <c r="DI109" s="19">
        <v>368</v>
      </c>
      <c r="DJ109" s="19">
        <v>10</v>
      </c>
      <c r="DK109" s="19">
        <v>4</v>
      </c>
    </row>
    <row r="110" spans="1:115">
      <c r="A110" s="3">
        <v>44197</v>
      </c>
      <c r="B110">
        <f t="shared" si="77"/>
        <v>2021</v>
      </c>
      <c r="C110" s="2">
        <v>86328023.574130014</v>
      </c>
      <c r="D110" s="2">
        <v>23277284.053630959</v>
      </c>
      <c r="E110" s="2">
        <v>1282263.2962896423</v>
      </c>
      <c r="F110" s="2">
        <v>24559547.349920601</v>
      </c>
      <c r="G110" s="2">
        <v>33061</v>
      </c>
      <c r="H110" s="2">
        <v>8533057.5188079942</v>
      </c>
      <c r="I110" s="2">
        <v>447171.24876639713</v>
      </c>
      <c r="J110" s="2">
        <v>8980228.7675743923</v>
      </c>
      <c r="K110" s="2">
        <v>3494</v>
      </c>
      <c r="L110" s="2">
        <v>16577630.185099998</v>
      </c>
      <c r="M110" s="2">
        <f>VLOOKUP('Monthly Data'!B110,'Historic CDM'!$B$111:$J$122,4,FALSE)/12+VLOOKUP('Monthly Data'!B110,'Historic CDM'!$N$111:$V$122,4,FALSE)/12</f>
        <v>2851432.0617325441</v>
      </c>
      <c r="N110" s="2">
        <f t="shared" si="73"/>
        <v>19429062.246832542</v>
      </c>
      <c r="O110" s="2">
        <v>41232.732077000001</v>
      </c>
      <c r="P110" s="2">
        <v>369</v>
      </c>
      <c r="Q110" s="2">
        <v>9844106.2711999994</v>
      </c>
      <c r="R110" s="2">
        <f>VLOOKUP('Monthly Data'!B110,'Historic CDM'!$B$111:$J$122,5,FALSE)/12+VLOOKUP('Monthly Data'!B110,'Historic CDM'!$N$111:$V$122,5,FALSE)/12</f>
        <v>414313.62206128327</v>
      </c>
      <c r="S110" s="2">
        <f t="shared" si="44"/>
        <v>10258419.893261282</v>
      </c>
      <c r="T110" s="2">
        <v>17589.379581513833</v>
      </c>
      <c r="U110" s="2">
        <v>8</v>
      </c>
      <c r="V110" s="2">
        <v>25197389.792437501</v>
      </c>
      <c r="W110" s="2">
        <f>VLOOKUP('Monthly Data'!B110,'Historic CDM'!$B$111:$J$122,9,FALSE)/12+VLOOKUP('Monthly Data'!B110,'Historic CDM'!$N$111:$V$122,9,FALSE)/12</f>
        <v>187263.3914103462</v>
      </c>
      <c r="X110" s="2">
        <f t="shared" si="41"/>
        <v>25384653.183847848</v>
      </c>
      <c r="Y110" s="2">
        <v>39571.765199000001</v>
      </c>
      <c r="Z110" s="2">
        <v>4</v>
      </c>
      <c r="AA110" s="2">
        <v>353082.47537664312</v>
      </c>
      <c r="AB110" s="2">
        <v>782.82313999999997</v>
      </c>
      <c r="AC110" s="2">
        <v>10145</v>
      </c>
      <c r="AD110" s="2">
        <v>36761.039999999994</v>
      </c>
      <c r="AE110" s="2">
        <v>99.179987000000011</v>
      </c>
      <c r="AF110" s="2">
        <v>367</v>
      </c>
      <c r="AG110" s="2">
        <v>186083.58653999967</v>
      </c>
      <c r="AH110" s="2">
        <v>250</v>
      </c>
      <c r="AI110">
        <f>Weather!C266</f>
        <v>679.19999999999982</v>
      </c>
      <c r="AJ110">
        <f>Weather!D266</f>
        <v>0</v>
      </c>
      <c r="AK110">
        <f>Weather!E266</f>
        <v>617.19999999999982</v>
      </c>
      <c r="AL110">
        <f>Weather!F266</f>
        <v>0</v>
      </c>
      <c r="AM110">
        <f>Weather!G266</f>
        <v>555.19999999999993</v>
      </c>
      <c r="AN110">
        <f>Weather!H266</f>
        <v>0</v>
      </c>
      <c r="AO110">
        <f>Weather!I266</f>
        <v>493.19999999999993</v>
      </c>
      <c r="AP110">
        <f>Weather!J266</f>
        <v>0</v>
      </c>
      <c r="AQ110">
        <f>Weather!K266</f>
        <v>431.2</v>
      </c>
      <c r="AR110">
        <f>Weather!L266</f>
        <v>0</v>
      </c>
      <c r="AS110">
        <f>Weather!M266</f>
        <v>369.2</v>
      </c>
      <c r="AT110">
        <f>Weather!N266</f>
        <v>0</v>
      </c>
      <c r="AU110">
        <f>Weather!O266</f>
        <v>307.2</v>
      </c>
      <c r="AV110">
        <f>Weather!P266</f>
        <v>0</v>
      </c>
      <c r="AW110" s="7">
        <f>Weather!Q266</f>
        <v>-1.9096774193548387</v>
      </c>
      <c r="AX110" s="5">
        <f>'Economic Variables'!D220</f>
        <v>7204.5</v>
      </c>
      <c r="AY110" s="5">
        <f>'Economic Variables'!E220</f>
        <v>7180.4</v>
      </c>
      <c r="AZ110" s="5">
        <f>'Economic Variables'!F220</f>
        <v>267.89999999999998</v>
      </c>
      <c r="BA110" s="5">
        <f>'Economic Variables'!G220</f>
        <v>265.5</v>
      </c>
      <c r="BB110" s="79">
        <f>'Economic Variables'!H220</f>
        <v>752340.8</v>
      </c>
      <c r="BC110" s="5">
        <f>'Economic Variables'!I220</f>
        <v>9469.7000000000007</v>
      </c>
      <c r="BD110" s="5">
        <f>'Economic Variables'!J220</f>
        <v>8822.4</v>
      </c>
      <c r="BE110" s="5">
        <f>'Economic Variables'!K220</f>
        <v>443.3</v>
      </c>
      <c r="BF110" s="5">
        <f>'Economic Variables'!L220</f>
        <v>6279.5</v>
      </c>
      <c r="BG110" s="5">
        <f>'Economic Variables'!M220</f>
        <v>257.5</v>
      </c>
      <c r="BH110" s="5">
        <f>'Economic Variables'!N220</f>
        <v>1095.0999999999999</v>
      </c>
      <c r="BI110" s="5">
        <f t="shared" si="78"/>
        <v>15749.2</v>
      </c>
      <c r="BJ110" s="5">
        <f>'Economic Variables'!P220</f>
        <v>748506</v>
      </c>
      <c r="BK110" s="5">
        <f>'Economic Variables'!Q220</f>
        <v>9310</v>
      </c>
      <c r="BL110" s="5">
        <f>'Economic Variables'!R220</f>
        <v>6620</v>
      </c>
      <c r="BM110" s="5">
        <f>'Economic Variables'!S220</f>
        <v>3174</v>
      </c>
      <c r="BN110" s="5">
        <f t="shared" si="90"/>
        <v>109</v>
      </c>
      <c r="BO110" s="80">
        <f t="shared" si="79"/>
        <v>2.0374264979406238</v>
      </c>
      <c r="BP110" s="5">
        <f t="shared" si="80"/>
        <v>11881</v>
      </c>
      <c r="BQ110">
        <f t="shared" ref="BQ110:CE110" si="93">BQ98</f>
        <v>1</v>
      </c>
      <c r="BR110">
        <f t="shared" si="93"/>
        <v>0</v>
      </c>
      <c r="BS110">
        <f t="shared" si="93"/>
        <v>0</v>
      </c>
      <c r="BT110">
        <f t="shared" si="93"/>
        <v>0</v>
      </c>
      <c r="BU110">
        <f t="shared" si="93"/>
        <v>0</v>
      </c>
      <c r="BV110">
        <f t="shared" si="93"/>
        <v>0</v>
      </c>
      <c r="BW110">
        <f t="shared" si="93"/>
        <v>0</v>
      </c>
      <c r="BX110">
        <f t="shared" si="93"/>
        <v>0</v>
      </c>
      <c r="BY110">
        <f t="shared" si="93"/>
        <v>0</v>
      </c>
      <c r="BZ110">
        <f t="shared" si="93"/>
        <v>0</v>
      </c>
      <c r="CA110">
        <f t="shared" si="93"/>
        <v>0</v>
      </c>
      <c r="CB110">
        <f t="shared" si="93"/>
        <v>0</v>
      </c>
      <c r="CC110">
        <f t="shared" si="93"/>
        <v>0</v>
      </c>
      <c r="CD110">
        <f t="shared" si="93"/>
        <v>0</v>
      </c>
      <c r="CE110">
        <f t="shared" si="93"/>
        <v>0</v>
      </c>
      <c r="CF110">
        <f t="shared" si="53"/>
        <v>31</v>
      </c>
      <c r="CG110">
        <v>20</v>
      </c>
      <c r="CH110">
        <v>1</v>
      </c>
      <c r="CI110">
        <v>0.5</v>
      </c>
      <c r="CJ110">
        <v>0</v>
      </c>
      <c r="CK110">
        <v>679.19999999999982</v>
      </c>
      <c r="CL110">
        <v>0</v>
      </c>
      <c r="CM110">
        <v>617.19999999999982</v>
      </c>
      <c r="CN110">
        <v>0</v>
      </c>
      <c r="CO110">
        <v>555.19999999999993</v>
      </c>
      <c r="CP110">
        <v>0</v>
      </c>
      <c r="CQ110">
        <v>493.19999999999993</v>
      </c>
      <c r="CR110">
        <v>0</v>
      </c>
      <c r="CS110">
        <v>431.2</v>
      </c>
      <c r="CT110">
        <v>0</v>
      </c>
      <c r="CU110">
        <v>369.2</v>
      </c>
      <c r="CV110">
        <v>0</v>
      </c>
      <c r="CW110">
        <v>307.2</v>
      </c>
      <c r="CX110">
        <v>0</v>
      </c>
      <c r="CY110" s="80">
        <f t="shared" si="82"/>
        <v>23.963082269158964</v>
      </c>
      <c r="CZ110" s="78">
        <f t="shared" si="83"/>
        <v>82.909215499145006</v>
      </c>
      <c r="DA110" s="5">
        <f t="shared" si="84"/>
        <v>2632.6642610884205</v>
      </c>
      <c r="DB110" s="5">
        <f t="shared" si="85"/>
        <v>64115.12433288301</v>
      </c>
      <c r="DC110" s="5">
        <f t="shared" si="86"/>
        <v>317308.16479809809</v>
      </c>
      <c r="DD110">
        <f t="shared" si="87"/>
        <v>1698.4930716699487</v>
      </c>
      <c r="DE110">
        <f t="shared" si="88"/>
        <v>41364.596343795492</v>
      </c>
      <c r="DF110">
        <f t="shared" si="89"/>
        <v>204714.94503103103</v>
      </c>
      <c r="DG110" s="19">
        <v>33061</v>
      </c>
      <c r="DH110" s="19">
        <v>3494</v>
      </c>
      <c r="DI110" s="19">
        <v>368</v>
      </c>
      <c r="DJ110" s="19">
        <v>9</v>
      </c>
      <c r="DK110" s="19">
        <v>4</v>
      </c>
    </row>
    <row r="111" spans="1:115">
      <c r="A111" s="3">
        <v>44228</v>
      </c>
      <c r="B111">
        <f t="shared" si="77"/>
        <v>2021</v>
      </c>
      <c r="C111" s="2">
        <v>78725130.004179984</v>
      </c>
      <c r="D111" s="2">
        <v>21576388.898400996</v>
      </c>
      <c r="E111" s="2">
        <v>1282263.2962896423</v>
      </c>
      <c r="F111" s="2">
        <v>22858652.194690637</v>
      </c>
      <c r="G111" s="2">
        <v>33072</v>
      </c>
      <c r="H111" s="2">
        <v>8209335.6022099974</v>
      </c>
      <c r="I111" s="2">
        <v>447171.24876639713</v>
      </c>
      <c r="J111" s="2">
        <v>8656506.8509763945</v>
      </c>
      <c r="K111" s="2">
        <v>3496</v>
      </c>
      <c r="L111" s="2">
        <v>15949292.015800001</v>
      </c>
      <c r="M111" s="2">
        <f>VLOOKUP('Monthly Data'!B111,'Historic CDM'!$B$111:$J$122,4,FALSE)/12+VLOOKUP('Monthly Data'!B111,'Historic CDM'!$N$111:$V$122,4,FALSE)/12</f>
        <v>2851432.0617325441</v>
      </c>
      <c r="N111" s="2">
        <f t="shared" si="73"/>
        <v>18800724.077532545</v>
      </c>
      <c r="O111" s="2">
        <v>42881.625976999989</v>
      </c>
      <c r="P111" s="2">
        <v>369</v>
      </c>
      <c r="Q111" s="2">
        <v>9204089.6671999991</v>
      </c>
      <c r="R111" s="2">
        <f>VLOOKUP('Monthly Data'!B111,'Historic CDM'!$B$111:$J$122,5,FALSE)/12+VLOOKUP('Monthly Data'!B111,'Historic CDM'!$N$111:$V$122,5,FALSE)/12</f>
        <v>414313.62206128327</v>
      </c>
      <c r="S111" s="2">
        <f t="shared" si="44"/>
        <v>9618403.2892612815</v>
      </c>
      <c r="T111" s="2">
        <v>19010.325359474667</v>
      </c>
      <c r="U111" s="2">
        <v>8</v>
      </c>
      <c r="V111" s="2">
        <v>21140986.228807501</v>
      </c>
      <c r="W111" s="2">
        <f>VLOOKUP('Monthly Data'!B111,'Historic CDM'!$B$111:$J$122,9,FALSE)/12+VLOOKUP('Monthly Data'!B111,'Historic CDM'!$N$111:$V$122,9,FALSE)/12</f>
        <v>187263.3914103462</v>
      </c>
      <c r="X111" s="2">
        <f t="shared" si="41"/>
        <v>21328249.620217849</v>
      </c>
      <c r="Y111" s="2">
        <v>38608.178397999996</v>
      </c>
      <c r="Z111" s="2">
        <v>4</v>
      </c>
      <c r="AA111" s="2">
        <v>295429.69246713357</v>
      </c>
      <c r="AB111" s="2">
        <v>783.30293800000004</v>
      </c>
      <c r="AC111" s="2">
        <v>10159</v>
      </c>
      <c r="AD111" s="2">
        <v>33203.520000000026</v>
      </c>
      <c r="AE111" s="2">
        <v>99.179987000000011</v>
      </c>
      <c r="AF111" s="2">
        <v>367</v>
      </c>
      <c r="AG111" s="2">
        <v>168075.49752000018</v>
      </c>
      <c r="AH111" s="2">
        <v>250</v>
      </c>
      <c r="AI111">
        <f>Weather!C267</f>
        <v>713.6</v>
      </c>
      <c r="AJ111">
        <f>Weather!D267</f>
        <v>0</v>
      </c>
      <c r="AK111">
        <f>Weather!E267</f>
        <v>657.59999999999991</v>
      </c>
      <c r="AL111">
        <f>Weather!F267</f>
        <v>0</v>
      </c>
      <c r="AM111">
        <f>Weather!G267</f>
        <v>601.59999999999991</v>
      </c>
      <c r="AN111">
        <f>Weather!H267</f>
        <v>0</v>
      </c>
      <c r="AO111">
        <f>Weather!I267</f>
        <v>545.5999999999998</v>
      </c>
      <c r="AP111">
        <f>Weather!J267</f>
        <v>0</v>
      </c>
      <c r="AQ111">
        <f>Weather!K267</f>
        <v>489.59999999999991</v>
      </c>
      <c r="AR111">
        <f>Weather!L267</f>
        <v>0</v>
      </c>
      <c r="AS111">
        <f>Weather!M267</f>
        <v>433.59999999999991</v>
      </c>
      <c r="AT111">
        <f>Weather!N267</f>
        <v>0</v>
      </c>
      <c r="AU111">
        <f>Weather!O267</f>
        <v>377.59999999999997</v>
      </c>
      <c r="AV111">
        <f>Weather!P267</f>
        <v>0</v>
      </c>
      <c r="AW111" s="7">
        <f>Weather!Q267</f>
        <v>-5.4857142857142867</v>
      </c>
      <c r="AX111" s="5">
        <f>'Economic Variables'!D221</f>
        <v>7182.2</v>
      </c>
      <c r="AY111" s="5">
        <f>'Economic Variables'!E221</f>
        <v>7124.8</v>
      </c>
      <c r="AZ111" s="5">
        <f>'Economic Variables'!F221</f>
        <v>271.60000000000002</v>
      </c>
      <c r="BA111" s="5">
        <f>'Economic Variables'!G221</f>
        <v>269.3</v>
      </c>
      <c r="BB111" s="79">
        <f>'Economic Variables'!H221</f>
        <v>752340.8</v>
      </c>
      <c r="BC111" s="5">
        <f>'Economic Variables'!I221</f>
        <v>9469.7000000000007</v>
      </c>
      <c r="BD111" s="5">
        <f>'Economic Variables'!J221</f>
        <v>8822.4</v>
      </c>
      <c r="BE111" s="5">
        <f>'Economic Variables'!K221</f>
        <v>443.3</v>
      </c>
      <c r="BF111" s="5">
        <f>'Economic Variables'!L221</f>
        <v>6279.5</v>
      </c>
      <c r="BG111" s="5">
        <f>'Economic Variables'!M221</f>
        <v>257.5</v>
      </c>
      <c r="BH111" s="5">
        <f>'Economic Variables'!N221</f>
        <v>1095.0999999999999</v>
      </c>
      <c r="BI111" s="5">
        <f t="shared" si="78"/>
        <v>15749.2</v>
      </c>
      <c r="BJ111" s="5">
        <f>'Economic Variables'!P221</f>
        <v>748506</v>
      </c>
      <c r="BK111" s="5">
        <f>'Economic Variables'!Q221</f>
        <v>9310</v>
      </c>
      <c r="BL111" s="5">
        <f>'Economic Variables'!R221</f>
        <v>6620</v>
      </c>
      <c r="BM111" s="5">
        <f>'Economic Variables'!S221</f>
        <v>3174</v>
      </c>
      <c r="BN111" s="5">
        <f t="shared" si="90"/>
        <v>110</v>
      </c>
      <c r="BO111" s="80">
        <f t="shared" si="79"/>
        <v>2.0413926851582249</v>
      </c>
      <c r="BP111" s="5">
        <f t="shared" si="80"/>
        <v>12100</v>
      </c>
      <c r="BQ111">
        <f t="shared" ref="BQ111:CE111" si="94">BQ99</f>
        <v>0</v>
      </c>
      <c r="BR111">
        <f t="shared" si="94"/>
        <v>1</v>
      </c>
      <c r="BS111">
        <f t="shared" si="94"/>
        <v>0</v>
      </c>
      <c r="BT111">
        <f t="shared" si="94"/>
        <v>0</v>
      </c>
      <c r="BU111">
        <f t="shared" si="94"/>
        <v>0</v>
      </c>
      <c r="BV111">
        <f t="shared" si="94"/>
        <v>0</v>
      </c>
      <c r="BW111">
        <f t="shared" si="94"/>
        <v>0</v>
      </c>
      <c r="BX111">
        <f t="shared" si="94"/>
        <v>0</v>
      </c>
      <c r="BY111">
        <f t="shared" si="94"/>
        <v>0</v>
      </c>
      <c r="BZ111">
        <f t="shared" si="94"/>
        <v>0</v>
      </c>
      <c r="CA111">
        <f t="shared" si="94"/>
        <v>0</v>
      </c>
      <c r="CB111">
        <f t="shared" si="94"/>
        <v>0</v>
      </c>
      <c r="CC111">
        <f t="shared" si="94"/>
        <v>0</v>
      </c>
      <c r="CD111">
        <f t="shared" si="94"/>
        <v>0</v>
      </c>
      <c r="CE111">
        <f t="shared" si="94"/>
        <v>0</v>
      </c>
      <c r="CF111">
        <f t="shared" si="53"/>
        <v>28</v>
      </c>
      <c r="CG111">
        <v>19</v>
      </c>
      <c r="CH111">
        <v>1</v>
      </c>
      <c r="CI111">
        <v>0.5</v>
      </c>
      <c r="CJ111">
        <v>0</v>
      </c>
      <c r="CK111">
        <v>713.6</v>
      </c>
      <c r="CL111">
        <v>0</v>
      </c>
      <c r="CM111">
        <v>657.59999999999991</v>
      </c>
      <c r="CN111">
        <v>0</v>
      </c>
      <c r="CO111">
        <v>601.59999999999991</v>
      </c>
      <c r="CP111">
        <v>0</v>
      </c>
      <c r="CQ111">
        <v>545.5999999999998</v>
      </c>
      <c r="CR111">
        <v>0</v>
      </c>
      <c r="CS111">
        <v>489.59999999999991</v>
      </c>
      <c r="CT111">
        <v>0</v>
      </c>
      <c r="CU111">
        <v>433.59999999999991</v>
      </c>
      <c r="CV111">
        <v>0</v>
      </c>
      <c r="CW111">
        <v>377.59999999999997</v>
      </c>
      <c r="CX111">
        <v>0</v>
      </c>
      <c r="CY111" s="80">
        <f t="shared" si="82"/>
        <v>24.684943019009001</v>
      </c>
      <c r="CZ111" s="78">
        <f t="shared" si="83"/>
        <v>88.432768582220433</v>
      </c>
      <c r="DA111" s="5">
        <f t="shared" si="84"/>
        <v>2681.6037765700394</v>
      </c>
      <c r="DB111" s="5">
        <f t="shared" si="85"/>
        <v>63278.969008297907</v>
      </c>
      <c r="DC111" s="5">
        <f t="shared" si="86"/>
        <v>280634.86342391907</v>
      </c>
      <c r="DD111">
        <f t="shared" si="87"/>
        <v>1819.6597055296693</v>
      </c>
      <c r="DE111">
        <f t="shared" si="88"/>
        <v>42939.300398487867</v>
      </c>
      <c r="DF111">
        <f t="shared" si="89"/>
        <v>190430.8001805165</v>
      </c>
      <c r="DG111" s="19">
        <v>33072</v>
      </c>
      <c r="DH111" s="19">
        <v>3496</v>
      </c>
      <c r="DI111" s="19">
        <v>368</v>
      </c>
      <c r="DJ111" s="19">
        <v>9</v>
      </c>
      <c r="DK111" s="19">
        <v>4</v>
      </c>
    </row>
    <row r="112" spans="1:115">
      <c r="A112" s="3">
        <v>44256</v>
      </c>
      <c r="B112">
        <f t="shared" si="77"/>
        <v>2021</v>
      </c>
      <c r="C112" s="2">
        <v>80347515.484680027</v>
      </c>
      <c r="D112" s="2">
        <v>19967835.11560889</v>
      </c>
      <c r="E112" s="2">
        <v>1282263.2962896423</v>
      </c>
      <c r="F112" s="2">
        <v>21250098.411898531</v>
      </c>
      <c r="G112" s="2">
        <v>33081</v>
      </c>
      <c r="H112" s="2">
        <v>8100439.0900499988</v>
      </c>
      <c r="I112" s="2">
        <v>447171.24876639713</v>
      </c>
      <c r="J112" s="2">
        <v>8547610.3388163969</v>
      </c>
      <c r="K112" s="2">
        <v>3495</v>
      </c>
      <c r="L112" s="2">
        <v>15881422.168700006</v>
      </c>
      <c r="M112" s="2">
        <f>VLOOKUP('Monthly Data'!B112,'Historic CDM'!$B$111:$J$122,4,FALSE)/12+VLOOKUP('Monthly Data'!B112,'Historic CDM'!$N$111:$V$122,4,FALSE)/12</f>
        <v>2851432.0617325441</v>
      </c>
      <c r="N112" s="2">
        <f t="shared" si="73"/>
        <v>18732854.230432551</v>
      </c>
      <c r="O112" s="2">
        <v>42731.146425999999</v>
      </c>
      <c r="P112" s="2">
        <v>370</v>
      </c>
      <c r="Q112" s="2">
        <v>10445533.32</v>
      </c>
      <c r="R112" s="2">
        <f>VLOOKUP('Monthly Data'!B112,'Historic CDM'!$B$111:$J$122,5,FALSE)/12+VLOOKUP('Monthly Data'!B112,'Historic CDM'!$N$111:$V$122,5,FALSE)/12</f>
        <v>414313.62206128327</v>
      </c>
      <c r="S112" s="2">
        <f t="shared" si="44"/>
        <v>10859846.942061283</v>
      </c>
      <c r="T112" s="2">
        <v>19476.119026727061</v>
      </c>
      <c r="U112" s="2">
        <v>8</v>
      </c>
      <c r="V112" s="2">
        <v>23217654.729307499</v>
      </c>
      <c r="W112" s="2">
        <f>VLOOKUP('Monthly Data'!B112,'Historic CDM'!$B$111:$J$122,9,FALSE)/12+VLOOKUP('Monthly Data'!B112,'Historic CDM'!$N$111:$V$122,9,FALSE)/12</f>
        <v>187263.3914103462</v>
      </c>
      <c r="X112" s="2">
        <f t="shared" si="41"/>
        <v>23404918.120717846</v>
      </c>
      <c r="Y112" s="2">
        <v>38780.616598000001</v>
      </c>
      <c r="Z112" s="2">
        <v>4</v>
      </c>
      <c r="AA112" s="2">
        <v>291554.69835908263</v>
      </c>
      <c r="AB112" s="2">
        <v>781.79636600000003</v>
      </c>
      <c r="AC112" s="2">
        <v>10159</v>
      </c>
      <c r="AD112" s="2">
        <v>37192.560000000005</v>
      </c>
      <c r="AE112" s="2">
        <v>99.979987000000023</v>
      </c>
      <c r="AF112" s="2">
        <v>367</v>
      </c>
      <c r="AG112" s="2">
        <v>186083.58653999967</v>
      </c>
      <c r="AH112" s="2">
        <v>250</v>
      </c>
      <c r="AI112">
        <f>Weather!C268</f>
        <v>492.5</v>
      </c>
      <c r="AJ112">
        <f>Weather!D268</f>
        <v>0</v>
      </c>
      <c r="AK112">
        <f>Weather!E268</f>
        <v>430.5</v>
      </c>
      <c r="AL112">
        <f>Weather!F268</f>
        <v>0</v>
      </c>
      <c r="AM112">
        <f>Weather!G268</f>
        <v>368.7</v>
      </c>
      <c r="AN112">
        <f>Weather!H268</f>
        <v>0.19999999999999929</v>
      </c>
      <c r="AO112">
        <f>Weather!I268</f>
        <v>308.70000000000005</v>
      </c>
      <c r="AP112">
        <f>Weather!J268</f>
        <v>2.1999999999999993</v>
      </c>
      <c r="AQ112">
        <f>Weather!K268</f>
        <v>250.30000000000004</v>
      </c>
      <c r="AR112">
        <f>Weather!L268</f>
        <v>5.7999999999999989</v>
      </c>
      <c r="AS112">
        <f>Weather!M268</f>
        <v>198.4</v>
      </c>
      <c r="AT112">
        <f>Weather!N268</f>
        <v>15.899999999999997</v>
      </c>
      <c r="AU112">
        <f>Weather!O268</f>
        <v>150.4</v>
      </c>
      <c r="AV112">
        <f>Weather!P268</f>
        <v>29.9</v>
      </c>
      <c r="AW112" s="7">
        <f>Weather!Q268</f>
        <v>4.112903225806452</v>
      </c>
      <c r="AX112" s="5">
        <f>'Economic Variables'!D222</f>
        <v>7223</v>
      </c>
      <c r="AY112" s="5">
        <f>'Economic Variables'!E222</f>
        <v>7129.5</v>
      </c>
      <c r="AZ112" s="5">
        <f>'Economic Variables'!F222</f>
        <v>273.8</v>
      </c>
      <c r="BA112" s="5">
        <f>'Economic Variables'!G222</f>
        <v>271.60000000000002</v>
      </c>
      <c r="BB112" s="79">
        <f>'Economic Variables'!H222</f>
        <v>752340.8</v>
      </c>
      <c r="BC112" s="5">
        <f>'Economic Variables'!I222</f>
        <v>9469.7000000000007</v>
      </c>
      <c r="BD112" s="5">
        <f>'Economic Variables'!J222</f>
        <v>8822.4</v>
      </c>
      <c r="BE112" s="5">
        <f>'Economic Variables'!K222</f>
        <v>443.3</v>
      </c>
      <c r="BF112" s="5">
        <f>'Economic Variables'!L222</f>
        <v>6279.5</v>
      </c>
      <c r="BG112" s="5">
        <f>'Economic Variables'!M222</f>
        <v>257.5</v>
      </c>
      <c r="BH112" s="5">
        <f>'Economic Variables'!N222</f>
        <v>1095.0999999999999</v>
      </c>
      <c r="BI112" s="5">
        <f>BC112+BF112</f>
        <v>15749.2</v>
      </c>
      <c r="BJ112" s="5">
        <f>'Economic Variables'!P222</f>
        <v>748506</v>
      </c>
      <c r="BK112" s="5">
        <f>'Economic Variables'!Q222</f>
        <v>9310</v>
      </c>
      <c r="BL112" s="5">
        <f>'Economic Variables'!R222</f>
        <v>6620</v>
      </c>
      <c r="BM112" s="5">
        <f>'Economic Variables'!S222</f>
        <v>3174</v>
      </c>
      <c r="BN112" s="5">
        <f t="shared" si="90"/>
        <v>111</v>
      </c>
      <c r="BO112" s="80">
        <f t="shared" si="79"/>
        <v>2.0453229787866576</v>
      </c>
      <c r="BP112" s="5">
        <f t="shared" si="80"/>
        <v>12321</v>
      </c>
      <c r="BQ112">
        <f t="shared" ref="BQ112:CE112" si="95">BQ100</f>
        <v>0</v>
      </c>
      <c r="BR112">
        <f t="shared" si="95"/>
        <v>0</v>
      </c>
      <c r="BS112">
        <f t="shared" si="95"/>
        <v>1</v>
      </c>
      <c r="BT112">
        <f t="shared" si="95"/>
        <v>0</v>
      </c>
      <c r="BU112">
        <f t="shared" si="95"/>
        <v>0</v>
      </c>
      <c r="BV112">
        <f t="shared" si="95"/>
        <v>0</v>
      </c>
      <c r="BW112">
        <f t="shared" si="95"/>
        <v>0</v>
      </c>
      <c r="BX112">
        <f t="shared" si="95"/>
        <v>0</v>
      </c>
      <c r="BY112">
        <f t="shared" si="95"/>
        <v>0</v>
      </c>
      <c r="BZ112">
        <f t="shared" si="95"/>
        <v>0</v>
      </c>
      <c r="CA112">
        <f t="shared" si="95"/>
        <v>0</v>
      </c>
      <c r="CB112">
        <f t="shared" si="95"/>
        <v>0</v>
      </c>
      <c r="CC112">
        <f t="shared" si="95"/>
        <v>1</v>
      </c>
      <c r="CD112">
        <f t="shared" si="95"/>
        <v>0</v>
      </c>
      <c r="CE112">
        <f t="shared" si="95"/>
        <v>1</v>
      </c>
      <c r="CF112">
        <f t="shared" si="53"/>
        <v>31</v>
      </c>
      <c r="CG112">
        <v>23</v>
      </c>
      <c r="CH112">
        <v>1</v>
      </c>
      <c r="CI112">
        <v>0.5</v>
      </c>
      <c r="CJ112">
        <v>0</v>
      </c>
      <c r="CK112">
        <v>492.5</v>
      </c>
      <c r="CL112">
        <v>0</v>
      </c>
      <c r="CM112">
        <v>430.5</v>
      </c>
      <c r="CN112">
        <v>0</v>
      </c>
      <c r="CO112">
        <v>368.7</v>
      </c>
      <c r="CP112">
        <v>0.19999999999999929</v>
      </c>
      <c r="CQ112">
        <v>308.70000000000005</v>
      </c>
      <c r="CR112">
        <v>2.1999999999999993</v>
      </c>
      <c r="CS112">
        <v>250.30000000000004</v>
      </c>
      <c r="CT112">
        <v>5.7999999999999989</v>
      </c>
      <c r="CU112">
        <v>198.4</v>
      </c>
      <c r="CV112">
        <v>15.899999999999997</v>
      </c>
      <c r="CW112">
        <v>150.4</v>
      </c>
      <c r="CX112">
        <v>29.9</v>
      </c>
      <c r="CY112" s="80">
        <f t="shared" si="82"/>
        <v>20.721472916330033</v>
      </c>
      <c r="CZ112" s="78">
        <f t="shared" si="83"/>
        <v>78.892522394355041</v>
      </c>
      <c r="DA112" s="5">
        <f t="shared" si="84"/>
        <v>2201.2754677359048</v>
      </c>
      <c r="DB112" s="5">
        <f t="shared" si="85"/>
        <v>59020.907293811317</v>
      </c>
      <c r="DC112" s="5">
        <f t="shared" si="86"/>
        <v>254401.28392084615</v>
      </c>
      <c r="DD112">
        <f t="shared" si="87"/>
        <v>1633.2043792879294</v>
      </c>
      <c r="DE112">
        <f t="shared" si="88"/>
        <v>43789.705411537427</v>
      </c>
      <c r="DF112">
        <f t="shared" si="89"/>
        <v>188749.33968320844</v>
      </c>
      <c r="DG112" s="19">
        <v>33081</v>
      </c>
      <c r="DH112" s="19">
        <v>3495</v>
      </c>
      <c r="DI112" s="19">
        <v>369</v>
      </c>
      <c r="DJ112" s="19">
        <v>9</v>
      </c>
      <c r="DK112" s="19">
        <v>4</v>
      </c>
    </row>
    <row r="113" spans="1:136">
      <c r="A113" s="3">
        <v>44287</v>
      </c>
      <c r="B113">
        <f t="shared" si="77"/>
        <v>2021</v>
      </c>
      <c r="C113" s="2">
        <v>73198214.518859997</v>
      </c>
      <c r="D113" s="2">
        <v>18045155.179969911</v>
      </c>
      <c r="E113" s="2">
        <v>1282263.2962896423</v>
      </c>
      <c r="F113" s="2">
        <v>19327418.476259552</v>
      </c>
      <c r="G113" s="2">
        <v>33089</v>
      </c>
      <c r="H113" s="2">
        <v>6990434.5317410072</v>
      </c>
      <c r="I113" s="2">
        <v>447171.24876639713</v>
      </c>
      <c r="J113" s="2">
        <v>7437605.7805074044</v>
      </c>
      <c r="K113" s="2">
        <v>3508</v>
      </c>
      <c r="L113" s="2">
        <v>13839202.6447</v>
      </c>
      <c r="M113" s="2">
        <f>VLOOKUP('Monthly Data'!B113,'Historic CDM'!$B$111:$J$122,4,FALSE)/12+VLOOKUP('Monthly Data'!B113,'Historic CDM'!$N$111:$V$122,4,FALSE)/12</f>
        <v>2851432.0617325441</v>
      </c>
      <c r="N113" s="2">
        <f t="shared" si="73"/>
        <v>16690634.706432544</v>
      </c>
      <c r="O113" s="2">
        <v>42031.407342999999</v>
      </c>
      <c r="P113" s="2">
        <v>371</v>
      </c>
      <c r="Q113" s="2">
        <v>10335180.682800001</v>
      </c>
      <c r="R113" s="2">
        <f>VLOOKUP('Monthly Data'!B113,'Historic CDM'!$B$111:$J$122,5,FALSE)/12+VLOOKUP('Monthly Data'!B113,'Historic CDM'!$N$111:$V$122,5,FALSE)/12</f>
        <v>414313.62206128327</v>
      </c>
      <c r="S113" s="2">
        <f t="shared" si="44"/>
        <v>10749494.304861283</v>
      </c>
      <c r="T113" s="2">
        <v>19416.153829962419</v>
      </c>
      <c r="U113" s="2">
        <v>8</v>
      </c>
      <c r="V113" s="2">
        <v>21492191.785432503</v>
      </c>
      <c r="W113" s="2">
        <f>VLOOKUP('Monthly Data'!B113,'Historic CDM'!$B$111:$J$122,9,FALSE)/12+VLOOKUP('Monthly Data'!B113,'Historic CDM'!$N$111:$V$122,9,FALSE)/12</f>
        <v>187263.3914103462</v>
      </c>
      <c r="X113" s="2">
        <f t="shared" si="41"/>
        <v>21679455.17684285</v>
      </c>
      <c r="Y113" s="2">
        <v>38556.619199000001</v>
      </c>
      <c r="Z113" s="2">
        <v>4</v>
      </c>
      <c r="AA113" s="2">
        <v>246819.20813741483</v>
      </c>
      <c r="AB113" s="2">
        <v>781.31656399999997</v>
      </c>
      <c r="AC113" s="2">
        <v>10159</v>
      </c>
      <c r="AD113" s="2">
        <v>35575.199999999975</v>
      </c>
      <c r="AE113" s="2">
        <v>98.819987000000026</v>
      </c>
      <c r="AF113" s="2">
        <v>367</v>
      </c>
      <c r="AG113" s="2">
        <v>180664.11977999963</v>
      </c>
      <c r="AH113" s="2">
        <v>250</v>
      </c>
      <c r="AI113">
        <f>Weather!C269</f>
        <v>338.09999999999991</v>
      </c>
      <c r="AJ113">
        <f>Weather!D269</f>
        <v>0</v>
      </c>
      <c r="AK113">
        <f>Weather!E269</f>
        <v>279.7</v>
      </c>
      <c r="AL113">
        <f>Weather!F269</f>
        <v>1.6000000000000014</v>
      </c>
      <c r="AM113">
        <f>Weather!G269</f>
        <v>223.69999999999996</v>
      </c>
      <c r="AN113">
        <f>Weather!H269</f>
        <v>5.6000000000000014</v>
      </c>
      <c r="AO113">
        <f>Weather!I269</f>
        <v>174.19999999999996</v>
      </c>
      <c r="AP113">
        <f>Weather!J269</f>
        <v>16.100000000000001</v>
      </c>
      <c r="AQ113">
        <f>Weather!K269</f>
        <v>130.5</v>
      </c>
      <c r="AR113">
        <f>Weather!L269</f>
        <v>32.400000000000006</v>
      </c>
      <c r="AS113">
        <f>Weather!M269</f>
        <v>91.300000000000011</v>
      </c>
      <c r="AT113">
        <f>Weather!N269</f>
        <v>53.2</v>
      </c>
      <c r="AU113">
        <f>Weather!O269</f>
        <v>56.400000000000006</v>
      </c>
      <c r="AV113">
        <f>Weather!P269</f>
        <v>78.3</v>
      </c>
      <c r="AW113" s="7">
        <f>Weather!Q269</f>
        <v>8.73</v>
      </c>
      <c r="AX113" s="5">
        <f>'Economic Variables'!D223</f>
        <v>7274</v>
      </c>
      <c r="AY113" s="5">
        <f>'Economic Variables'!E223</f>
        <v>7197</v>
      </c>
      <c r="AZ113" s="5">
        <f>'Economic Variables'!F223</f>
        <v>277.5</v>
      </c>
      <c r="BA113" s="5">
        <f>'Economic Variables'!G223</f>
        <v>275.60000000000002</v>
      </c>
      <c r="BB113" s="79">
        <f>'Economic Variables'!H223</f>
        <v>752340.8</v>
      </c>
      <c r="BC113" s="5">
        <f>'Economic Variables'!I223</f>
        <v>9469.7000000000007</v>
      </c>
      <c r="BD113" s="5">
        <f>'Economic Variables'!J223</f>
        <v>8822.4</v>
      </c>
      <c r="BE113" s="5">
        <f>'Economic Variables'!K223</f>
        <v>443.3</v>
      </c>
      <c r="BF113" s="5">
        <f>'Economic Variables'!L223</f>
        <v>6279.5</v>
      </c>
      <c r="BG113" s="5">
        <f>'Economic Variables'!M223</f>
        <v>257.5</v>
      </c>
      <c r="BH113" s="5">
        <f>'Economic Variables'!N223</f>
        <v>1095.0999999999999</v>
      </c>
      <c r="BI113" s="5">
        <f t="shared" si="78"/>
        <v>15749.2</v>
      </c>
      <c r="BJ113" s="5">
        <f>'Economic Variables'!P223</f>
        <v>739507</v>
      </c>
      <c r="BK113" s="5">
        <f>'Economic Variables'!Q223</f>
        <v>9505</v>
      </c>
      <c r="BL113" s="5">
        <f>'Economic Variables'!R223</f>
        <v>6372</v>
      </c>
      <c r="BM113" s="5">
        <f>'Economic Variables'!S223</f>
        <v>3125</v>
      </c>
      <c r="BN113" s="5">
        <f t="shared" si="90"/>
        <v>112</v>
      </c>
      <c r="BO113" s="80">
        <f t="shared" si="79"/>
        <v>2.0492180226701815</v>
      </c>
      <c r="BP113" s="5">
        <f t="shared" si="80"/>
        <v>12544</v>
      </c>
      <c r="BQ113">
        <f t="shared" ref="BQ113:CE113" si="96">BQ101</f>
        <v>0</v>
      </c>
      <c r="BR113">
        <f t="shared" si="96"/>
        <v>0</v>
      </c>
      <c r="BS113">
        <f t="shared" si="96"/>
        <v>0</v>
      </c>
      <c r="BT113">
        <f t="shared" si="96"/>
        <v>1</v>
      </c>
      <c r="BU113">
        <f t="shared" si="96"/>
        <v>0</v>
      </c>
      <c r="BV113">
        <f t="shared" si="96"/>
        <v>0</v>
      </c>
      <c r="BW113">
        <f t="shared" si="96"/>
        <v>0</v>
      </c>
      <c r="BX113">
        <f t="shared" si="96"/>
        <v>0</v>
      </c>
      <c r="BY113">
        <f t="shared" si="96"/>
        <v>0</v>
      </c>
      <c r="BZ113">
        <f t="shared" si="96"/>
        <v>0</v>
      </c>
      <c r="CA113">
        <f t="shared" si="96"/>
        <v>0</v>
      </c>
      <c r="CB113">
        <f t="shared" si="96"/>
        <v>0</v>
      </c>
      <c r="CC113">
        <f t="shared" si="96"/>
        <v>1</v>
      </c>
      <c r="CD113">
        <f t="shared" si="96"/>
        <v>0</v>
      </c>
      <c r="CE113">
        <f t="shared" si="96"/>
        <v>1</v>
      </c>
      <c r="CF113">
        <f t="shared" si="53"/>
        <v>30</v>
      </c>
      <c r="CG113">
        <v>21</v>
      </c>
      <c r="CH113">
        <v>1</v>
      </c>
      <c r="CI113">
        <v>0.5</v>
      </c>
      <c r="CJ113">
        <v>0</v>
      </c>
      <c r="CK113">
        <v>338.09999999999991</v>
      </c>
      <c r="CL113">
        <v>0</v>
      </c>
      <c r="CM113">
        <v>279.7</v>
      </c>
      <c r="CN113">
        <v>1.6000000000000014</v>
      </c>
      <c r="CO113">
        <v>223.69999999999996</v>
      </c>
      <c r="CP113">
        <v>5.6000000000000014</v>
      </c>
      <c r="CQ113">
        <v>174.19999999999996</v>
      </c>
      <c r="CR113">
        <v>16.100000000000001</v>
      </c>
      <c r="CS113">
        <v>130.5</v>
      </c>
      <c r="CT113">
        <v>32.400000000000006</v>
      </c>
      <c r="CU113">
        <v>91.300000000000011</v>
      </c>
      <c r="CV113">
        <v>53.2</v>
      </c>
      <c r="CW113">
        <v>56.400000000000006</v>
      </c>
      <c r="CX113">
        <v>78.3</v>
      </c>
      <c r="CY113" s="80">
        <f t="shared" si="82"/>
        <v>19.470134562603434</v>
      </c>
      <c r="CZ113" s="78">
        <f t="shared" si="83"/>
        <v>70.67280293146527</v>
      </c>
      <c r="DA113" s="5">
        <f t="shared" si="84"/>
        <v>2142.2968433362266</v>
      </c>
      <c r="DB113" s="5">
        <f t="shared" si="85"/>
        <v>63985.085147983824</v>
      </c>
      <c r="DC113" s="5">
        <f t="shared" si="86"/>
        <v>258088.75210527203</v>
      </c>
      <c r="DD113">
        <f t="shared" si="87"/>
        <v>1499.6077903353589</v>
      </c>
      <c r="DE113">
        <f t="shared" si="88"/>
        <v>44789.559603588677</v>
      </c>
      <c r="DF113">
        <f t="shared" si="89"/>
        <v>180662.12647369041</v>
      </c>
      <c r="DG113" s="19">
        <v>33089</v>
      </c>
      <c r="DH113" s="19">
        <v>3508</v>
      </c>
      <c r="DI113" s="19">
        <v>370</v>
      </c>
      <c r="DJ113" s="19">
        <v>9</v>
      </c>
      <c r="DK113" s="19">
        <v>4</v>
      </c>
    </row>
    <row r="114" spans="1:136">
      <c r="A114" s="3">
        <v>44317</v>
      </c>
      <c r="B114">
        <f t="shared" si="77"/>
        <v>2021</v>
      </c>
      <c r="C114" s="2">
        <v>77885353.357619941</v>
      </c>
      <c r="D114" s="2">
        <v>20448885.997360881</v>
      </c>
      <c r="E114" s="2">
        <v>1282263.2962896423</v>
      </c>
      <c r="F114" s="2">
        <v>21731149.293650523</v>
      </c>
      <c r="G114" s="2">
        <v>33091</v>
      </c>
      <c r="H114" s="2">
        <v>7177001.1833710028</v>
      </c>
      <c r="I114" s="2">
        <v>447171.24876639713</v>
      </c>
      <c r="J114" s="2">
        <v>7624172.4321373999</v>
      </c>
      <c r="K114" s="2">
        <v>3442</v>
      </c>
      <c r="L114" s="2">
        <v>14398034.003000004</v>
      </c>
      <c r="M114" s="2">
        <f>VLOOKUP('Monthly Data'!B114,'Historic CDM'!$B$111:$J$122,4,FALSE)/12+VLOOKUP('Monthly Data'!B114,'Historic CDM'!$N$111:$V$122,4,FALSE)/12</f>
        <v>2851432.0617325441</v>
      </c>
      <c r="N114" s="2">
        <f t="shared" si="73"/>
        <v>17249466.064732548</v>
      </c>
      <c r="O114" s="2">
        <v>42917.121915536227</v>
      </c>
      <c r="P114" s="2">
        <v>370</v>
      </c>
      <c r="Q114" s="2">
        <v>10792060.0052</v>
      </c>
      <c r="R114" s="2">
        <f>VLOOKUP('Monthly Data'!B114,'Historic CDM'!$B$111:$J$122,5,FALSE)/12+VLOOKUP('Monthly Data'!B114,'Historic CDM'!$N$111:$V$122,5,FALSE)/12</f>
        <v>414313.62206128327</v>
      </c>
      <c r="S114" s="2">
        <f t="shared" si="44"/>
        <v>11206373.627261283</v>
      </c>
      <c r="T114" s="2">
        <v>20374.616529281528</v>
      </c>
      <c r="U114" s="2">
        <v>8</v>
      </c>
      <c r="V114" s="2">
        <v>22421424.31947</v>
      </c>
      <c r="W114" s="2">
        <f>VLOOKUP('Monthly Data'!B114,'Historic CDM'!$B$111:$J$122,9,FALSE)/12+VLOOKUP('Monthly Data'!B114,'Historic CDM'!$N$111:$V$122,9,FALSE)/12</f>
        <v>187263.3914103462</v>
      </c>
      <c r="X114" s="2">
        <f t="shared" si="41"/>
        <v>22608687.710880347</v>
      </c>
      <c r="Y114" s="2">
        <v>39511.068297999998</v>
      </c>
      <c r="Z114" s="2">
        <v>4</v>
      </c>
      <c r="AA114" s="2">
        <v>224962.43849918325</v>
      </c>
      <c r="AB114" s="2">
        <v>781.14383599999996</v>
      </c>
      <c r="AC114" s="2">
        <v>10159</v>
      </c>
      <c r="AD114" s="2">
        <v>36761.039999999994</v>
      </c>
      <c r="AE114" s="2">
        <v>98.819990000000018</v>
      </c>
      <c r="AF114" s="2">
        <v>367</v>
      </c>
      <c r="AG114" s="2">
        <v>186686.25710599966</v>
      </c>
      <c r="AH114" s="2">
        <v>250</v>
      </c>
      <c r="AI114">
        <f>Weather!C270</f>
        <v>232.9</v>
      </c>
      <c r="AJ114">
        <f>Weather!D270</f>
        <v>14.100000000000001</v>
      </c>
      <c r="AK114">
        <f>Weather!E270</f>
        <v>180.70000000000002</v>
      </c>
      <c r="AL114">
        <f>Weather!F270</f>
        <v>23.900000000000002</v>
      </c>
      <c r="AM114">
        <f>Weather!G270</f>
        <v>135.4</v>
      </c>
      <c r="AN114">
        <f>Weather!H270</f>
        <v>40.6</v>
      </c>
      <c r="AO114">
        <f>Weather!I270</f>
        <v>97</v>
      </c>
      <c r="AP114">
        <f>Weather!J270</f>
        <v>64.2</v>
      </c>
      <c r="AQ114">
        <f>Weather!K270</f>
        <v>64.999999999999986</v>
      </c>
      <c r="AR114">
        <f>Weather!L270</f>
        <v>94.2</v>
      </c>
      <c r="AS114">
        <f>Weather!M270</f>
        <v>37.4</v>
      </c>
      <c r="AT114">
        <f>Weather!N270</f>
        <v>128.6</v>
      </c>
      <c r="AU114">
        <f>Weather!O270</f>
        <v>16.100000000000001</v>
      </c>
      <c r="AV114">
        <f>Weather!P270</f>
        <v>169.29999999999998</v>
      </c>
      <c r="AW114" s="7">
        <f>Weather!Q270</f>
        <v>12.941935483870967</v>
      </c>
      <c r="AX114" s="5">
        <f>'Economic Variables'!D224</f>
        <v>7269.7</v>
      </c>
      <c r="AY114" s="5">
        <f>'Economic Variables'!E224</f>
        <v>7237.7</v>
      </c>
      <c r="AZ114" s="5">
        <f>'Economic Variables'!F224</f>
        <v>278.7</v>
      </c>
      <c r="BA114" s="5">
        <f>'Economic Variables'!G224</f>
        <v>277.10000000000002</v>
      </c>
      <c r="BB114" s="79">
        <f>'Economic Variables'!H224</f>
        <v>752340.8</v>
      </c>
      <c r="BC114" s="5">
        <f>'Economic Variables'!I224</f>
        <v>9469.7000000000007</v>
      </c>
      <c r="BD114" s="5">
        <f>'Economic Variables'!J224</f>
        <v>8822.4</v>
      </c>
      <c r="BE114" s="5">
        <f>'Economic Variables'!K224</f>
        <v>443.3</v>
      </c>
      <c r="BF114" s="5">
        <f>'Economic Variables'!L224</f>
        <v>6279.5</v>
      </c>
      <c r="BG114" s="5">
        <f>'Economic Variables'!M224</f>
        <v>257.5</v>
      </c>
      <c r="BH114" s="5">
        <f>'Economic Variables'!N224</f>
        <v>1095.0999999999999</v>
      </c>
      <c r="BI114" s="5">
        <f t="shared" si="78"/>
        <v>15749.2</v>
      </c>
      <c r="BJ114" s="5">
        <f>'Economic Variables'!P224</f>
        <v>739507</v>
      </c>
      <c r="BK114" s="5">
        <f>'Economic Variables'!Q224</f>
        <v>9505</v>
      </c>
      <c r="BL114" s="5">
        <f>'Economic Variables'!R224</f>
        <v>6372</v>
      </c>
      <c r="BM114" s="5">
        <f>'Economic Variables'!S224</f>
        <v>3125</v>
      </c>
      <c r="BN114" s="5">
        <f t="shared" si="90"/>
        <v>113</v>
      </c>
      <c r="BO114" s="80">
        <f t="shared" si="79"/>
        <v>2.0530784434834195</v>
      </c>
      <c r="BP114" s="5">
        <f t="shared" si="80"/>
        <v>12769</v>
      </c>
      <c r="BQ114">
        <f t="shared" ref="BQ114:CE114" si="97">BQ102</f>
        <v>0</v>
      </c>
      <c r="BR114">
        <f t="shared" si="97"/>
        <v>0</v>
      </c>
      <c r="BS114">
        <f t="shared" si="97"/>
        <v>0</v>
      </c>
      <c r="BT114">
        <f t="shared" si="97"/>
        <v>0</v>
      </c>
      <c r="BU114">
        <f t="shared" si="97"/>
        <v>1</v>
      </c>
      <c r="BV114">
        <f t="shared" si="97"/>
        <v>0</v>
      </c>
      <c r="BW114">
        <f t="shared" si="97"/>
        <v>0</v>
      </c>
      <c r="BX114">
        <f t="shared" si="97"/>
        <v>0</v>
      </c>
      <c r="BY114">
        <f t="shared" si="97"/>
        <v>0</v>
      </c>
      <c r="BZ114">
        <f t="shared" si="97"/>
        <v>0</v>
      </c>
      <c r="CA114">
        <f t="shared" si="97"/>
        <v>0</v>
      </c>
      <c r="CB114">
        <f t="shared" si="97"/>
        <v>0</v>
      </c>
      <c r="CC114">
        <f t="shared" si="97"/>
        <v>1</v>
      </c>
      <c r="CD114">
        <f t="shared" si="97"/>
        <v>0</v>
      </c>
      <c r="CE114">
        <f t="shared" si="97"/>
        <v>1</v>
      </c>
      <c r="CF114">
        <f t="shared" si="53"/>
        <v>31</v>
      </c>
      <c r="CG114">
        <v>20</v>
      </c>
      <c r="CH114">
        <v>1</v>
      </c>
      <c r="CI114">
        <v>0.5</v>
      </c>
      <c r="CJ114">
        <v>0</v>
      </c>
      <c r="CK114">
        <v>232.9</v>
      </c>
      <c r="CL114">
        <v>14.100000000000001</v>
      </c>
      <c r="CM114">
        <v>180.70000000000002</v>
      </c>
      <c r="CN114">
        <v>23.900000000000002</v>
      </c>
      <c r="CO114">
        <v>135.4</v>
      </c>
      <c r="CP114">
        <v>40.6</v>
      </c>
      <c r="CQ114">
        <v>97</v>
      </c>
      <c r="CR114">
        <v>64.2</v>
      </c>
      <c r="CS114">
        <v>64.999999999999986</v>
      </c>
      <c r="CT114">
        <v>94.2</v>
      </c>
      <c r="CU114">
        <v>37.4</v>
      </c>
      <c r="CV114">
        <v>128.6</v>
      </c>
      <c r="CW114">
        <v>16.100000000000001</v>
      </c>
      <c r="CX114">
        <v>169.29999999999998</v>
      </c>
      <c r="CY114" s="80">
        <f t="shared" si="82"/>
        <v>21.184153272013852</v>
      </c>
      <c r="CZ114" s="78">
        <f t="shared" si="83"/>
        <v>71.45294776234185</v>
      </c>
      <c r="DA114" s="5">
        <f t="shared" si="84"/>
        <v>2331.0089276665603</v>
      </c>
      <c r="DB114" s="5">
        <f t="shared" si="85"/>
        <v>70039.835170383012</v>
      </c>
      <c r="DC114" s="5">
        <f t="shared" si="86"/>
        <v>282608.59638600436</v>
      </c>
      <c r="DD114">
        <f t="shared" si="87"/>
        <v>1503.8767275268133</v>
      </c>
      <c r="DE114">
        <f t="shared" si="88"/>
        <v>45186.990432505176</v>
      </c>
      <c r="DF114">
        <f t="shared" si="89"/>
        <v>182328.12670064796</v>
      </c>
      <c r="DG114" s="19">
        <v>33091</v>
      </c>
      <c r="DH114" s="19">
        <v>3442</v>
      </c>
      <c r="DI114" s="19">
        <v>369</v>
      </c>
      <c r="DJ114" s="19">
        <v>9</v>
      </c>
      <c r="DK114" s="19">
        <v>4</v>
      </c>
    </row>
    <row r="115" spans="1:136">
      <c r="A115" s="3">
        <v>44348</v>
      </c>
      <c r="B115">
        <f t="shared" si="77"/>
        <v>2021</v>
      </c>
      <c r="C115" s="2">
        <v>87785503.808669969</v>
      </c>
      <c r="D115" s="2">
        <v>27495166.049962826</v>
      </c>
      <c r="E115" s="2">
        <v>1282263.2962896423</v>
      </c>
      <c r="F115" s="2">
        <v>28777429.346252467</v>
      </c>
      <c r="G115" s="2">
        <v>33105</v>
      </c>
      <c r="H115" s="2">
        <v>8492134.1508439984</v>
      </c>
      <c r="I115" s="2">
        <v>447171.24876639713</v>
      </c>
      <c r="J115" s="2">
        <v>8939305.3996103965</v>
      </c>
      <c r="K115" s="2">
        <v>3435</v>
      </c>
      <c r="L115" s="2">
        <v>16029184.885199999</v>
      </c>
      <c r="M115" s="2">
        <f>VLOOKUP('Monthly Data'!B115,'Historic CDM'!$B$111:$J$122,4,FALSE)/12+VLOOKUP('Monthly Data'!B115,'Historic CDM'!$N$111:$V$122,4,FALSE)/12</f>
        <v>2851432.0617325441</v>
      </c>
      <c r="N115" s="2">
        <f t="shared" si="73"/>
        <v>18880616.946932543</v>
      </c>
      <c r="O115" s="2">
        <v>47565.897839548896</v>
      </c>
      <c r="P115" s="2">
        <v>374</v>
      </c>
      <c r="Q115" s="2">
        <v>10919521.531199999</v>
      </c>
      <c r="R115" s="2">
        <f>VLOOKUP('Monthly Data'!B115,'Historic CDM'!$B$111:$J$122,5,FALSE)/12+VLOOKUP('Monthly Data'!B115,'Historic CDM'!$N$111:$V$122,5,FALSE)/12</f>
        <v>414313.62206128327</v>
      </c>
      <c r="S115" s="2">
        <f t="shared" si="44"/>
        <v>11333835.153261282</v>
      </c>
      <c r="T115" s="2">
        <v>20157.199027566865</v>
      </c>
      <c r="U115" s="2">
        <v>8</v>
      </c>
      <c r="V115" s="2">
        <v>21755778.248160001</v>
      </c>
      <c r="W115" s="2">
        <f>VLOOKUP('Monthly Data'!B115,'Historic CDM'!$B$111:$J$122,9,FALSE)/12+VLOOKUP('Monthly Data'!B115,'Historic CDM'!$N$111:$V$122,9,FALSE)/12</f>
        <v>187263.3914103462</v>
      </c>
      <c r="X115" s="2">
        <f t="shared" si="41"/>
        <v>21943041.639570348</v>
      </c>
      <c r="Y115" s="2">
        <v>39771.550169999995</v>
      </c>
      <c r="Z115" s="2">
        <v>4</v>
      </c>
      <c r="AA115" s="2">
        <v>202402.20362729105</v>
      </c>
      <c r="AB115" s="2">
        <v>780.87514699999997</v>
      </c>
      <c r="AC115" s="2">
        <v>10159</v>
      </c>
      <c r="AD115" s="2">
        <v>35575.199999999975</v>
      </c>
      <c r="AE115" s="2">
        <v>98.819990000000018</v>
      </c>
      <c r="AF115" s="2">
        <v>367</v>
      </c>
      <c r="AG115" s="2">
        <v>179927.35280999966</v>
      </c>
      <c r="AH115" s="2">
        <v>238</v>
      </c>
      <c r="AI115">
        <f>Weather!C271</f>
        <v>31.900000000000006</v>
      </c>
      <c r="AJ115">
        <f>Weather!D271</f>
        <v>61.600000000000009</v>
      </c>
      <c r="AK115">
        <f>Weather!E271</f>
        <v>13.400000000000004</v>
      </c>
      <c r="AL115">
        <f>Weather!F271</f>
        <v>103.10000000000001</v>
      </c>
      <c r="AM115">
        <f>Weather!G271</f>
        <v>3.9000000000000004</v>
      </c>
      <c r="AN115">
        <f>Weather!H271</f>
        <v>153.60000000000002</v>
      </c>
      <c r="AO115">
        <f>Weather!I271</f>
        <v>0</v>
      </c>
      <c r="AP115">
        <f>Weather!J271</f>
        <v>209.70000000000002</v>
      </c>
      <c r="AQ115">
        <f>Weather!K271</f>
        <v>0</v>
      </c>
      <c r="AR115">
        <f>Weather!L271</f>
        <v>269.7</v>
      </c>
      <c r="AS115">
        <f>Weather!M271</f>
        <v>0</v>
      </c>
      <c r="AT115">
        <f>Weather!N271</f>
        <v>329.7</v>
      </c>
      <c r="AU115">
        <f>Weather!O271</f>
        <v>0</v>
      </c>
      <c r="AV115">
        <f>Weather!P271</f>
        <v>389.7</v>
      </c>
      <c r="AW115" s="7">
        <f>Weather!Q271</f>
        <v>20.99</v>
      </c>
      <c r="AX115" s="5">
        <f>'Economic Variables'!D225</f>
        <v>7250.5</v>
      </c>
      <c r="AY115" s="5">
        <f>'Economic Variables'!E225</f>
        <v>7293</v>
      </c>
      <c r="AZ115" s="5">
        <f>'Economic Variables'!F225</f>
        <v>279.2</v>
      </c>
      <c r="BA115" s="5">
        <f>'Economic Variables'!G225</f>
        <v>281.2</v>
      </c>
      <c r="BB115" s="79">
        <f>'Economic Variables'!H225</f>
        <v>752340.8</v>
      </c>
      <c r="BC115" s="5">
        <f>'Economic Variables'!I225</f>
        <v>9469.7000000000007</v>
      </c>
      <c r="BD115" s="5">
        <f>'Economic Variables'!J225</f>
        <v>8822.4</v>
      </c>
      <c r="BE115" s="5">
        <f>'Economic Variables'!K225</f>
        <v>443.3</v>
      </c>
      <c r="BF115" s="5">
        <f>'Economic Variables'!L225</f>
        <v>6279.5</v>
      </c>
      <c r="BG115" s="5">
        <f>'Economic Variables'!M225</f>
        <v>257.5</v>
      </c>
      <c r="BH115" s="5">
        <f>'Economic Variables'!N225</f>
        <v>1095.0999999999999</v>
      </c>
      <c r="BI115" s="5">
        <f t="shared" si="78"/>
        <v>15749.2</v>
      </c>
      <c r="BJ115" s="5">
        <f>'Economic Variables'!P225</f>
        <v>739507</v>
      </c>
      <c r="BK115" s="5">
        <f>'Economic Variables'!Q225</f>
        <v>9505</v>
      </c>
      <c r="BL115" s="5">
        <f>'Economic Variables'!R225</f>
        <v>6372</v>
      </c>
      <c r="BM115" s="5">
        <f>'Economic Variables'!S225</f>
        <v>3125</v>
      </c>
      <c r="BN115" s="5">
        <f t="shared" si="90"/>
        <v>114</v>
      </c>
      <c r="BO115" s="80">
        <f t="shared" si="79"/>
        <v>2.0569048513364727</v>
      </c>
      <c r="BP115" s="5">
        <f t="shared" si="80"/>
        <v>12996</v>
      </c>
      <c r="BQ115">
        <f t="shared" ref="BQ115:CE115" si="98">BQ103</f>
        <v>0</v>
      </c>
      <c r="BR115">
        <f t="shared" si="98"/>
        <v>0</v>
      </c>
      <c r="BS115">
        <f t="shared" si="98"/>
        <v>0</v>
      </c>
      <c r="BT115">
        <f t="shared" si="98"/>
        <v>0</v>
      </c>
      <c r="BU115">
        <f t="shared" si="98"/>
        <v>0</v>
      </c>
      <c r="BV115">
        <f t="shared" si="98"/>
        <v>1</v>
      </c>
      <c r="BW115">
        <f t="shared" si="98"/>
        <v>0</v>
      </c>
      <c r="BX115">
        <f t="shared" si="98"/>
        <v>0</v>
      </c>
      <c r="BY115">
        <f t="shared" si="98"/>
        <v>0</v>
      </c>
      <c r="BZ115">
        <f t="shared" si="98"/>
        <v>0</v>
      </c>
      <c r="CA115">
        <f t="shared" si="98"/>
        <v>0</v>
      </c>
      <c r="CB115">
        <f t="shared" si="98"/>
        <v>0</v>
      </c>
      <c r="CC115">
        <f t="shared" si="98"/>
        <v>0</v>
      </c>
      <c r="CD115">
        <f t="shared" si="98"/>
        <v>0</v>
      </c>
      <c r="CE115">
        <f t="shared" si="98"/>
        <v>0</v>
      </c>
      <c r="CF115">
        <f t="shared" si="53"/>
        <v>30</v>
      </c>
      <c r="CG115">
        <v>22</v>
      </c>
      <c r="CH115">
        <v>1</v>
      </c>
      <c r="CI115">
        <v>0.5</v>
      </c>
      <c r="CJ115">
        <v>0</v>
      </c>
      <c r="CK115">
        <v>31.900000000000006</v>
      </c>
      <c r="CL115">
        <v>61.600000000000009</v>
      </c>
      <c r="CM115">
        <v>13.400000000000004</v>
      </c>
      <c r="CN115">
        <v>103.10000000000001</v>
      </c>
      <c r="CO115">
        <v>3.9000000000000004</v>
      </c>
      <c r="CP115">
        <v>153.60000000000002</v>
      </c>
      <c r="CQ115">
        <v>0</v>
      </c>
      <c r="CR115">
        <v>209.70000000000002</v>
      </c>
      <c r="CS115">
        <v>0</v>
      </c>
      <c r="CT115">
        <v>269.7</v>
      </c>
      <c r="CU115">
        <v>0</v>
      </c>
      <c r="CV115">
        <v>329.7</v>
      </c>
      <c r="CW115">
        <v>0</v>
      </c>
      <c r="CX115">
        <v>389.7</v>
      </c>
      <c r="CY115" s="80">
        <f t="shared" si="82"/>
        <v>28.975914359615839</v>
      </c>
      <c r="CZ115" s="78">
        <f t="shared" si="83"/>
        <v>86.74726249015427</v>
      </c>
      <c r="DA115" s="5">
        <f t="shared" si="84"/>
        <v>2294.6787733267552</v>
      </c>
      <c r="DB115" s="5">
        <f t="shared" si="85"/>
        <v>64396.79064353001</v>
      </c>
      <c r="DC115" s="5">
        <f t="shared" si="86"/>
        <v>249352.74590420851</v>
      </c>
      <c r="DD115">
        <f t="shared" si="87"/>
        <v>1682.7644337729541</v>
      </c>
      <c r="DE115">
        <f t="shared" si="88"/>
        <v>47224.313138588674</v>
      </c>
      <c r="DF115">
        <f t="shared" si="89"/>
        <v>182858.68032975291</v>
      </c>
      <c r="DG115" s="19">
        <v>33105</v>
      </c>
      <c r="DH115" s="19">
        <v>3435</v>
      </c>
      <c r="DI115" s="19">
        <v>373</v>
      </c>
      <c r="DJ115" s="19">
        <v>9</v>
      </c>
      <c r="DK115" s="19">
        <v>4</v>
      </c>
    </row>
    <row r="116" spans="1:136">
      <c r="A116" s="3">
        <v>44378</v>
      </c>
      <c r="B116">
        <f t="shared" si="77"/>
        <v>2021</v>
      </c>
      <c r="C116" s="2">
        <v>91052317.880099952</v>
      </c>
      <c r="D116" s="2">
        <v>29045279.815966945</v>
      </c>
      <c r="E116" s="2">
        <v>1282263.2962896423</v>
      </c>
      <c r="F116" s="2">
        <v>30327543.112256587</v>
      </c>
      <c r="G116" s="2">
        <v>33122</v>
      </c>
      <c r="H116" s="2">
        <v>9172177.3782919999</v>
      </c>
      <c r="I116" s="2">
        <v>447171.24876639713</v>
      </c>
      <c r="J116" s="2">
        <v>9619348.627058398</v>
      </c>
      <c r="K116" s="2">
        <v>3435</v>
      </c>
      <c r="L116" s="2">
        <v>17081502.970400002</v>
      </c>
      <c r="M116" s="2">
        <f>VLOOKUP('Monthly Data'!B116,'Historic CDM'!$B$111:$J$122,4,FALSE)/12+VLOOKUP('Monthly Data'!B116,'Historic CDM'!$N$111:$V$122,4,FALSE)/12</f>
        <v>2851432.0617325441</v>
      </c>
      <c r="N116" s="2">
        <f t="shared" si="73"/>
        <v>19932935.032132547</v>
      </c>
      <c r="O116" s="2">
        <v>48397.20484999998</v>
      </c>
      <c r="P116" s="2">
        <v>375</v>
      </c>
      <c r="Q116" s="2">
        <v>10695920.435799997</v>
      </c>
      <c r="R116" s="2">
        <f>VLOOKUP('Monthly Data'!B116,'Historic CDM'!$B$111:$J$122,5,FALSE)/12+VLOOKUP('Monthly Data'!B116,'Historic CDM'!$N$111:$V$122,5,FALSE)/12</f>
        <v>414313.62206128327</v>
      </c>
      <c r="S116" s="2">
        <f t="shared" si="44"/>
        <v>11110234.05786128</v>
      </c>
      <c r="T116" s="2">
        <v>19855.806523456969</v>
      </c>
      <c r="U116" s="2">
        <v>8</v>
      </c>
      <c r="V116" s="2">
        <v>21921024.5369775</v>
      </c>
      <c r="W116" s="2">
        <f>VLOOKUP('Monthly Data'!B116,'Historic CDM'!$B$111:$J$122,9,FALSE)/12+VLOOKUP('Monthly Data'!B116,'Historic CDM'!$N$111:$V$122,9,FALSE)/12</f>
        <v>187263.3914103462</v>
      </c>
      <c r="X116" s="2">
        <f t="shared" si="41"/>
        <v>22108287.928387847</v>
      </c>
      <c r="Y116" s="2">
        <v>38871.904498000004</v>
      </c>
      <c r="Z116" s="2">
        <v>4</v>
      </c>
      <c r="AA116" s="2">
        <v>218561.98085596389</v>
      </c>
      <c r="AB116" s="2">
        <v>780.76959199999999</v>
      </c>
      <c r="AC116" s="2">
        <v>10159</v>
      </c>
      <c r="AD116" s="2">
        <v>36761.039999999994</v>
      </c>
      <c r="AE116" s="2">
        <v>98.819990000000018</v>
      </c>
      <c r="AF116" s="2">
        <v>367</v>
      </c>
      <c r="AG116" s="2">
        <v>185389.86286699979</v>
      </c>
      <c r="AH116" s="2">
        <v>238</v>
      </c>
      <c r="AI116">
        <f>Weather!C272</f>
        <v>25.4</v>
      </c>
      <c r="AJ116">
        <f>Weather!D272</f>
        <v>50.7</v>
      </c>
      <c r="AK116">
        <f>Weather!E272</f>
        <v>7.6999999999999993</v>
      </c>
      <c r="AL116">
        <f>Weather!F272</f>
        <v>95</v>
      </c>
      <c r="AM116">
        <f>Weather!G272</f>
        <v>1.1999999999999993</v>
      </c>
      <c r="AN116">
        <f>Weather!H272</f>
        <v>150.49999999999997</v>
      </c>
      <c r="AO116">
        <f>Weather!I272</f>
        <v>0</v>
      </c>
      <c r="AP116">
        <f>Weather!J272</f>
        <v>211.3</v>
      </c>
      <c r="AQ116">
        <f>Weather!K272</f>
        <v>0</v>
      </c>
      <c r="AR116">
        <f>Weather!L272</f>
        <v>273.30000000000007</v>
      </c>
      <c r="AS116">
        <f>Weather!M272</f>
        <v>0</v>
      </c>
      <c r="AT116">
        <f>Weather!N272</f>
        <v>335.30000000000007</v>
      </c>
      <c r="AU116">
        <f>Weather!O272</f>
        <v>0</v>
      </c>
      <c r="AV116">
        <f>Weather!P272</f>
        <v>397.30000000000007</v>
      </c>
      <c r="AW116" s="7">
        <f>Weather!Q272</f>
        <v>20.816129032258065</v>
      </c>
      <c r="AX116" s="5">
        <f>'Economic Variables'!D226</f>
        <v>7313.3</v>
      </c>
      <c r="AY116" s="5">
        <f>'Economic Variables'!E226</f>
        <v>7391.8</v>
      </c>
      <c r="AZ116" s="5">
        <f>'Economic Variables'!F226</f>
        <v>279.7</v>
      </c>
      <c r="BA116" s="5">
        <f>'Economic Variables'!G226</f>
        <v>283.5</v>
      </c>
      <c r="BB116" s="79">
        <f>'Economic Variables'!H226</f>
        <v>752340.8</v>
      </c>
      <c r="BC116" s="5">
        <f>'Economic Variables'!I226</f>
        <v>9469.7000000000007</v>
      </c>
      <c r="BD116" s="5">
        <f>'Economic Variables'!J226</f>
        <v>8822.4</v>
      </c>
      <c r="BE116" s="5">
        <f>'Economic Variables'!K226</f>
        <v>443.3</v>
      </c>
      <c r="BF116" s="5">
        <f>'Economic Variables'!L226</f>
        <v>6279.5</v>
      </c>
      <c r="BG116" s="5">
        <f>'Economic Variables'!M226</f>
        <v>257.5</v>
      </c>
      <c r="BH116" s="5">
        <f>'Economic Variables'!N226</f>
        <v>1095.0999999999999</v>
      </c>
      <c r="BI116" s="5">
        <f t="shared" si="78"/>
        <v>15749.2</v>
      </c>
      <c r="BJ116" s="5">
        <f>'Economic Variables'!P226</f>
        <v>753546</v>
      </c>
      <c r="BK116" s="5">
        <f>'Economic Variables'!Q226</f>
        <v>8980</v>
      </c>
      <c r="BL116" s="5">
        <f>'Economic Variables'!R226</f>
        <v>6225</v>
      </c>
      <c r="BM116" s="5">
        <f>'Economic Variables'!S226</f>
        <v>3311</v>
      </c>
      <c r="BN116" s="5">
        <f t="shared" si="90"/>
        <v>115</v>
      </c>
      <c r="BO116" s="80">
        <f t="shared" si="79"/>
        <v>2.0606978403536118</v>
      </c>
      <c r="BP116" s="5">
        <f t="shared" si="80"/>
        <v>13225</v>
      </c>
      <c r="BQ116">
        <f t="shared" ref="BQ116:CE116" si="99">BQ104</f>
        <v>0</v>
      </c>
      <c r="BR116">
        <f t="shared" si="99"/>
        <v>0</v>
      </c>
      <c r="BS116">
        <f t="shared" si="99"/>
        <v>0</v>
      </c>
      <c r="BT116">
        <f t="shared" si="99"/>
        <v>0</v>
      </c>
      <c r="BU116">
        <f t="shared" si="99"/>
        <v>0</v>
      </c>
      <c r="BV116">
        <f t="shared" si="99"/>
        <v>0</v>
      </c>
      <c r="BW116">
        <f t="shared" si="99"/>
        <v>1</v>
      </c>
      <c r="BX116">
        <f t="shared" si="99"/>
        <v>0</v>
      </c>
      <c r="BY116">
        <f t="shared" si="99"/>
        <v>0</v>
      </c>
      <c r="BZ116">
        <f t="shared" si="99"/>
        <v>0</v>
      </c>
      <c r="CA116">
        <f t="shared" si="99"/>
        <v>0</v>
      </c>
      <c r="CB116">
        <f t="shared" si="99"/>
        <v>0</v>
      </c>
      <c r="CC116">
        <f t="shared" si="99"/>
        <v>0</v>
      </c>
      <c r="CD116">
        <f t="shared" si="99"/>
        <v>0</v>
      </c>
      <c r="CE116">
        <f t="shared" si="99"/>
        <v>0</v>
      </c>
      <c r="CF116">
        <f t="shared" si="53"/>
        <v>31</v>
      </c>
      <c r="CG116">
        <v>21</v>
      </c>
      <c r="CH116">
        <v>1</v>
      </c>
      <c r="CI116">
        <v>0.5</v>
      </c>
      <c r="CJ116">
        <v>0</v>
      </c>
      <c r="CK116">
        <v>25.4</v>
      </c>
      <c r="CL116">
        <v>50.7</v>
      </c>
      <c r="CM116">
        <v>7.6999999999999993</v>
      </c>
      <c r="CN116">
        <v>95</v>
      </c>
      <c r="CO116">
        <v>1.1999999999999993</v>
      </c>
      <c r="CP116">
        <v>150.49999999999997</v>
      </c>
      <c r="CQ116">
        <v>0</v>
      </c>
      <c r="CR116">
        <v>211.3</v>
      </c>
      <c r="CS116">
        <v>0</v>
      </c>
      <c r="CT116">
        <v>273.30000000000007</v>
      </c>
      <c r="CU116">
        <v>0</v>
      </c>
      <c r="CV116">
        <v>335.30000000000007</v>
      </c>
      <c r="CW116">
        <v>0</v>
      </c>
      <c r="CX116">
        <v>397.30000000000007</v>
      </c>
      <c r="CY116" s="80">
        <f t="shared" si="82"/>
        <v>29.536496658742156</v>
      </c>
      <c r="CZ116" s="78">
        <f t="shared" si="83"/>
        <v>90.335245593824453</v>
      </c>
      <c r="DA116" s="5">
        <f t="shared" si="84"/>
        <v>2531.1663532866728</v>
      </c>
      <c r="DB116" s="5">
        <f t="shared" si="85"/>
        <v>66132.345582507623</v>
      </c>
      <c r="DC116" s="5">
        <f t="shared" si="86"/>
        <v>263193.90390937915</v>
      </c>
      <c r="DD116">
        <f t="shared" si="87"/>
        <v>1714.6610780329074</v>
      </c>
      <c r="DE116">
        <f t="shared" si="88"/>
        <v>44799.330878472902</v>
      </c>
      <c r="DF116">
        <f t="shared" si="89"/>
        <v>178292.64458377296</v>
      </c>
      <c r="DG116" s="19">
        <v>33122</v>
      </c>
      <c r="DH116" s="19">
        <v>3435</v>
      </c>
      <c r="DI116" s="19">
        <v>374</v>
      </c>
      <c r="DJ116" s="19">
        <v>9</v>
      </c>
      <c r="DK116" s="19">
        <v>4</v>
      </c>
    </row>
    <row r="117" spans="1:136">
      <c r="A117" s="3">
        <v>44409</v>
      </c>
      <c r="B117">
        <f t="shared" si="77"/>
        <v>2021</v>
      </c>
      <c r="C117" s="2">
        <v>93074177.387130022</v>
      </c>
      <c r="D117" s="2">
        <v>32851899.029135928</v>
      </c>
      <c r="E117" s="2">
        <v>1282263.2962896423</v>
      </c>
      <c r="F117" s="2">
        <v>34134162.325425573</v>
      </c>
      <c r="G117" s="2">
        <v>33124</v>
      </c>
      <c r="H117" s="2">
        <v>9906107.8899480011</v>
      </c>
      <c r="I117" s="2">
        <v>447171.24876639713</v>
      </c>
      <c r="J117" s="2">
        <v>10353279.138714399</v>
      </c>
      <c r="K117" s="2">
        <v>3437</v>
      </c>
      <c r="L117" s="2">
        <v>18079704.674200002</v>
      </c>
      <c r="M117" s="2">
        <f>VLOOKUP('Monthly Data'!B117,'Historic CDM'!$B$111:$J$122,4,FALSE)/12+VLOOKUP('Monthly Data'!B117,'Historic CDM'!$N$111:$V$122,4,FALSE)/12</f>
        <v>2851432.0617325441</v>
      </c>
      <c r="N117" s="2">
        <f t="shared" si="73"/>
        <v>20931136.735932548</v>
      </c>
      <c r="O117" s="2">
        <v>48910.808278342811</v>
      </c>
      <c r="P117" s="2">
        <v>375</v>
      </c>
      <c r="Q117" s="2">
        <v>10319932.328</v>
      </c>
      <c r="R117" s="2">
        <f>VLOOKUP('Monthly Data'!B117,'Historic CDM'!$B$111:$J$122,5,FALSE)/12+VLOOKUP('Monthly Data'!B117,'Historic CDM'!$N$111:$V$122,5,FALSE)/12</f>
        <v>414313.62206128327</v>
      </c>
      <c r="S117" s="2">
        <f t="shared" si="44"/>
        <v>10734245.950061282</v>
      </c>
      <c r="T117" s="2">
        <v>19600.828532339299</v>
      </c>
      <c r="U117" s="2">
        <v>8</v>
      </c>
      <c r="V117" s="2">
        <v>18567986.768594999</v>
      </c>
      <c r="W117" s="2">
        <f>VLOOKUP('Monthly Data'!B117,'Historic CDM'!$B$111:$J$122,9,FALSE)/12+VLOOKUP('Monthly Data'!B117,'Historic CDM'!$N$111:$V$122,9,FALSE)/12</f>
        <v>187263.3914103462</v>
      </c>
      <c r="X117" s="2">
        <f t="shared" si="41"/>
        <v>18755250.160005346</v>
      </c>
      <c r="Y117" s="2">
        <v>41691.206698000002</v>
      </c>
      <c r="Z117" s="2">
        <v>4</v>
      </c>
      <c r="AA117" s="2">
        <v>245312.72777084704</v>
      </c>
      <c r="AB117" s="2">
        <v>780.40494199999989</v>
      </c>
      <c r="AC117" s="2">
        <v>10159</v>
      </c>
      <c r="AD117" s="2">
        <v>36761.039999999994</v>
      </c>
      <c r="AE117" s="2">
        <v>98.819990000000018</v>
      </c>
      <c r="AF117" s="2">
        <v>367</v>
      </c>
      <c r="AG117" s="2">
        <v>184122.00533699978</v>
      </c>
      <c r="AH117" s="2">
        <v>238</v>
      </c>
      <c r="AI117">
        <f>Weather!C273</f>
        <v>13.299999999999997</v>
      </c>
      <c r="AJ117">
        <f>Weather!D273</f>
        <v>79</v>
      </c>
      <c r="AK117">
        <f>Weather!E273</f>
        <v>3.3000000000000007</v>
      </c>
      <c r="AL117">
        <f>Weather!F273</f>
        <v>131.00000000000003</v>
      </c>
      <c r="AM117">
        <f>Weather!G273</f>
        <v>0</v>
      </c>
      <c r="AN117">
        <f>Weather!H273</f>
        <v>189.7</v>
      </c>
      <c r="AO117">
        <f>Weather!I273</f>
        <v>0</v>
      </c>
      <c r="AP117">
        <f>Weather!J273</f>
        <v>251.70000000000002</v>
      </c>
      <c r="AQ117">
        <f>Weather!K273</f>
        <v>0</v>
      </c>
      <c r="AR117">
        <f>Weather!L273</f>
        <v>313.7</v>
      </c>
      <c r="AS117">
        <f>Weather!M273</f>
        <v>0</v>
      </c>
      <c r="AT117">
        <f>Weather!N273</f>
        <v>375.7</v>
      </c>
      <c r="AU117">
        <f>Weather!O273</f>
        <v>0</v>
      </c>
      <c r="AV117">
        <f>Weather!P273</f>
        <v>437.69999999999993</v>
      </c>
      <c r="AW117" s="7">
        <f>Weather!Q273</f>
        <v>22.119354838709679</v>
      </c>
      <c r="AX117" s="5">
        <f>'Economic Variables'!D227</f>
        <v>7398.8</v>
      </c>
      <c r="AY117" s="5">
        <f>'Economic Variables'!E227</f>
        <v>7475.2</v>
      </c>
      <c r="AZ117" s="5">
        <f>'Economic Variables'!F227</f>
        <v>282.2</v>
      </c>
      <c r="BA117" s="5">
        <f>'Economic Variables'!G227</f>
        <v>286.60000000000002</v>
      </c>
      <c r="BB117" s="79">
        <f>'Economic Variables'!H227</f>
        <v>752340.8</v>
      </c>
      <c r="BC117" s="5">
        <f>'Economic Variables'!I227</f>
        <v>9469.7000000000007</v>
      </c>
      <c r="BD117" s="5">
        <f>'Economic Variables'!J227</f>
        <v>8822.4</v>
      </c>
      <c r="BE117" s="5">
        <f>'Economic Variables'!K227</f>
        <v>443.3</v>
      </c>
      <c r="BF117" s="5">
        <f>'Economic Variables'!L227</f>
        <v>6279.5</v>
      </c>
      <c r="BG117" s="5">
        <f>'Economic Variables'!M227</f>
        <v>257.5</v>
      </c>
      <c r="BH117" s="5">
        <f>'Economic Variables'!N227</f>
        <v>1095.0999999999999</v>
      </c>
      <c r="BI117" s="5">
        <f t="shared" si="78"/>
        <v>15749.2</v>
      </c>
      <c r="BJ117" s="5">
        <f>'Economic Variables'!P227</f>
        <v>753546</v>
      </c>
      <c r="BK117" s="5">
        <f>'Economic Variables'!Q227</f>
        <v>8980</v>
      </c>
      <c r="BL117" s="5">
        <f>'Economic Variables'!R227</f>
        <v>6225</v>
      </c>
      <c r="BM117" s="5">
        <f>'Economic Variables'!S227</f>
        <v>3311</v>
      </c>
      <c r="BN117" s="5">
        <f t="shared" si="90"/>
        <v>116</v>
      </c>
      <c r="BO117" s="80">
        <f t="shared" si="79"/>
        <v>2.0644579892269186</v>
      </c>
      <c r="BP117" s="5">
        <f t="shared" si="80"/>
        <v>13456</v>
      </c>
      <c r="BQ117">
        <f t="shared" ref="BQ117:CE117" si="100">BQ105</f>
        <v>0</v>
      </c>
      <c r="BR117">
        <f t="shared" si="100"/>
        <v>0</v>
      </c>
      <c r="BS117">
        <f t="shared" si="100"/>
        <v>0</v>
      </c>
      <c r="BT117">
        <f t="shared" si="100"/>
        <v>0</v>
      </c>
      <c r="BU117">
        <f t="shared" si="100"/>
        <v>0</v>
      </c>
      <c r="BV117">
        <f t="shared" si="100"/>
        <v>0</v>
      </c>
      <c r="BW117">
        <f t="shared" si="100"/>
        <v>0</v>
      </c>
      <c r="BX117">
        <f t="shared" si="100"/>
        <v>1</v>
      </c>
      <c r="BY117">
        <f t="shared" si="100"/>
        <v>0</v>
      </c>
      <c r="BZ117">
        <f t="shared" si="100"/>
        <v>0</v>
      </c>
      <c r="CA117">
        <f t="shared" si="100"/>
        <v>0</v>
      </c>
      <c r="CB117">
        <f t="shared" si="100"/>
        <v>0</v>
      </c>
      <c r="CC117">
        <f t="shared" si="100"/>
        <v>0</v>
      </c>
      <c r="CD117">
        <f t="shared" si="100"/>
        <v>0</v>
      </c>
      <c r="CE117">
        <f t="shared" si="100"/>
        <v>0</v>
      </c>
      <c r="CF117">
        <f t="shared" si="53"/>
        <v>31</v>
      </c>
      <c r="CG117">
        <v>20</v>
      </c>
      <c r="CH117">
        <v>1</v>
      </c>
      <c r="CI117">
        <v>0.5</v>
      </c>
      <c r="CJ117">
        <v>0</v>
      </c>
      <c r="CK117">
        <v>13.299999999999997</v>
      </c>
      <c r="CL117">
        <v>79</v>
      </c>
      <c r="CM117">
        <v>3.3000000000000007</v>
      </c>
      <c r="CN117">
        <v>131.00000000000003</v>
      </c>
      <c r="CO117">
        <v>0</v>
      </c>
      <c r="CP117">
        <v>189.7</v>
      </c>
      <c r="CQ117">
        <v>0</v>
      </c>
      <c r="CR117">
        <v>251.70000000000002</v>
      </c>
      <c r="CS117">
        <v>0</v>
      </c>
      <c r="CT117">
        <v>313.7</v>
      </c>
      <c r="CU117">
        <v>0</v>
      </c>
      <c r="CV117">
        <v>375.7</v>
      </c>
      <c r="CW117">
        <v>0</v>
      </c>
      <c r="CX117">
        <v>437.69999999999993</v>
      </c>
      <c r="CY117" s="80">
        <f t="shared" si="82"/>
        <v>33.241818937857722</v>
      </c>
      <c r="CZ117" s="78">
        <f t="shared" si="83"/>
        <v>97.17100564740818</v>
      </c>
      <c r="DA117" s="5">
        <f t="shared" si="84"/>
        <v>2790.8182314576729</v>
      </c>
      <c r="DB117" s="5">
        <f t="shared" si="85"/>
        <v>67089.037187883019</v>
      </c>
      <c r="DC117" s="5">
        <f t="shared" si="86"/>
        <v>234440.62700006683</v>
      </c>
      <c r="DD117">
        <f t="shared" si="87"/>
        <v>1800.5278912630149</v>
      </c>
      <c r="DE117">
        <f t="shared" si="88"/>
        <v>43283.249798634199</v>
      </c>
      <c r="DF117">
        <f t="shared" si="89"/>
        <v>151252.01741939795</v>
      </c>
      <c r="DG117" s="19">
        <v>33124</v>
      </c>
      <c r="DH117" s="19">
        <v>3437</v>
      </c>
      <c r="DI117" s="19">
        <v>374</v>
      </c>
      <c r="DJ117" s="19">
        <v>9</v>
      </c>
      <c r="DK117" s="19">
        <v>4</v>
      </c>
    </row>
    <row r="118" spans="1:136">
      <c r="A118" s="3">
        <v>44440</v>
      </c>
      <c r="B118">
        <f t="shared" si="77"/>
        <v>2021</v>
      </c>
      <c r="C118" s="2">
        <v>77840946.995510057</v>
      </c>
      <c r="D118" s="2">
        <v>21125357.404845975</v>
      </c>
      <c r="E118" s="2">
        <f>VLOOKUP('Monthly Data'!B118,'Historic CDM'!$B$111:$J$122,2,FALSE)/12</f>
        <v>1282288.2962896421</v>
      </c>
      <c r="F118" s="2">
        <v>22407620.701135617</v>
      </c>
      <c r="G118" s="2">
        <v>33131</v>
      </c>
      <c r="H118" s="2">
        <v>7956592.6374929948</v>
      </c>
      <c r="I118" s="2">
        <v>447171.24876639713</v>
      </c>
      <c r="J118" s="2">
        <v>8403763.8862593919</v>
      </c>
      <c r="K118" s="2">
        <v>3440</v>
      </c>
      <c r="L118" s="2">
        <v>15535439.435899995</v>
      </c>
      <c r="M118" s="2">
        <f>VLOOKUP('Monthly Data'!B118,'Historic CDM'!$B$111:$J$122,4,FALSE)/12+VLOOKUP('Monthly Data'!B118,'Historic CDM'!$N$111:$V$122,4,FALSE)/12</f>
        <v>2851432.0617325441</v>
      </c>
      <c r="N118" s="2">
        <f t="shared" si="73"/>
        <v>18386871.497632541</v>
      </c>
      <c r="O118" s="2">
        <v>46753.185267999994</v>
      </c>
      <c r="P118" s="2">
        <v>375</v>
      </c>
      <c r="Q118" s="2">
        <v>8989328.907999998</v>
      </c>
      <c r="R118" s="2">
        <f>VLOOKUP('Monthly Data'!B118,'Historic CDM'!$B$111:$J$122,5,FALSE)/12+VLOOKUP('Monthly Data'!B118,'Historic CDM'!$N$111:$V$122,5,FALSE)/12</f>
        <v>414313.62206128327</v>
      </c>
      <c r="S118" s="2">
        <f t="shared" si="44"/>
        <v>9403642.5300612804</v>
      </c>
      <c r="T118" s="2">
        <v>20394.316144782842</v>
      </c>
      <c r="U118" s="2">
        <v>8</v>
      </c>
      <c r="V118" s="2">
        <v>21532283.453340001</v>
      </c>
      <c r="W118" s="2">
        <f>VLOOKUP('Monthly Data'!B118,'Historic CDM'!$B$111:$J$122,9,FALSE)/12+VLOOKUP('Monthly Data'!B118,'Historic CDM'!$N$111:$V$122,9,FALSE)/12</f>
        <v>187263.3914103462</v>
      </c>
      <c r="X118" s="2">
        <f t="shared" si="41"/>
        <v>21719546.844750348</v>
      </c>
      <c r="Y118" s="2">
        <v>39509.929798999998</v>
      </c>
      <c r="Z118" s="2">
        <v>4</v>
      </c>
      <c r="AA118" s="2">
        <v>279337.26523366245</v>
      </c>
      <c r="AB118" s="2">
        <v>780.49130700000001</v>
      </c>
      <c r="AC118" s="2">
        <v>10162</v>
      </c>
      <c r="AD118" s="2">
        <v>35575.199999999975</v>
      </c>
      <c r="AE118" s="2">
        <v>98.819990000000018</v>
      </c>
      <c r="AF118" s="2">
        <v>367</v>
      </c>
      <c r="AG118" s="2">
        <v>178182.5858099997</v>
      </c>
      <c r="AH118" s="2">
        <v>238</v>
      </c>
      <c r="AI118">
        <f>Weather!C274</f>
        <v>84.5</v>
      </c>
      <c r="AJ118">
        <f>Weather!D274</f>
        <v>9.2999999999999936</v>
      </c>
      <c r="AK118">
        <f>Weather!E274</f>
        <v>45.8</v>
      </c>
      <c r="AL118">
        <f>Weather!F274</f>
        <v>30.599999999999994</v>
      </c>
      <c r="AM118">
        <f>Weather!G274</f>
        <v>20.699999999999996</v>
      </c>
      <c r="AN118">
        <f>Weather!H274</f>
        <v>65.5</v>
      </c>
      <c r="AO118">
        <f>Weather!I274</f>
        <v>5.6999999999999975</v>
      </c>
      <c r="AP118">
        <f>Weather!J274</f>
        <v>110.5</v>
      </c>
      <c r="AQ118">
        <f>Weather!K274</f>
        <v>0</v>
      </c>
      <c r="AR118">
        <f>Weather!L274</f>
        <v>164.80000000000004</v>
      </c>
      <c r="AS118">
        <f>Weather!M274</f>
        <v>0</v>
      </c>
      <c r="AT118">
        <f>Weather!N274</f>
        <v>224.80000000000004</v>
      </c>
      <c r="AU118">
        <f>Weather!O274</f>
        <v>0</v>
      </c>
      <c r="AV118">
        <f>Weather!P274</f>
        <v>284.80000000000007</v>
      </c>
      <c r="AW118" s="7">
        <f>Weather!Q274</f>
        <v>17.493333333333329</v>
      </c>
      <c r="AX118" s="5">
        <f>'Economic Variables'!D228</f>
        <v>7473.3</v>
      </c>
      <c r="AY118" s="5">
        <f>'Economic Variables'!E228</f>
        <v>7503.2</v>
      </c>
      <c r="AZ118" s="5">
        <f>'Economic Variables'!F228</f>
        <v>282.60000000000002</v>
      </c>
      <c r="BA118" s="5">
        <f>'Economic Variables'!G228</f>
        <v>283.60000000000002</v>
      </c>
      <c r="BB118" s="79">
        <f>'Economic Variables'!H228</f>
        <v>752340.8</v>
      </c>
      <c r="BC118" s="5">
        <f>'Economic Variables'!I228</f>
        <v>9469.7000000000007</v>
      </c>
      <c r="BD118" s="5">
        <f>'Economic Variables'!J228</f>
        <v>8822.4</v>
      </c>
      <c r="BE118" s="5">
        <f>'Economic Variables'!K228</f>
        <v>443.3</v>
      </c>
      <c r="BF118" s="5">
        <f>'Economic Variables'!L228</f>
        <v>6279.5</v>
      </c>
      <c r="BG118" s="5">
        <f>'Economic Variables'!M228</f>
        <v>257.5</v>
      </c>
      <c r="BH118" s="5">
        <f>'Economic Variables'!N228</f>
        <v>1095.0999999999999</v>
      </c>
      <c r="BI118" s="5">
        <f t="shared" si="78"/>
        <v>15749.2</v>
      </c>
      <c r="BJ118" s="5">
        <f>'Economic Variables'!P228</f>
        <v>753546</v>
      </c>
      <c r="BK118" s="5">
        <f>'Economic Variables'!Q228</f>
        <v>8980</v>
      </c>
      <c r="BL118" s="5">
        <f>'Economic Variables'!R228</f>
        <v>6225</v>
      </c>
      <c r="BM118" s="5">
        <f>'Economic Variables'!S228</f>
        <v>3311</v>
      </c>
      <c r="BN118" s="5">
        <f t="shared" si="90"/>
        <v>117</v>
      </c>
      <c r="BO118" s="80">
        <f t="shared" si="79"/>
        <v>2.0681858617461617</v>
      </c>
      <c r="BP118" s="5">
        <f t="shared" si="80"/>
        <v>13689</v>
      </c>
      <c r="BQ118">
        <f t="shared" ref="BQ118:CE118" si="101">BQ106</f>
        <v>0</v>
      </c>
      <c r="BR118">
        <f t="shared" si="101"/>
        <v>0</v>
      </c>
      <c r="BS118">
        <f t="shared" si="101"/>
        <v>0</v>
      </c>
      <c r="BT118">
        <f t="shared" si="101"/>
        <v>0</v>
      </c>
      <c r="BU118">
        <f t="shared" si="101"/>
        <v>0</v>
      </c>
      <c r="BV118">
        <f t="shared" si="101"/>
        <v>0</v>
      </c>
      <c r="BW118">
        <f t="shared" si="101"/>
        <v>0</v>
      </c>
      <c r="BX118">
        <f t="shared" si="101"/>
        <v>0</v>
      </c>
      <c r="BY118">
        <f t="shared" si="101"/>
        <v>1</v>
      </c>
      <c r="BZ118">
        <f t="shared" si="101"/>
        <v>0</v>
      </c>
      <c r="CA118">
        <f t="shared" si="101"/>
        <v>0</v>
      </c>
      <c r="CB118">
        <f t="shared" si="101"/>
        <v>0</v>
      </c>
      <c r="CC118">
        <f t="shared" si="101"/>
        <v>0</v>
      </c>
      <c r="CD118">
        <f t="shared" si="101"/>
        <v>1</v>
      </c>
      <c r="CE118">
        <f t="shared" si="101"/>
        <v>1</v>
      </c>
      <c r="CF118">
        <f t="shared" si="53"/>
        <v>30</v>
      </c>
      <c r="CG118">
        <v>20</v>
      </c>
      <c r="CH118">
        <v>1</v>
      </c>
      <c r="CI118">
        <v>0.5</v>
      </c>
      <c r="CJ118">
        <v>0</v>
      </c>
      <c r="CK118">
        <v>84.5</v>
      </c>
      <c r="CL118">
        <v>9.2999999999999936</v>
      </c>
      <c r="CM118">
        <v>45.8</v>
      </c>
      <c r="CN118">
        <v>30.599999999999994</v>
      </c>
      <c r="CO118">
        <v>20.699999999999996</v>
      </c>
      <c r="CP118">
        <v>65.5</v>
      </c>
      <c r="CQ118">
        <v>5.6999999999999975</v>
      </c>
      <c r="CR118">
        <v>110.5</v>
      </c>
      <c r="CS118">
        <v>0</v>
      </c>
      <c r="CT118">
        <v>164.80000000000004</v>
      </c>
      <c r="CU118">
        <v>0</v>
      </c>
      <c r="CV118">
        <v>224.80000000000004</v>
      </c>
      <c r="CW118">
        <v>0</v>
      </c>
      <c r="CX118">
        <v>284.80000000000007</v>
      </c>
      <c r="CY118" s="80">
        <f t="shared" si="82"/>
        <v>22.544465607372366</v>
      </c>
      <c r="CZ118" s="78">
        <f t="shared" si="83"/>
        <v>81.431820603288685</v>
      </c>
      <c r="DA118" s="5">
        <f t="shared" si="84"/>
        <v>2451.5828663510051</v>
      </c>
      <c r="DB118" s="5">
        <f t="shared" si="85"/>
        <v>58772.765812883001</v>
      </c>
      <c r="DC118" s="5">
        <f t="shared" si="86"/>
        <v>271494.33555937937</v>
      </c>
      <c r="DD118">
        <f t="shared" si="87"/>
        <v>1634.3885775673371</v>
      </c>
      <c r="DE118">
        <f t="shared" si="88"/>
        <v>39181.843875255334</v>
      </c>
      <c r="DF118">
        <f t="shared" si="89"/>
        <v>180996.2237062529</v>
      </c>
      <c r="DG118" s="19">
        <v>33131</v>
      </c>
      <c r="DH118" s="19">
        <v>3440</v>
      </c>
      <c r="DI118" s="19">
        <v>374</v>
      </c>
      <c r="DJ118" s="19">
        <v>9</v>
      </c>
      <c r="DK118" s="19">
        <v>4</v>
      </c>
    </row>
    <row r="119" spans="1:136">
      <c r="A119" s="3">
        <v>44470</v>
      </c>
      <c r="B119">
        <f t="shared" si="77"/>
        <v>2021</v>
      </c>
      <c r="C119" s="2">
        <v>77965185.442229986</v>
      </c>
      <c r="D119" s="2">
        <v>19520486.200523946</v>
      </c>
      <c r="E119" s="2">
        <f>VLOOKUP('Monthly Data'!B119,'Historic CDM'!$B$111:$J$122,2,FALSE)/12</f>
        <v>1282288.2962896421</v>
      </c>
      <c r="F119" s="2">
        <v>20802749.496813588</v>
      </c>
      <c r="G119" s="2">
        <v>33148</v>
      </c>
      <c r="H119" s="2">
        <v>7662198.332345007</v>
      </c>
      <c r="I119" s="2">
        <v>447171.24876639713</v>
      </c>
      <c r="J119" s="2">
        <v>8109369.5811114041</v>
      </c>
      <c r="K119" s="2">
        <v>3436</v>
      </c>
      <c r="L119" s="2">
        <v>15475263.926499998</v>
      </c>
      <c r="M119" s="2">
        <f>VLOOKUP('Monthly Data'!B119,'Historic CDM'!$B$111:$J$122,4,FALSE)/12+VLOOKUP('Monthly Data'!B119,'Historic CDM'!$N$111:$V$122,4,FALSE)/12</f>
        <v>2851432.0617325441</v>
      </c>
      <c r="N119" s="2">
        <f t="shared" si="73"/>
        <v>18326695.988232542</v>
      </c>
      <c r="O119" s="2">
        <v>45566.867918000004</v>
      </c>
      <c r="P119" s="2">
        <v>375</v>
      </c>
      <c r="Q119" s="2">
        <v>9852869.8817999996</v>
      </c>
      <c r="R119" s="2">
        <f>VLOOKUP('Monthly Data'!B119,'Historic CDM'!$B$111:$J$122,5,FALSE)/12+VLOOKUP('Monthly Data'!B119,'Historic CDM'!$N$111:$V$122,5,FALSE)/12</f>
        <v>414313.62206128327</v>
      </c>
      <c r="S119" s="2">
        <f t="shared" si="44"/>
        <v>10267183.503861282</v>
      </c>
      <c r="T119" s="2">
        <v>20016.96839838392</v>
      </c>
      <c r="U119" s="2">
        <v>8</v>
      </c>
      <c r="V119" s="2">
        <v>22773939.577289999</v>
      </c>
      <c r="W119" s="2">
        <f>VLOOKUP('Monthly Data'!B119,'Historic CDM'!$B$111:$J$122,9,FALSE)/12+VLOOKUP('Monthly Data'!B119,'Historic CDM'!$N$111:$V$122,9,FALSE)/12</f>
        <v>187263.3914103462</v>
      </c>
      <c r="X119" s="2">
        <f t="shared" si="41"/>
        <v>22961202.968700346</v>
      </c>
      <c r="Y119" s="2">
        <v>38669.083198</v>
      </c>
      <c r="Z119" s="2">
        <v>4</v>
      </c>
      <c r="AA119" s="2">
        <v>313989.3528452164</v>
      </c>
      <c r="AB119" s="2">
        <v>779.72362499999997</v>
      </c>
      <c r="AC119" s="2">
        <v>10167</v>
      </c>
      <c r="AD119" s="2">
        <v>36761.040000000001</v>
      </c>
      <c r="AE119" s="2">
        <v>98.819990000000018</v>
      </c>
      <c r="AF119" s="2">
        <v>367</v>
      </c>
      <c r="AG119" s="2">
        <v>184122.00533699978</v>
      </c>
      <c r="AH119" s="2">
        <v>238</v>
      </c>
      <c r="AI119">
        <f>Weather!C275</f>
        <v>177.60000000000002</v>
      </c>
      <c r="AJ119">
        <f>Weather!D275</f>
        <v>3.6999999999999993</v>
      </c>
      <c r="AK119">
        <f>Weather!E275</f>
        <v>133.4</v>
      </c>
      <c r="AL119">
        <f>Weather!F275</f>
        <v>21.5</v>
      </c>
      <c r="AM119">
        <f>Weather!G275</f>
        <v>96.199999999999989</v>
      </c>
      <c r="AN119">
        <f>Weather!H275</f>
        <v>46.300000000000004</v>
      </c>
      <c r="AO119">
        <f>Weather!I275</f>
        <v>63.599999999999994</v>
      </c>
      <c r="AP119">
        <f>Weather!J275</f>
        <v>75.7</v>
      </c>
      <c r="AQ119">
        <f>Weather!K275</f>
        <v>36.899999999999991</v>
      </c>
      <c r="AR119">
        <f>Weather!L275</f>
        <v>111</v>
      </c>
      <c r="AS119">
        <f>Weather!M275</f>
        <v>16.099999999999998</v>
      </c>
      <c r="AT119">
        <f>Weather!N275</f>
        <v>152.20000000000002</v>
      </c>
      <c r="AU119">
        <f>Weather!O275</f>
        <v>5.3999999999999995</v>
      </c>
      <c r="AV119">
        <f>Weather!P275</f>
        <v>203.50000000000003</v>
      </c>
      <c r="AW119" s="7">
        <f>Weather!Q275</f>
        <v>14.39032258064516</v>
      </c>
      <c r="AX119" s="5">
        <f>'Economic Variables'!D229</f>
        <v>7523</v>
      </c>
      <c r="AY119" s="5">
        <f>'Economic Variables'!E229</f>
        <v>7538.5</v>
      </c>
      <c r="AZ119" s="5">
        <f>'Economic Variables'!F229</f>
        <v>285</v>
      </c>
      <c r="BA119" s="5">
        <f>'Economic Variables'!G229</f>
        <v>284.3</v>
      </c>
      <c r="BB119" s="79">
        <f>'Economic Variables'!H229</f>
        <v>752340.8</v>
      </c>
      <c r="BC119" s="5">
        <f>'Economic Variables'!I229</f>
        <v>9469.7000000000007</v>
      </c>
      <c r="BD119" s="5">
        <f>'Economic Variables'!J229</f>
        <v>8822.4</v>
      </c>
      <c r="BE119" s="5">
        <f>'Economic Variables'!K229</f>
        <v>443.3</v>
      </c>
      <c r="BF119" s="5">
        <f>'Economic Variables'!L229</f>
        <v>6279.5</v>
      </c>
      <c r="BG119" s="5">
        <f>'Economic Variables'!M229</f>
        <v>257.5</v>
      </c>
      <c r="BH119" s="5">
        <f>'Economic Variables'!N229</f>
        <v>1095.0999999999999</v>
      </c>
      <c r="BI119" s="5">
        <f t="shared" si="78"/>
        <v>15749.2</v>
      </c>
      <c r="BJ119" s="5">
        <f>'Economic Variables'!P229</f>
        <v>767803</v>
      </c>
      <c r="BK119" s="5">
        <f>'Economic Variables'!Q229</f>
        <v>10085</v>
      </c>
      <c r="BL119" s="5">
        <f>'Economic Variables'!R229</f>
        <v>5901</v>
      </c>
      <c r="BM119" s="5">
        <f>'Economic Variables'!S229</f>
        <v>3379</v>
      </c>
      <c r="BN119" s="5">
        <f t="shared" si="90"/>
        <v>118</v>
      </c>
      <c r="BO119" s="80">
        <f t="shared" si="79"/>
        <v>2.0718820073061255</v>
      </c>
      <c r="BP119" s="5">
        <f t="shared" si="80"/>
        <v>13924</v>
      </c>
      <c r="BQ119">
        <f t="shared" ref="BQ119:CE119" si="102">BQ107</f>
        <v>0</v>
      </c>
      <c r="BR119">
        <f t="shared" si="102"/>
        <v>0</v>
      </c>
      <c r="BS119">
        <f t="shared" si="102"/>
        <v>0</v>
      </c>
      <c r="BT119">
        <f t="shared" si="102"/>
        <v>0</v>
      </c>
      <c r="BU119">
        <f t="shared" si="102"/>
        <v>0</v>
      </c>
      <c r="BV119">
        <f t="shared" si="102"/>
        <v>0</v>
      </c>
      <c r="BW119">
        <f t="shared" si="102"/>
        <v>0</v>
      </c>
      <c r="BX119">
        <f t="shared" si="102"/>
        <v>0</v>
      </c>
      <c r="BY119">
        <f t="shared" si="102"/>
        <v>0</v>
      </c>
      <c r="BZ119">
        <f t="shared" si="102"/>
        <v>1</v>
      </c>
      <c r="CA119">
        <f t="shared" si="102"/>
        <v>0</v>
      </c>
      <c r="CB119">
        <f t="shared" si="102"/>
        <v>0</v>
      </c>
      <c r="CC119">
        <f t="shared" si="102"/>
        <v>0</v>
      </c>
      <c r="CD119">
        <f t="shared" si="102"/>
        <v>1</v>
      </c>
      <c r="CE119">
        <f t="shared" si="102"/>
        <v>1</v>
      </c>
      <c r="CF119">
        <f t="shared" si="53"/>
        <v>31</v>
      </c>
      <c r="CG119">
        <v>20</v>
      </c>
      <c r="CH119">
        <v>1</v>
      </c>
      <c r="CI119">
        <v>0.5</v>
      </c>
      <c r="CJ119">
        <v>0</v>
      </c>
      <c r="CK119">
        <v>177.60000000000002</v>
      </c>
      <c r="CL119">
        <v>3.6999999999999993</v>
      </c>
      <c r="CM119">
        <v>133.4</v>
      </c>
      <c r="CN119">
        <v>21.5</v>
      </c>
      <c r="CO119">
        <v>96.199999999999989</v>
      </c>
      <c r="CP119">
        <v>46.300000000000004</v>
      </c>
      <c r="CQ119">
        <v>63.599999999999994</v>
      </c>
      <c r="CR119">
        <v>75.7</v>
      </c>
      <c r="CS119">
        <v>36.899999999999991</v>
      </c>
      <c r="CT119">
        <v>111</v>
      </c>
      <c r="CU119">
        <v>16.099999999999998</v>
      </c>
      <c r="CV119">
        <v>152.20000000000002</v>
      </c>
      <c r="CW119">
        <v>5.3999999999999995</v>
      </c>
      <c r="CX119">
        <v>203.50000000000003</v>
      </c>
      <c r="CY119" s="80">
        <f t="shared" si="82"/>
        <v>20.2442510975348</v>
      </c>
      <c r="CZ119" s="78">
        <f t="shared" si="83"/>
        <v>76.132877512405685</v>
      </c>
      <c r="DA119" s="5">
        <f t="shared" si="84"/>
        <v>2443.5594650976723</v>
      </c>
      <c r="DB119" s="5">
        <f t="shared" si="85"/>
        <v>64169.896899133011</v>
      </c>
      <c r="DC119" s="5">
        <f t="shared" si="86"/>
        <v>287015.03710875433</v>
      </c>
      <c r="DD119">
        <f t="shared" si="87"/>
        <v>1576.4899774823691</v>
      </c>
      <c r="DE119">
        <f t="shared" si="88"/>
        <v>41399.933483311623</v>
      </c>
      <c r="DF119">
        <f t="shared" si="89"/>
        <v>185170.99168306732</v>
      </c>
      <c r="DG119" s="19">
        <v>33148</v>
      </c>
      <c r="DH119" s="19">
        <v>3436</v>
      </c>
      <c r="DI119" s="19">
        <v>374</v>
      </c>
      <c r="DJ119" s="19">
        <v>9</v>
      </c>
      <c r="DK119" s="19">
        <v>4</v>
      </c>
    </row>
    <row r="120" spans="1:136">
      <c r="A120" s="3">
        <v>44501</v>
      </c>
      <c r="B120">
        <f t="shared" si="77"/>
        <v>2021</v>
      </c>
      <c r="C120" s="2">
        <v>79727656.858079985</v>
      </c>
      <c r="D120" s="2">
        <v>19655248.33502895</v>
      </c>
      <c r="E120" s="2">
        <f>VLOOKUP('Monthly Data'!B120,'Historic CDM'!$B$111:$J$122,2,FALSE)/12</f>
        <v>1282288.2962896421</v>
      </c>
      <c r="F120" s="2">
        <v>20937511.631318592</v>
      </c>
      <c r="G120" s="2">
        <v>33158</v>
      </c>
      <c r="H120" s="2">
        <v>8075068.5216519991</v>
      </c>
      <c r="I120" s="2">
        <v>447171.24876639713</v>
      </c>
      <c r="J120" s="2">
        <v>8522239.7704183962</v>
      </c>
      <c r="K120" s="2">
        <v>3445</v>
      </c>
      <c r="L120" s="2">
        <v>15462422.531599998</v>
      </c>
      <c r="M120" s="2">
        <f>VLOOKUP('Monthly Data'!B120,'Historic CDM'!$B$111:$J$122,4,FALSE)/12+VLOOKUP('Monthly Data'!B120,'Historic CDM'!$N$111:$V$122,4,FALSE)/12</f>
        <v>2851432.0617325441</v>
      </c>
      <c r="N120" s="2">
        <f t="shared" si="73"/>
        <v>18313854.593332544</v>
      </c>
      <c r="O120" s="2">
        <v>42277.599523000012</v>
      </c>
      <c r="P120" s="2">
        <v>378</v>
      </c>
      <c r="Q120" s="2">
        <v>10348127.137200002</v>
      </c>
      <c r="R120" s="2">
        <f>VLOOKUP('Monthly Data'!B120,'Historic CDM'!$B$111:$J$122,5,FALSE)/12+VLOOKUP('Monthly Data'!B120,'Historic CDM'!$N$111:$V$122,5,FALSE)/12</f>
        <v>414313.62206128327</v>
      </c>
      <c r="S120" s="2">
        <f t="shared" si="44"/>
        <v>10762440.759261284</v>
      </c>
      <c r="T120" s="2">
        <v>18801.205451232621</v>
      </c>
      <c r="U120" s="2">
        <v>8</v>
      </c>
      <c r="V120" s="2">
        <v>23466845.243407499</v>
      </c>
      <c r="W120" s="2">
        <f>VLOOKUP('Monthly Data'!B120,'Historic CDM'!$B$111:$J$122,9,FALSE)/12+VLOOKUP('Monthly Data'!B120,'Historic CDM'!$N$111:$V$122,9,FALSE)/12</f>
        <v>187263.3914103462</v>
      </c>
      <c r="X120" s="2">
        <f t="shared" si="41"/>
        <v>23654108.634817846</v>
      </c>
      <c r="Y120" s="2">
        <v>38661.074098999998</v>
      </c>
      <c r="Z120" s="2">
        <v>4</v>
      </c>
      <c r="AA120" s="2">
        <v>334064.27943575452</v>
      </c>
      <c r="AB120" s="2">
        <v>780.33777000000009</v>
      </c>
      <c r="AC120" s="2">
        <v>10172</v>
      </c>
      <c r="AD120" s="2">
        <v>35528.399999999972</v>
      </c>
      <c r="AE120" s="2">
        <v>98.689990000000023</v>
      </c>
      <c r="AF120" s="2">
        <v>367</v>
      </c>
      <c r="AG120" s="2">
        <v>178079.02418999971</v>
      </c>
      <c r="AH120" s="2">
        <v>238</v>
      </c>
      <c r="AI120">
        <f>Weather!C276</f>
        <v>483.09999999999997</v>
      </c>
      <c r="AJ120">
        <f>Weather!D276</f>
        <v>0</v>
      </c>
      <c r="AK120">
        <f>Weather!E276</f>
        <v>423.1</v>
      </c>
      <c r="AL120">
        <f>Weather!F276</f>
        <v>0</v>
      </c>
      <c r="AM120">
        <f>Weather!G276</f>
        <v>363.1</v>
      </c>
      <c r="AN120">
        <f>Weather!H276</f>
        <v>0</v>
      </c>
      <c r="AO120">
        <f>Weather!I276</f>
        <v>303.09999999999997</v>
      </c>
      <c r="AP120">
        <f>Weather!J276</f>
        <v>0</v>
      </c>
      <c r="AQ120">
        <f>Weather!K276</f>
        <v>243.09999999999997</v>
      </c>
      <c r="AR120">
        <f>Weather!L276</f>
        <v>0</v>
      </c>
      <c r="AS120">
        <f>Weather!M276</f>
        <v>186.09999999999997</v>
      </c>
      <c r="AT120">
        <f>Weather!N276</f>
        <v>3</v>
      </c>
      <c r="AU120">
        <f>Weather!O276</f>
        <v>135</v>
      </c>
      <c r="AV120">
        <f>Weather!P276</f>
        <v>11.9</v>
      </c>
      <c r="AW120" s="7">
        <f>Weather!Q276</f>
        <v>3.8966666666666674</v>
      </c>
      <c r="AX120" s="5">
        <f>'Economic Variables'!D230</f>
        <v>7584.2</v>
      </c>
      <c r="AY120" s="5">
        <f>'Economic Variables'!E230</f>
        <v>7590.1</v>
      </c>
      <c r="AZ120" s="5">
        <f>'Economic Variables'!F230</f>
        <v>288.2</v>
      </c>
      <c r="BA120" s="5">
        <f>'Economic Variables'!G230</f>
        <v>286</v>
      </c>
      <c r="BB120" s="79">
        <f>'Economic Variables'!H230</f>
        <v>752340.8</v>
      </c>
      <c r="BC120" s="5">
        <f>'Economic Variables'!I230</f>
        <v>9469.7000000000007</v>
      </c>
      <c r="BD120" s="5">
        <f>'Economic Variables'!J230</f>
        <v>8822.4</v>
      </c>
      <c r="BE120" s="5">
        <f>'Economic Variables'!K230</f>
        <v>443.3</v>
      </c>
      <c r="BF120" s="5">
        <f>'Economic Variables'!L230</f>
        <v>6279.5</v>
      </c>
      <c r="BG120" s="5">
        <f>'Economic Variables'!M230</f>
        <v>257.5</v>
      </c>
      <c r="BH120" s="5">
        <f>'Economic Variables'!N230</f>
        <v>1095.0999999999999</v>
      </c>
      <c r="BI120" s="5">
        <f t="shared" si="78"/>
        <v>15749.2</v>
      </c>
      <c r="BJ120" s="5">
        <f>'Economic Variables'!P230</f>
        <v>767803</v>
      </c>
      <c r="BK120" s="5">
        <f>'Economic Variables'!Q230</f>
        <v>10085</v>
      </c>
      <c r="BL120" s="5">
        <f>'Economic Variables'!R230</f>
        <v>5901</v>
      </c>
      <c r="BM120" s="5">
        <f>'Economic Variables'!S230</f>
        <v>3379</v>
      </c>
      <c r="BN120" s="5">
        <f t="shared" si="90"/>
        <v>119</v>
      </c>
      <c r="BO120" s="80">
        <f t="shared" si="79"/>
        <v>2.0755469613925306</v>
      </c>
      <c r="BP120" s="5">
        <f t="shared" si="80"/>
        <v>14161</v>
      </c>
      <c r="BQ120">
        <f t="shared" ref="BQ120:CE120" si="103">BQ108</f>
        <v>0</v>
      </c>
      <c r="BR120">
        <f t="shared" si="103"/>
        <v>0</v>
      </c>
      <c r="BS120">
        <f t="shared" si="103"/>
        <v>0</v>
      </c>
      <c r="BT120">
        <f t="shared" si="103"/>
        <v>0</v>
      </c>
      <c r="BU120">
        <f t="shared" si="103"/>
        <v>0</v>
      </c>
      <c r="BV120">
        <f t="shared" si="103"/>
        <v>0</v>
      </c>
      <c r="BW120">
        <f t="shared" si="103"/>
        <v>0</v>
      </c>
      <c r="BX120">
        <f t="shared" si="103"/>
        <v>0</v>
      </c>
      <c r="BY120">
        <f t="shared" si="103"/>
        <v>0</v>
      </c>
      <c r="BZ120">
        <f t="shared" si="103"/>
        <v>0</v>
      </c>
      <c r="CA120">
        <f t="shared" si="103"/>
        <v>1</v>
      </c>
      <c r="CB120">
        <f t="shared" si="103"/>
        <v>0</v>
      </c>
      <c r="CC120">
        <f t="shared" si="103"/>
        <v>0</v>
      </c>
      <c r="CD120">
        <f t="shared" si="103"/>
        <v>0</v>
      </c>
      <c r="CE120">
        <f t="shared" si="103"/>
        <v>0</v>
      </c>
      <c r="CF120">
        <f t="shared" si="53"/>
        <v>30</v>
      </c>
      <c r="CG120">
        <v>22</v>
      </c>
      <c r="CH120">
        <v>1</v>
      </c>
      <c r="CI120">
        <v>0.5</v>
      </c>
      <c r="CJ120">
        <v>0</v>
      </c>
      <c r="CK120">
        <v>483.09999999999997</v>
      </c>
      <c r="CL120">
        <v>0</v>
      </c>
      <c r="CM120">
        <v>423.1</v>
      </c>
      <c r="CN120">
        <v>0</v>
      </c>
      <c r="CO120">
        <v>363.1</v>
      </c>
      <c r="CP120">
        <v>0</v>
      </c>
      <c r="CQ120">
        <v>303.09999999999997</v>
      </c>
      <c r="CR120">
        <v>0</v>
      </c>
      <c r="CS120">
        <v>243.09999999999997</v>
      </c>
      <c r="CT120">
        <v>0</v>
      </c>
      <c r="CU120">
        <v>186.09999999999997</v>
      </c>
      <c r="CV120">
        <v>3</v>
      </c>
      <c r="CW120">
        <v>135</v>
      </c>
      <c r="CX120">
        <v>11.9</v>
      </c>
      <c r="CY120" s="80">
        <f t="shared" si="82"/>
        <v>21.048225296377534</v>
      </c>
      <c r="CZ120" s="78">
        <f t="shared" si="83"/>
        <v>82.459988102742102</v>
      </c>
      <c r="DA120" s="5">
        <f t="shared" si="84"/>
        <v>2202.2432170914553</v>
      </c>
      <c r="DB120" s="5">
        <f t="shared" si="85"/>
        <v>61150.231586711838</v>
      </c>
      <c r="DC120" s="5">
        <f t="shared" si="86"/>
        <v>268796.68903202098</v>
      </c>
      <c r="DD120">
        <f t="shared" si="87"/>
        <v>1614.9783592004007</v>
      </c>
      <c r="DE120">
        <f t="shared" si="88"/>
        <v>44843.503163588684</v>
      </c>
      <c r="DF120">
        <f t="shared" si="89"/>
        <v>197117.57195681537</v>
      </c>
      <c r="DG120" s="19">
        <v>33158</v>
      </c>
      <c r="DH120" s="19">
        <v>3445</v>
      </c>
      <c r="DI120" s="19">
        <v>377</v>
      </c>
      <c r="DJ120" s="19">
        <v>9</v>
      </c>
      <c r="DK120" s="19">
        <v>4</v>
      </c>
    </row>
    <row r="121" spans="1:136">
      <c r="A121" s="3">
        <v>44531</v>
      </c>
      <c r="B121">
        <f t="shared" si="77"/>
        <v>2021</v>
      </c>
      <c r="C121" s="2">
        <v>81878595.193159968</v>
      </c>
      <c r="D121" s="2">
        <v>22466862.139447</v>
      </c>
      <c r="E121" s="2">
        <f>VLOOKUP('Monthly Data'!B121,'Historic CDM'!$B$111:$J$122,2,FALSE)/12</f>
        <v>1282288.2962896421</v>
      </c>
      <c r="F121" s="2">
        <v>23749125.435736641</v>
      </c>
      <c r="G121" s="2">
        <v>33174</v>
      </c>
      <c r="H121" s="2">
        <v>8668979.1919800043</v>
      </c>
      <c r="I121" s="2">
        <v>447171.24876639713</v>
      </c>
      <c r="J121" s="2">
        <v>9116150.4407464005</v>
      </c>
      <c r="K121" s="2">
        <v>3447</v>
      </c>
      <c r="L121" s="2">
        <v>15992037.336000003</v>
      </c>
      <c r="M121" s="2">
        <f>VLOOKUP('Monthly Data'!B121,'Historic CDM'!$B$111:$J$122,4,FALSE)/12+VLOOKUP('Monthly Data'!B121,'Historic CDM'!$N$111:$V$122,4,FALSE)/12</f>
        <v>2851432.0617325441</v>
      </c>
      <c r="N121" s="2">
        <f t="shared" si="73"/>
        <v>18843469.397732548</v>
      </c>
      <c r="O121" s="2">
        <v>42624.873503999988</v>
      </c>
      <c r="P121" s="2">
        <v>378</v>
      </c>
      <c r="Q121" s="2">
        <v>9158120.6398000009</v>
      </c>
      <c r="R121" s="2">
        <f>VLOOKUP('Monthly Data'!B121,'Historic CDM'!$B$111:$J$122,5,FALSE)/12+VLOOKUP('Monthly Data'!B121,'Historic CDM'!$N$111:$V$122,5,FALSE)/12</f>
        <v>414313.62206128327</v>
      </c>
      <c r="S121" s="2">
        <f t="shared" si="44"/>
        <v>9572434.2618612833</v>
      </c>
      <c r="T121" s="2">
        <v>18595.615858298719</v>
      </c>
      <c r="U121" s="2">
        <v>8</v>
      </c>
      <c r="V121" s="2">
        <v>22734437.358847499</v>
      </c>
      <c r="W121" s="2">
        <f>VLOOKUP('Monthly Data'!B121,'Historic CDM'!$B$111:$J$122,9,FALSE)/12+VLOOKUP('Monthly Data'!B121,'Historic CDM'!$N$111:$V$122,9,FALSE)/12</f>
        <v>187263.3914103462</v>
      </c>
      <c r="X121" s="2">
        <f t="shared" si="41"/>
        <v>22921700.750257846</v>
      </c>
      <c r="Y121" s="2">
        <v>39112.375497999994</v>
      </c>
      <c r="Z121" s="2">
        <v>4</v>
      </c>
      <c r="AA121" s="2">
        <v>345908.63180116966</v>
      </c>
      <c r="AB121" s="2">
        <v>744.89011800000003</v>
      </c>
      <c r="AC121" s="2">
        <v>10173</v>
      </c>
      <c r="AD121" s="2">
        <v>36712.68</v>
      </c>
      <c r="AE121" s="2">
        <v>98.689990000000023</v>
      </c>
      <c r="AF121" s="2">
        <v>366</v>
      </c>
      <c r="AG121" s="2">
        <v>184014.99166299979</v>
      </c>
      <c r="AH121" s="2">
        <v>237</v>
      </c>
      <c r="AI121">
        <f>Weather!C277</f>
        <v>559.4</v>
      </c>
      <c r="AJ121">
        <f>Weather!D277</f>
        <v>0</v>
      </c>
      <c r="AK121">
        <f>Weather!E277</f>
        <v>497.39999999999992</v>
      </c>
      <c r="AL121">
        <f>Weather!F277</f>
        <v>0</v>
      </c>
      <c r="AM121">
        <f>Weather!G277</f>
        <v>435.39999999999992</v>
      </c>
      <c r="AN121">
        <f>Weather!H277</f>
        <v>0</v>
      </c>
      <c r="AO121">
        <f>Weather!I277</f>
        <v>373.4</v>
      </c>
      <c r="AP121">
        <f>Weather!J277</f>
        <v>0</v>
      </c>
      <c r="AQ121">
        <f>Weather!K277</f>
        <v>311.40000000000003</v>
      </c>
      <c r="AR121">
        <f>Weather!L277</f>
        <v>0</v>
      </c>
      <c r="AS121">
        <f>Weather!M277</f>
        <v>249.40000000000009</v>
      </c>
      <c r="AT121">
        <f>Weather!N277</f>
        <v>0</v>
      </c>
      <c r="AU121">
        <f>Weather!O277</f>
        <v>190.50000000000006</v>
      </c>
      <c r="AV121">
        <f>Weather!P277</f>
        <v>3.0999999999999996</v>
      </c>
      <c r="AW121" s="7">
        <f>Weather!Q277</f>
        <v>1.9548387096774196</v>
      </c>
      <c r="AX121" s="5">
        <f>'Economic Variables'!D231</f>
        <v>7632.7</v>
      </c>
      <c r="AY121" s="5">
        <f>'Economic Variables'!E231</f>
        <v>7647.5</v>
      </c>
      <c r="AZ121" s="5">
        <f>'Economic Variables'!F231</f>
        <v>292.89999999999998</v>
      </c>
      <c r="BA121" s="5">
        <f>'Economic Variables'!G231</f>
        <v>290.60000000000002</v>
      </c>
      <c r="BB121" s="79">
        <f>'Economic Variables'!H231</f>
        <v>752340.8</v>
      </c>
      <c r="BC121" s="5">
        <f>'Economic Variables'!I231</f>
        <v>9469.7000000000007</v>
      </c>
      <c r="BD121" s="5">
        <f>'Economic Variables'!J231</f>
        <v>8822.4</v>
      </c>
      <c r="BE121" s="5">
        <f>'Economic Variables'!K231</f>
        <v>443.3</v>
      </c>
      <c r="BF121" s="5">
        <f>'Economic Variables'!L231</f>
        <v>6279.5</v>
      </c>
      <c r="BG121" s="5">
        <f>'Economic Variables'!M231</f>
        <v>257.5</v>
      </c>
      <c r="BH121" s="5">
        <f>'Economic Variables'!N231</f>
        <v>1095.0999999999999</v>
      </c>
      <c r="BI121" s="5">
        <f t="shared" si="78"/>
        <v>15749.2</v>
      </c>
      <c r="BJ121" s="5">
        <f>'Economic Variables'!P231</f>
        <v>767803</v>
      </c>
      <c r="BK121" s="5">
        <f>'Economic Variables'!Q231</f>
        <v>10085</v>
      </c>
      <c r="BL121" s="5">
        <f>'Economic Variables'!R231</f>
        <v>5901</v>
      </c>
      <c r="BM121" s="5">
        <f>'Economic Variables'!S231</f>
        <v>3379</v>
      </c>
      <c r="BN121" s="5">
        <f t="shared" si="90"/>
        <v>120</v>
      </c>
      <c r="BO121" s="80">
        <f t="shared" si="79"/>
        <v>2.0791812460476247</v>
      </c>
      <c r="BP121" s="5">
        <f t="shared" si="80"/>
        <v>14400</v>
      </c>
      <c r="BQ121">
        <f t="shared" ref="BQ121:CE121" si="104">BQ109</f>
        <v>0</v>
      </c>
      <c r="BR121">
        <f t="shared" si="104"/>
        <v>0</v>
      </c>
      <c r="BS121">
        <f t="shared" si="104"/>
        <v>0</v>
      </c>
      <c r="BT121">
        <f t="shared" si="104"/>
        <v>0</v>
      </c>
      <c r="BU121">
        <f t="shared" si="104"/>
        <v>0</v>
      </c>
      <c r="BV121">
        <f t="shared" si="104"/>
        <v>0</v>
      </c>
      <c r="BW121">
        <f t="shared" si="104"/>
        <v>0</v>
      </c>
      <c r="BX121">
        <f t="shared" si="104"/>
        <v>0</v>
      </c>
      <c r="BY121">
        <f t="shared" si="104"/>
        <v>0</v>
      </c>
      <c r="BZ121">
        <f t="shared" si="104"/>
        <v>0</v>
      </c>
      <c r="CA121">
        <f t="shared" si="104"/>
        <v>0</v>
      </c>
      <c r="CB121">
        <f t="shared" si="104"/>
        <v>1</v>
      </c>
      <c r="CC121">
        <f t="shared" si="104"/>
        <v>0</v>
      </c>
      <c r="CD121">
        <f t="shared" si="104"/>
        <v>0</v>
      </c>
      <c r="CE121">
        <f t="shared" si="104"/>
        <v>0</v>
      </c>
      <c r="CF121">
        <f t="shared" si="53"/>
        <v>31</v>
      </c>
      <c r="CG121">
        <v>21</v>
      </c>
      <c r="CH121">
        <v>1</v>
      </c>
      <c r="CI121">
        <v>0.5</v>
      </c>
      <c r="CJ121">
        <v>0</v>
      </c>
      <c r="CK121">
        <v>559.4</v>
      </c>
      <c r="CL121">
        <v>0</v>
      </c>
      <c r="CM121">
        <v>497.39999999999992</v>
      </c>
      <c r="CN121">
        <v>0</v>
      </c>
      <c r="CO121">
        <v>435.39999999999992</v>
      </c>
      <c r="CP121">
        <v>0</v>
      </c>
      <c r="CQ121">
        <v>373.4</v>
      </c>
      <c r="CR121">
        <v>0</v>
      </c>
      <c r="CS121">
        <v>311.40000000000003</v>
      </c>
      <c r="CT121">
        <v>0</v>
      </c>
      <c r="CU121">
        <v>249.40000000000009</v>
      </c>
      <c r="CV121">
        <v>0</v>
      </c>
      <c r="CW121">
        <v>190.50000000000006</v>
      </c>
      <c r="CX121">
        <v>3.0999999999999996</v>
      </c>
      <c r="CY121" s="80">
        <f t="shared" si="82"/>
        <v>23.093411120384445</v>
      </c>
      <c r="CZ121" s="78">
        <f t="shared" si="83"/>
        <v>85.311682348806343</v>
      </c>
      <c r="DA121" s="5">
        <f t="shared" si="84"/>
        <v>2373.8308639118859</v>
      </c>
      <c r="DB121" s="5">
        <f t="shared" si="85"/>
        <v>56978.775368221926</v>
      </c>
      <c r="DC121" s="5">
        <f t="shared" si="86"/>
        <v>272877.38988402195</v>
      </c>
      <c r="DD121">
        <f t="shared" si="87"/>
        <v>1608.0789723274065</v>
      </c>
      <c r="DE121">
        <f t="shared" si="88"/>
        <v>38598.52524944066</v>
      </c>
      <c r="DF121">
        <f t="shared" si="89"/>
        <v>184852.4254053052</v>
      </c>
      <c r="DG121" s="19">
        <v>33174</v>
      </c>
      <c r="DH121" s="19">
        <v>3447</v>
      </c>
      <c r="DI121" s="19">
        <v>377</v>
      </c>
      <c r="DJ121" s="19">
        <v>9</v>
      </c>
      <c r="DK121" s="19">
        <v>4</v>
      </c>
      <c r="DP121" s="5"/>
      <c r="DQ121" s="5"/>
      <c r="DR121" s="5"/>
      <c r="DS121" s="5"/>
      <c r="DT121" s="5"/>
      <c r="DU121" s="222"/>
      <c r="DV121" s="222"/>
      <c r="DW121" s="222"/>
      <c r="DX121" s="222"/>
      <c r="DY121" s="5"/>
    </row>
    <row r="122" spans="1:136">
      <c r="A122" s="3">
        <v>44562</v>
      </c>
      <c r="B122">
        <f t="shared" ref="B122:B133" si="105">YEAR(A122)</f>
        <v>2022</v>
      </c>
      <c r="C122" s="2">
        <v>87349264</v>
      </c>
      <c r="D122" s="2">
        <v>24995047</v>
      </c>
      <c r="E122" s="2">
        <f>VLOOKUP('Monthly Data'!B122,'Historic CDM'!$B$111:$J$122,2,FALSE)/12</f>
        <v>1300191.9931997459</v>
      </c>
      <c r="F122" s="2">
        <f>D122+E122</f>
        <v>26295238.993199747</v>
      </c>
      <c r="G122" s="2">
        <v>33176</v>
      </c>
      <c r="H122" s="2">
        <v>9594072</v>
      </c>
      <c r="I122" s="2">
        <f>VLOOKUP('Monthly Data'!B122,'Historic CDM'!$B$111:$J$122,3,FALSE)/12</f>
        <v>491076.48745503003</v>
      </c>
      <c r="J122" s="2">
        <f>H122+I122</f>
        <v>10085148.487455031</v>
      </c>
      <c r="K122" s="2">
        <v>3432</v>
      </c>
      <c r="L122" s="2">
        <v>17682182</v>
      </c>
      <c r="M122" s="2">
        <f>VLOOKUP('Monthly Data'!B122,'Historic CDM'!$B$111:$J$122,4,FALSE)/12+VLOOKUP('Monthly Data'!B122,'Historic CDM'!$N$111:$V$122,4,FALSE)/12</f>
        <v>3049373.0611928194</v>
      </c>
      <c r="N122" s="2">
        <f t="shared" si="73"/>
        <v>20731555.061192818</v>
      </c>
      <c r="O122" s="2">
        <v>43999</v>
      </c>
      <c r="P122" s="2">
        <v>380</v>
      </c>
      <c r="Q122" s="2">
        <v>9477378</v>
      </c>
      <c r="R122" s="2">
        <f>VLOOKUP('Monthly Data'!B122,'Historic CDM'!$B$111:$J$122,5,FALSE)/12+VLOOKUP('Monthly Data'!B122,'Historic CDM'!$N$111:$V$122,5,FALSE)/12</f>
        <v>402330.53195663146</v>
      </c>
      <c r="S122" s="2">
        <f t="shared" si="44"/>
        <v>9879708.5319566317</v>
      </c>
      <c r="T122" s="2">
        <v>18215</v>
      </c>
      <c r="U122" s="2">
        <v>8</v>
      </c>
      <c r="V122" s="2">
        <v>22365102</v>
      </c>
      <c r="W122" s="2">
        <f>VLOOKUP('Monthly Data'!B122,'Historic CDM'!$B$111:$J$122,9,FALSE)/12+VLOOKUP('Monthly Data'!B122,'Historic CDM'!$N$111:$V$122,9,FALSE)/12</f>
        <v>288636.07476014842</v>
      </c>
      <c r="X122" s="2">
        <f t="shared" si="41"/>
        <v>22653738.07476015</v>
      </c>
      <c r="Y122" s="2">
        <v>34353</v>
      </c>
      <c r="Z122" s="2">
        <v>4</v>
      </c>
      <c r="AA122" s="2">
        <v>329712</v>
      </c>
      <c r="AB122" s="2">
        <v>731</v>
      </c>
      <c r="AC122" s="2">
        <v>10165</v>
      </c>
      <c r="AD122" s="2">
        <v>36640</v>
      </c>
      <c r="AE122" s="2">
        <v>98</v>
      </c>
      <c r="AF122" s="2">
        <v>366</v>
      </c>
      <c r="AG122" s="2">
        <v>184015</v>
      </c>
      <c r="AH122" s="2">
        <v>239</v>
      </c>
      <c r="AI122">
        <f>Weather!C278</f>
        <v>835.79999999999984</v>
      </c>
      <c r="AJ122">
        <f>Weather!D278</f>
        <v>0</v>
      </c>
      <c r="AK122">
        <f>Weather!E278</f>
        <v>773.79999999999984</v>
      </c>
      <c r="AL122">
        <f>Weather!F278</f>
        <v>0</v>
      </c>
      <c r="AM122">
        <f>Weather!G278</f>
        <v>711.8</v>
      </c>
      <c r="AN122">
        <f>Weather!H278</f>
        <v>0</v>
      </c>
      <c r="AO122">
        <f>Weather!I278</f>
        <v>649.79999999999984</v>
      </c>
      <c r="AP122">
        <f>Weather!J278</f>
        <v>0</v>
      </c>
      <c r="AQ122">
        <f>Weather!K278</f>
        <v>587.79999999999973</v>
      </c>
      <c r="AR122">
        <f>Weather!L278</f>
        <v>0</v>
      </c>
      <c r="AS122">
        <f>Weather!M278</f>
        <v>525.79999999999995</v>
      </c>
      <c r="AT122">
        <f>Weather!N278</f>
        <v>0</v>
      </c>
      <c r="AU122">
        <f>Weather!O278</f>
        <v>463.79999999999995</v>
      </c>
      <c r="AV122">
        <f>Weather!P278</f>
        <v>0</v>
      </c>
      <c r="AW122" s="7">
        <f>Weather!Q278</f>
        <v>-6.9612903225806457</v>
      </c>
      <c r="AX122" s="5">
        <f>'Economic Variables'!D232</f>
        <v>7620</v>
      </c>
      <c r="AY122" s="5">
        <f>'Economic Variables'!E232</f>
        <v>7595.1</v>
      </c>
      <c r="AZ122" s="5">
        <f>'Economic Variables'!F232</f>
        <v>294.8</v>
      </c>
      <c r="BA122" s="5">
        <f>'Economic Variables'!G232</f>
        <v>292.3</v>
      </c>
      <c r="BB122" s="79">
        <f>'Economic Variables'!H232</f>
        <v>779801.23920000007</v>
      </c>
      <c r="BC122" s="5">
        <f>'Economic Variables'!I232</f>
        <v>9815.3440499999997</v>
      </c>
      <c r="BD122" s="5">
        <f>'Economic Variables'!J232</f>
        <v>9144.4175999999989</v>
      </c>
      <c r="BE122" s="5">
        <f>'Economic Variables'!K232</f>
        <v>459.48045000000002</v>
      </c>
      <c r="BF122" s="5">
        <f>'Economic Variables'!L232</f>
        <v>6508.7017500000002</v>
      </c>
      <c r="BG122" s="5">
        <f>'Economic Variables'!M232</f>
        <v>266.89875000000001</v>
      </c>
      <c r="BH122" s="5">
        <f>'Economic Variables'!N232</f>
        <v>1135.07115</v>
      </c>
      <c r="BI122" s="5">
        <f t="shared" ref="BI122:BI133" si="106">BC122+BF122</f>
        <v>16324.0458</v>
      </c>
      <c r="BJ122" s="5">
        <f>'Economic Variables'!P232</f>
        <v>775472</v>
      </c>
      <c r="BK122" s="5">
        <f>'Economic Variables'!Q232</f>
        <v>10700</v>
      </c>
      <c r="BL122" s="5">
        <f>'Economic Variables'!R232</f>
        <v>5836</v>
      </c>
      <c r="BM122" s="5">
        <f>'Economic Variables'!S232</f>
        <v>3528</v>
      </c>
      <c r="BN122" s="5">
        <f t="shared" si="90"/>
        <v>121</v>
      </c>
      <c r="BO122" s="80">
        <f t="shared" ref="BO122:BO133" si="107">LOG(BN122)</f>
        <v>2.0827853703164503</v>
      </c>
      <c r="BP122" s="5">
        <f t="shared" ref="BP122:BP133" si="108">BN122^2</f>
        <v>14641</v>
      </c>
      <c r="BQ122">
        <f t="shared" ref="BQ122:CE122" si="109">BQ110</f>
        <v>1</v>
      </c>
      <c r="BR122">
        <f t="shared" si="109"/>
        <v>0</v>
      </c>
      <c r="BS122">
        <f t="shared" si="109"/>
        <v>0</v>
      </c>
      <c r="BT122">
        <f t="shared" si="109"/>
        <v>0</v>
      </c>
      <c r="BU122">
        <f t="shared" si="109"/>
        <v>0</v>
      </c>
      <c r="BV122">
        <f t="shared" si="109"/>
        <v>0</v>
      </c>
      <c r="BW122">
        <f t="shared" si="109"/>
        <v>0</v>
      </c>
      <c r="BX122">
        <f t="shared" si="109"/>
        <v>0</v>
      </c>
      <c r="BY122">
        <f t="shared" si="109"/>
        <v>0</v>
      </c>
      <c r="BZ122">
        <f t="shared" si="109"/>
        <v>0</v>
      </c>
      <c r="CA122">
        <f t="shared" si="109"/>
        <v>0</v>
      </c>
      <c r="CB122">
        <f t="shared" si="109"/>
        <v>0</v>
      </c>
      <c r="CC122">
        <f t="shared" si="109"/>
        <v>0</v>
      </c>
      <c r="CD122">
        <f t="shared" si="109"/>
        <v>0</v>
      </c>
      <c r="CE122">
        <f t="shared" si="109"/>
        <v>0</v>
      </c>
      <c r="CF122">
        <f t="shared" si="53"/>
        <v>31</v>
      </c>
      <c r="CG122">
        <v>20</v>
      </c>
      <c r="CH122">
        <v>0.5</v>
      </c>
      <c r="CI122">
        <f>CH122*0.5</f>
        <v>0.25</v>
      </c>
      <c r="CJ122">
        <v>0</v>
      </c>
      <c r="CK122">
        <f>$CH$122*AI122</f>
        <v>417.89999999999992</v>
      </c>
      <c r="CL122">
        <f t="shared" ref="CL122:CX133" si="110">$CH$122*AJ122</f>
        <v>0</v>
      </c>
      <c r="CM122">
        <f t="shared" si="110"/>
        <v>386.89999999999992</v>
      </c>
      <c r="CN122">
        <f t="shared" si="110"/>
        <v>0</v>
      </c>
      <c r="CO122">
        <f t="shared" si="110"/>
        <v>355.9</v>
      </c>
      <c r="CP122">
        <f t="shared" si="110"/>
        <v>0</v>
      </c>
      <c r="CQ122">
        <f t="shared" si="110"/>
        <v>324.89999999999992</v>
      </c>
      <c r="CR122">
        <f t="shared" si="110"/>
        <v>0</v>
      </c>
      <c r="CS122">
        <f t="shared" si="110"/>
        <v>293.89999999999986</v>
      </c>
      <c r="CT122">
        <f t="shared" si="110"/>
        <v>0</v>
      </c>
      <c r="CU122">
        <f t="shared" si="110"/>
        <v>262.89999999999998</v>
      </c>
      <c r="CV122">
        <f t="shared" si="110"/>
        <v>0</v>
      </c>
      <c r="CW122">
        <f t="shared" si="110"/>
        <v>231.89999999999998</v>
      </c>
      <c r="CX122">
        <f t="shared" si="110"/>
        <v>0</v>
      </c>
      <c r="CY122" s="80">
        <f t="shared" ref="CY122:CY133" si="111">F122/$CF122/G122</f>
        <v>25.567684950255281</v>
      </c>
      <c r="CZ122" s="78">
        <f t="shared" ref="CZ122:CZ133" si="112">J122/$CF122/K122</f>
        <v>94.792357390170608</v>
      </c>
      <c r="DA122" s="5">
        <f t="shared" ref="DA122:DA133" si="113">N122/$CG122/P122</f>
        <v>2727.836192262213</v>
      </c>
      <c r="DB122" s="5">
        <f t="shared" ref="DB122:DB133" si="114">S122/$CG122/U122</f>
        <v>61748.17832472895</v>
      </c>
      <c r="DC122" s="5">
        <f t="shared" ref="DC122:DC133" si="115">X122/$CG122/Z122</f>
        <v>283171.72593450185</v>
      </c>
      <c r="DD122">
        <f t="shared" ref="DD122:DD133" si="116">N122/$CF122/P122</f>
        <v>1759.8943175885245</v>
      </c>
      <c r="DE122">
        <f t="shared" ref="DE122:DE133" si="117">S122/$CF122/U122</f>
        <v>39837.534403050937</v>
      </c>
      <c r="DF122">
        <f t="shared" ref="DF122:DF133" si="118">X122/$CF122/Z122</f>
        <v>182691.43608677541</v>
      </c>
      <c r="DG122" s="19">
        <v>33176</v>
      </c>
      <c r="DH122" s="19">
        <v>3432</v>
      </c>
      <c r="DI122" s="19">
        <v>379</v>
      </c>
      <c r="DJ122" s="19">
        <v>9</v>
      </c>
      <c r="DK122" s="19">
        <v>4</v>
      </c>
      <c r="DM122" s="4"/>
      <c r="DQ122" s="6"/>
      <c r="DR122" s="6"/>
      <c r="DS122" s="6"/>
      <c r="DT122" s="6"/>
      <c r="DU122" s="6"/>
      <c r="DV122" s="6"/>
      <c r="DW122" s="6"/>
      <c r="DX122" s="6"/>
      <c r="DY122" s="6"/>
      <c r="EA122" s="4"/>
      <c r="EB122" s="19"/>
      <c r="EC122" s="19"/>
      <c r="EE122" s="19"/>
      <c r="EF122" s="19"/>
    </row>
    <row r="123" spans="1:136">
      <c r="A123" s="3">
        <v>44593</v>
      </c>
      <c r="B123">
        <f t="shared" si="105"/>
        <v>2022</v>
      </c>
      <c r="C123" s="2">
        <v>78042146</v>
      </c>
      <c r="D123" s="2">
        <v>21394157</v>
      </c>
      <c r="E123" s="2">
        <f>VLOOKUP('Monthly Data'!B123,'Historic CDM'!$B$111:$J$122,2,FALSE)/12</f>
        <v>1300191.9931997459</v>
      </c>
      <c r="F123" s="2">
        <f t="shared" ref="F123:F133" si="119">D123+E123</f>
        <v>22694348.993199747</v>
      </c>
      <c r="G123" s="2">
        <v>33216</v>
      </c>
      <c r="H123" s="2">
        <v>8647217</v>
      </c>
      <c r="I123" s="2">
        <f>VLOOKUP('Monthly Data'!B123,'Historic CDM'!$B$111:$J$122,3,FALSE)/12</f>
        <v>491076.48745503003</v>
      </c>
      <c r="J123" s="2">
        <f t="shared" ref="J123:J133" si="120">H123+I123</f>
        <v>9138293.4874550309</v>
      </c>
      <c r="K123" s="2">
        <v>3439</v>
      </c>
      <c r="L123" s="2">
        <v>16232434</v>
      </c>
      <c r="M123" s="2">
        <f>VLOOKUP('Monthly Data'!B123,'Historic CDM'!$B$111:$J$122,4,FALSE)/12+VLOOKUP('Monthly Data'!B123,'Historic CDM'!$N$111:$V$122,4,FALSE)/12</f>
        <v>3049373.0611928194</v>
      </c>
      <c r="N123" s="2">
        <f t="shared" si="73"/>
        <v>19281807.061192818</v>
      </c>
      <c r="O123" s="2">
        <v>43729</v>
      </c>
      <c r="P123" s="2">
        <v>379</v>
      </c>
      <c r="Q123" s="2">
        <v>8809212</v>
      </c>
      <c r="R123" s="2">
        <f>VLOOKUP('Monthly Data'!B123,'Historic CDM'!$B$111:$J$122,5,FALSE)/12+VLOOKUP('Monthly Data'!B123,'Historic CDM'!$N$111:$V$122,5,FALSE)/12</f>
        <v>402330.53195663146</v>
      </c>
      <c r="S123" s="2">
        <f t="shared" si="44"/>
        <v>9211542.5319566317</v>
      </c>
      <c r="T123" s="2">
        <v>18751</v>
      </c>
      <c r="U123" s="2">
        <v>8</v>
      </c>
      <c r="V123" s="2">
        <v>20023223</v>
      </c>
      <c r="W123" s="2">
        <f>VLOOKUP('Monthly Data'!B123,'Historic CDM'!$B$111:$J$122,9,FALSE)/12+VLOOKUP('Monthly Data'!B123,'Historic CDM'!$N$111:$V$122,9,FALSE)/12</f>
        <v>288636.07476014842</v>
      </c>
      <c r="X123" s="2">
        <f t="shared" si="41"/>
        <v>20311859.07476015</v>
      </c>
      <c r="Y123" s="2">
        <v>34251</v>
      </c>
      <c r="Z123" s="2">
        <v>4</v>
      </c>
      <c r="AA123" s="2">
        <v>275295</v>
      </c>
      <c r="AB123" s="2">
        <v>730</v>
      </c>
      <c r="AC123" s="2">
        <v>10163</v>
      </c>
      <c r="AD123" s="2">
        <v>32789</v>
      </c>
      <c r="AE123" s="2">
        <v>98</v>
      </c>
      <c r="AF123" s="2">
        <v>366</v>
      </c>
      <c r="AG123" s="2">
        <v>167743</v>
      </c>
      <c r="AH123" s="2">
        <v>241</v>
      </c>
      <c r="AI123">
        <f>Weather!C279</f>
        <v>662.6</v>
      </c>
      <c r="AJ123">
        <f>Weather!D279</f>
        <v>0</v>
      </c>
      <c r="AK123">
        <f>Weather!E279</f>
        <v>606.6</v>
      </c>
      <c r="AL123">
        <f>Weather!F279</f>
        <v>0</v>
      </c>
      <c r="AM123">
        <f>Weather!G279</f>
        <v>550.6</v>
      </c>
      <c r="AN123">
        <f>Weather!H279</f>
        <v>0</v>
      </c>
      <c r="AO123">
        <f>Weather!I279</f>
        <v>494.60000000000008</v>
      </c>
      <c r="AP123">
        <f>Weather!J279</f>
        <v>0</v>
      </c>
      <c r="AQ123">
        <f>Weather!K279</f>
        <v>438.60000000000008</v>
      </c>
      <c r="AR123">
        <f>Weather!L279</f>
        <v>0</v>
      </c>
      <c r="AS123">
        <f>Weather!M279</f>
        <v>382.6</v>
      </c>
      <c r="AT123">
        <f>Weather!N279</f>
        <v>0</v>
      </c>
      <c r="AU123">
        <f>Weather!O279</f>
        <v>326.60000000000008</v>
      </c>
      <c r="AV123">
        <f>Weather!P279</f>
        <v>0</v>
      </c>
      <c r="AW123" s="7">
        <f>Weather!Q279</f>
        <v>-3.6642857142857137</v>
      </c>
      <c r="AX123" s="5">
        <f>'Economic Variables'!D233</f>
        <v>7649</v>
      </c>
      <c r="AY123" s="5">
        <f>'Economic Variables'!E233</f>
        <v>7588.8</v>
      </c>
      <c r="AZ123" s="5">
        <f>'Economic Variables'!F233</f>
        <v>295.2</v>
      </c>
      <c r="BA123" s="5">
        <f>'Economic Variables'!G233</f>
        <v>293</v>
      </c>
      <c r="BB123" s="79">
        <f>'Economic Variables'!H233</f>
        <v>779801.23920000007</v>
      </c>
      <c r="BC123" s="5">
        <f>'Economic Variables'!I233</f>
        <v>9815.3440499999997</v>
      </c>
      <c r="BD123" s="5">
        <f>'Economic Variables'!J233</f>
        <v>9144.4175999999989</v>
      </c>
      <c r="BE123" s="5">
        <f>'Economic Variables'!K233</f>
        <v>459.48045000000002</v>
      </c>
      <c r="BF123" s="5">
        <f>'Economic Variables'!L233</f>
        <v>6508.7017500000002</v>
      </c>
      <c r="BG123" s="5">
        <f>'Economic Variables'!M233</f>
        <v>266.89875000000001</v>
      </c>
      <c r="BH123" s="5">
        <f>'Economic Variables'!N233</f>
        <v>1135.07115</v>
      </c>
      <c r="BI123" s="5">
        <f t="shared" si="106"/>
        <v>16324.0458</v>
      </c>
      <c r="BJ123" s="5">
        <f>'Economic Variables'!P233</f>
        <v>775472</v>
      </c>
      <c r="BK123" s="5">
        <f>'Economic Variables'!Q233</f>
        <v>10700</v>
      </c>
      <c r="BL123" s="5">
        <f>'Economic Variables'!R233</f>
        <v>5836</v>
      </c>
      <c r="BM123" s="5">
        <f>'Economic Variables'!S233</f>
        <v>3528</v>
      </c>
      <c r="BN123" s="5">
        <f t="shared" si="90"/>
        <v>122</v>
      </c>
      <c r="BO123" s="80">
        <f t="shared" si="107"/>
        <v>2.0863598306747484</v>
      </c>
      <c r="BP123" s="5">
        <f t="shared" si="108"/>
        <v>14884</v>
      </c>
      <c r="BQ123">
        <f t="shared" ref="BQ123:CE123" si="121">BQ111</f>
        <v>0</v>
      </c>
      <c r="BR123">
        <f t="shared" si="121"/>
        <v>1</v>
      </c>
      <c r="BS123">
        <f t="shared" si="121"/>
        <v>0</v>
      </c>
      <c r="BT123">
        <f t="shared" si="121"/>
        <v>0</v>
      </c>
      <c r="BU123">
        <f t="shared" si="121"/>
        <v>0</v>
      </c>
      <c r="BV123">
        <f t="shared" si="121"/>
        <v>0</v>
      </c>
      <c r="BW123">
        <f t="shared" si="121"/>
        <v>0</v>
      </c>
      <c r="BX123">
        <f t="shared" si="121"/>
        <v>0</v>
      </c>
      <c r="BY123">
        <f t="shared" si="121"/>
        <v>0</v>
      </c>
      <c r="BZ123">
        <f t="shared" si="121"/>
        <v>0</v>
      </c>
      <c r="CA123">
        <f t="shared" si="121"/>
        <v>0</v>
      </c>
      <c r="CB123">
        <f t="shared" si="121"/>
        <v>0</v>
      </c>
      <c r="CC123">
        <f t="shared" si="121"/>
        <v>0</v>
      </c>
      <c r="CD123">
        <f t="shared" si="121"/>
        <v>0</v>
      </c>
      <c r="CE123">
        <f t="shared" si="121"/>
        <v>0</v>
      </c>
      <c r="CF123">
        <f t="shared" si="53"/>
        <v>28</v>
      </c>
      <c r="CG123">
        <v>19</v>
      </c>
      <c r="CH123">
        <f t="shared" ref="CH123:CH133" si="122">CH122</f>
        <v>0.5</v>
      </c>
      <c r="CI123">
        <f>CI122</f>
        <v>0.25</v>
      </c>
      <c r="CJ123">
        <v>0</v>
      </c>
      <c r="CK123">
        <f t="shared" ref="CK123:CK133" si="123">$CH$122*AI123</f>
        <v>331.3</v>
      </c>
      <c r="CL123">
        <f t="shared" si="110"/>
        <v>0</v>
      </c>
      <c r="CM123">
        <f t="shared" si="110"/>
        <v>303.3</v>
      </c>
      <c r="CN123">
        <f t="shared" si="110"/>
        <v>0</v>
      </c>
      <c r="CO123">
        <f t="shared" si="110"/>
        <v>275.3</v>
      </c>
      <c r="CP123">
        <f t="shared" si="110"/>
        <v>0</v>
      </c>
      <c r="CQ123">
        <f t="shared" si="110"/>
        <v>247.30000000000004</v>
      </c>
      <c r="CR123">
        <f t="shared" si="110"/>
        <v>0</v>
      </c>
      <c r="CS123">
        <f t="shared" si="110"/>
        <v>219.30000000000004</v>
      </c>
      <c r="CT123">
        <f t="shared" si="110"/>
        <v>0</v>
      </c>
      <c r="CU123">
        <f t="shared" si="110"/>
        <v>191.3</v>
      </c>
      <c r="CV123">
        <f t="shared" si="110"/>
        <v>0</v>
      </c>
      <c r="CW123">
        <f t="shared" si="110"/>
        <v>163.30000000000004</v>
      </c>
      <c r="CX123">
        <f t="shared" si="110"/>
        <v>0</v>
      </c>
      <c r="CY123" s="80">
        <f t="shared" si="111"/>
        <v>24.401266378939308</v>
      </c>
      <c r="CZ123" s="78">
        <f t="shared" si="112"/>
        <v>94.901897223601452</v>
      </c>
      <c r="DA123" s="5">
        <f t="shared" si="113"/>
        <v>2677.6568617126536</v>
      </c>
      <c r="DB123" s="5">
        <f t="shared" si="114"/>
        <v>60602.253499714679</v>
      </c>
      <c r="DC123" s="5">
        <f t="shared" si="115"/>
        <v>267261.30361526512</v>
      </c>
      <c r="DD123">
        <f t="shared" si="116"/>
        <v>1816.9814418764433</v>
      </c>
      <c r="DE123">
        <f t="shared" si="117"/>
        <v>41122.957731949245</v>
      </c>
      <c r="DF123">
        <f t="shared" si="118"/>
        <v>181355.88459607278</v>
      </c>
      <c r="DG123" s="19">
        <v>33216</v>
      </c>
      <c r="DH123" s="19">
        <v>3439</v>
      </c>
      <c r="DI123" s="19">
        <v>378</v>
      </c>
      <c r="DJ123" s="19">
        <v>9</v>
      </c>
      <c r="DK123" s="19">
        <v>4</v>
      </c>
      <c r="DM123" s="4"/>
      <c r="DQ123" s="6"/>
      <c r="DR123" s="6"/>
      <c r="DS123" s="6"/>
      <c r="DT123" s="6"/>
      <c r="DU123" s="6"/>
      <c r="DV123" s="6"/>
      <c r="DW123" s="6"/>
      <c r="DX123" s="6"/>
      <c r="DY123" s="6"/>
      <c r="EA123" s="4"/>
      <c r="EB123" s="19"/>
      <c r="EC123" s="19"/>
      <c r="EE123" s="19"/>
      <c r="EF123" s="19"/>
    </row>
    <row r="124" spans="1:136">
      <c r="A124" s="3">
        <v>44621</v>
      </c>
      <c r="B124">
        <f t="shared" si="105"/>
        <v>2022</v>
      </c>
      <c r="C124" s="2">
        <v>82209261</v>
      </c>
      <c r="D124" s="2">
        <v>21053937</v>
      </c>
      <c r="E124" s="2">
        <f>VLOOKUP('Monthly Data'!B124,'Historic CDM'!$B$111:$J$122,2,FALSE)/12</f>
        <v>1300191.9931997459</v>
      </c>
      <c r="F124" s="2">
        <f t="shared" si="119"/>
        <v>22354128.993199747</v>
      </c>
      <c r="G124" s="2">
        <v>33220</v>
      </c>
      <c r="H124" s="2">
        <v>8841734</v>
      </c>
      <c r="I124" s="2">
        <f>VLOOKUP('Monthly Data'!B124,'Historic CDM'!$B$111:$J$122,3,FALSE)/12</f>
        <v>491076.48745503003</v>
      </c>
      <c r="J124" s="2">
        <f t="shared" si="120"/>
        <v>9332810.4874550309</v>
      </c>
      <c r="K124" s="2">
        <v>3441</v>
      </c>
      <c r="L124" s="2">
        <v>17101327</v>
      </c>
      <c r="M124" s="2">
        <f>VLOOKUP('Monthly Data'!B124,'Historic CDM'!$B$111:$J$122,4,FALSE)/12+VLOOKUP('Monthly Data'!B124,'Historic CDM'!$N$111:$V$122,4,FALSE)/12</f>
        <v>3049373.0611928194</v>
      </c>
      <c r="N124" s="2">
        <f t="shared" si="73"/>
        <v>20150700.061192818</v>
      </c>
      <c r="O124" s="2">
        <v>44069</v>
      </c>
      <c r="P124" s="2">
        <v>380</v>
      </c>
      <c r="Q124" s="2">
        <v>10035694</v>
      </c>
      <c r="R124" s="2">
        <f>VLOOKUP('Monthly Data'!B124,'Historic CDM'!$B$111:$J$122,5,FALSE)/12+VLOOKUP('Monthly Data'!B124,'Historic CDM'!$N$111:$V$122,5,FALSE)/12</f>
        <v>402330.53195663146</v>
      </c>
      <c r="S124" s="2">
        <f t="shared" si="44"/>
        <v>10438024.531956632</v>
      </c>
      <c r="T124" s="2">
        <v>17888</v>
      </c>
      <c r="U124" s="2">
        <v>8</v>
      </c>
      <c r="V124" s="2">
        <v>22264715</v>
      </c>
      <c r="W124" s="2">
        <f>VLOOKUP('Monthly Data'!B124,'Historic CDM'!$B$111:$J$122,9,FALSE)/12+VLOOKUP('Monthly Data'!B124,'Historic CDM'!$N$111:$V$122,9,FALSE)/12</f>
        <v>288636.07476014842</v>
      </c>
      <c r="X124" s="2">
        <f t="shared" si="41"/>
        <v>22553351.07476015</v>
      </c>
      <c r="Y124" s="2">
        <v>39007</v>
      </c>
      <c r="Z124" s="2">
        <v>4</v>
      </c>
      <c r="AA124" s="2">
        <v>272113</v>
      </c>
      <c r="AB124" s="2">
        <v>730</v>
      </c>
      <c r="AC124" s="2">
        <v>10163</v>
      </c>
      <c r="AD124" s="2">
        <v>36536</v>
      </c>
      <c r="AE124" s="2">
        <v>98</v>
      </c>
      <c r="AF124" s="2">
        <v>365</v>
      </c>
      <c r="AG124" s="2">
        <v>184340</v>
      </c>
      <c r="AH124" s="2">
        <v>237</v>
      </c>
      <c r="AI124">
        <f>Weather!C280</f>
        <v>568.30000000000007</v>
      </c>
      <c r="AJ124">
        <f>Weather!D280</f>
        <v>0</v>
      </c>
      <c r="AK124">
        <f>Weather!E280</f>
        <v>506.3</v>
      </c>
      <c r="AL124">
        <f>Weather!F280</f>
        <v>0</v>
      </c>
      <c r="AM124">
        <f>Weather!G280</f>
        <v>444.30000000000007</v>
      </c>
      <c r="AN124">
        <f>Weather!H280</f>
        <v>0</v>
      </c>
      <c r="AO124">
        <f>Weather!I280</f>
        <v>382.30000000000013</v>
      </c>
      <c r="AP124">
        <f>Weather!J280</f>
        <v>0</v>
      </c>
      <c r="AQ124">
        <f>Weather!K280</f>
        <v>320.40000000000009</v>
      </c>
      <c r="AR124">
        <f>Weather!L280</f>
        <v>9.9999999999999645E-2</v>
      </c>
      <c r="AS124">
        <f>Weather!M280</f>
        <v>260.40000000000009</v>
      </c>
      <c r="AT124">
        <f>Weather!N280</f>
        <v>2.0999999999999996</v>
      </c>
      <c r="AU124">
        <f>Weather!O280</f>
        <v>202.10000000000002</v>
      </c>
      <c r="AV124">
        <f>Weather!P280</f>
        <v>5.8000000000000007</v>
      </c>
      <c r="AW124" s="7">
        <f>Weather!Q280</f>
        <v>1.667741935483871</v>
      </c>
      <c r="AX124" s="5">
        <f>'Economic Variables'!D234</f>
        <v>7670</v>
      </c>
      <c r="AY124" s="5">
        <f>'Economic Variables'!E234</f>
        <v>7573.4</v>
      </c>
      <c r="AZ124" s="5">
        <f>'Economic Variables'!F234</f>
        <v>297.2</v>
      </c>
      <c r="BA124" s="5">
        <f>'Economic Variables'!G234</f>
        <v>294.8</v>
      </c>
      <c r="BB124" s="79">
        <f>'Economic Variables'!H234</f>
        <v>779801.23920000007</v>
      </c>
      <c r="BC124" s="5">
        <f>'Economic Variables'!I234</f>
        <v>9815.3440499999997</v>
      </c>
      <c r="BD124" s="5">
        <f>'Economic Variables'!J234</f>
        <v>9144.4175999999989</v>
      </c>
      <c r="BE124" s="5">
        <f>'Economic Variables'!K234</f>
        <v>459.48045000000002</v>
      </c>
      <c r="BF124" s="5">
        <f>'Economic Variables'!L234</f>
        <v>6508.7017500000002</v>
      </c>
      <c r="BG124" s="5">
        <f>'Economic Variables'!M234</f>
        <v>266.89875000000001</v>
      </c>
      <c r="BH124" s="5">
        <f>'Economic Variables'!N234</f>
        <v>1135.07115</v>
      </c>
      <c r="BI124" s="5">
        <f t="shared" si="106"/>
        <v>16324.0458</v>
      </c>
      <c r="BJ124" s="5">
        <f>'Economic Variables'!P234</f>
        <v>775472</v>
      </c>
      <c r="BK124" s="5">
        <f>'Economic Variables'!Q234</f>
        <v>10700</v>
      </c>
      <c r="BL124" s="5">
        <f>'Economic Variables'!R234</f>
        <v>5836</v>
      </c>
      <c r="BM124" s="5">
        <f>'Economic Variables'!S234</f>
        <v>3528</v>
      </c>
      <c r="BN124" s="5">
        <f t="shared" si="90"/>
        <v>123</v>
      </c>
      <c r="BO124" s="80">
        <f t="shared" si="107"/>
        <v>2.0899051114393981</v>
      </c>
      <c r="BP124" s="5">
        <f t="shared" si="108"/>
        <v>15129</v>
      </c>
      <c r="BQ124">
        <f t="shared" ref="BQ124:CE124" si="124">BQ112</f>
        <v>0</v>
      </c>
      <c r="BR124">
        <f t="shared" si="124"/>
        <v>0</v>
      </c>
      <c r="BS124">
        <f t="shared" si="124"/>
        <v>1</v>
      </c>
      <c r="BT124">
        <f t="shared" si="124"/>
        <v>0</v>
      </c>
      <c r="BU124">
        <f t="shared" si="124"/>
        <v>0</v>
      </c>
      <c r="BV124">
        <f t="shared" si="124"/>
        <v>0</v>
      </c>
      <c r="BW124">
        <f t="shared" si="124"/>
        <v>0</v>
      </c>
      <c r="BX124">
        <f t="shared" si="124"/>
        <v>0</v>
      </c>
      <c r="BY124">
        <f t="shared" si="124"/>
        <v>0</v>
      </c>
      <c r="BZ124">
        <f t="shared" si="124"/>
        <v>0</v>
      </c>
      <c r="CA124">
        <f t="shared" si="124"/>
        <v>0</v>
      </c>
      <c r="CB124">
        <f t="shared" si="124"/>
        <v>0</v>
      </c>
      <c r="CC124">
        <f t="shared" si="124"/>
        <v>1</v>
      </c>
      <c r="CD124">
        <f t="shared" si="124"/>
        <v>0</v>
      </c>
      <c r="CE124">
        <f t="shared" si="124"/>
        <v>1</v>
      </c>
      <c r="CF124">
        <f t="shared" si="53"/>
        <v>31</v>
      </c>
      <c r="CG124">
        <v>23</v>
      </c>
      <c r="CH124">
        <f t="shared" si="122"/>
        <v>0.5</v>
      </c>
      <c r="CI124">
        <f t="shared" ref="CI124:CI133" si="125">CI123</f>
        <v>0.25</v>
      </c>
      <c r="CJ124">
        <v>0</v>
      </c>
      <c r="CK124">
        <f t="shared" si="123"/>
        <v>284.15000000000003</v>
      </c>
      <c r="CL124">
        <f t="shared" si="110"/>
        <v>0</v>
      </c>
      <c r="CM124">
        <f t="shared" si="110"/>
        <v>253.15</v>
      </c>
      <c r="CN124">
        <f t="shared" si="110"/>
        <v>0</v>
      </c>
      <c r="CO124">
        <f t="shared" si="110"/>
        <v>222.15000000000003</v>
      </c>
      <c r="CP124">
        <f t="shared" si="110"/>
        <v>0</v>
      </c>
      <c r="CQ124">
        <f t="shared" si="110"/>
        <v>191.15000000000006</v>
      </c>
      <c r="CR124">
        <f t="shared" si="110"/>
        <v>0</v>
      </c>
      <c r="CS124">
        <f t="shared" si="110"/>
        <v>160.20000000000005</v>
      </c>
      <c r="CT124">
        <f t="shared" si="110"/>
        <v>4.9999999999999822E-2</v>
      </c>
      <c r="CU124">
        <f t="shared" si="110"/>
        <v>130.20000000000005</v>
      </c>
      <c r="CV124">
        <f t="shared" si="110"/>
        <v>1.0499999999999998</v>
      </c>
      <c r="CW124">
        <f t="shared" si="110"/>
        <v>101.05000000000001</v>
      </c>
      <c r="CX124">
        <f t="shared" si="110"/>
        <v>2.9000000000000004</v>
      </c>
      <c r="CY124" s="80">
        <f t="shared" si="111"/>
        <v>21.706831284301867</v>
      </c>
      <c r="CZ124" s="78">
        <f t="shared" si="112"/>
        <v>87.491543975916883</v>
      </c>
      <c r="DA124" s="5">
        <f t="shared" si="113"/>
        <v>2305.5720893813295</v>
      </c>
      <c r="DB124" s="5">
        <f t="shared" si="114"/>
        <v>56728.394195416477</v>
      </c>
      <c r="DC124" s="5">
        <f t="shared" si="115"/>
        <v>245145.12037782773</v>
      </c>
      <c r="DD124">
        <f t="shared" si="116"/>
        <v>1710.5857437345346</v>
      </c>
      <c r="DE124">
        <f t="shared" si="117"/>
        <v>42088.808596599323</v>
      </c>
      <c r="DF124">
        <f t="shared" si="118"/>
        <v>181881.86350613023</v>
      </c>
      <c r="DG124" s="19">
        <v>33220</v>
      </c>
      <c r="DH124" s="19">
        <v>3441</v>
      </c>
      <c r="DI124" s="19">
        <v>379</v>
      </c>
      <c r="DJ124" s="19">
        <v>9</v>
      </c>
      <c r="DK124" s="19">
        <v>4</v>
      </c>
      <c r="DM124" s="4"/>
      <c r="DQ124" s="6"/>
      <c r="DR124" s="6"/>
      <c r="DS124" s="6"/>
      <c r="DT124" s="6"/>
      <c r="DU124" s="6"/>
      <c r="DV124" s="6"/>
      <c r="DW124" s="6"/>
      <c r="DX124" s="6"/>
      <c r="DY124" s="6"/>
      <c r="EA124" s="4"/>
      <c r="EB124" s="19"/>
      <c r="EC124" s="19"/>
      <c r="EE124" s="19"/>
      <c r="EF124" s="19"/>
    </row>
    <row r="125" spans="1:136">
      <c r="A125" s="3">
        <v>44652</v>
      </c>
      <c r="B125">
        <f t="shared" si="105"/>
        <v>2022</v>
      </c>
      <c r="C125" s="2">
        <v>70049924</v>
      </c>
      <c r="D125" s="2">
        <v>18543370</v>
      </c>
      <c r="E125" s="2">
        <f>VLOOKUP('Monthly Data'!B125,'Historic CDM'!$B$111:$J$122,2,FALSE)/12</f>
        <v>1300191.9931997459</v>
      </c>
      <c r="F125" s="2">
        <f t="shared" si="119"/>
        <v>19843561.993199747</v>
      </c>
      <c r="G125" s="2">
        <v>33245</v>
      </c>
      <c r="H125" s="2">
        <v>7857886</v>
      </c>
      <c r="I125" s="2">
        <f>VLOOKUP('Monthly Data'!B125,'Historic CDM'!$B$111:$J$122,3,FALSE)/12</f>
        <v>491076.48745503003</v>
      </c>
      <c r="J125" s="2">
        <f t="shared" si="120"/>
        <v>8348962.48745503</v>
      </c>
      <c r="K125" s="2">
        <v>3463</v>
      </c>
      <c r="L125" s="2">
        <v>14587759</v>
      </c>
      <c r="M125" s="2">
        <f>VLOOKUP('Monthly Data'!B125,'Historic CDM'!$B$111:$J$122,4,FALSE)/12+VLOOKUP('Monthly Data'!B125,'Historic CDM'!$N$111:$V$122,4,FALSE)/12</f>
        <v>3049373.0611928194</v>
      </c>
      <c r="N125" s="2">
        <f t="shared" ref="N125:N133" si="126">L125+M125</f>
        <v>17637132.061192818</v>
      </c>
      <c r="O125" s="2">
        <v>42538</v>
      </c>
      <c r="P125" s="2">
        <v>369</v>
      </c>
      <c r="Q125" s="2">
        <v>9648049</v>
      </c>
      <c r="R125" s="2">
        <f>VLOOKUP('Monthly Data'!B125,'Historic CDM'!$B$111:$J$122,5,FALSE)/12+VLOOKUP('Monthly Data'!B125,'Historic CDM'!$N$111:$V$122,5,FALSE)/12</f>
        <v>402330.53195663146</v>
      </c>
      <c r="S125" s="2">
        <f t="shared" si="44"/>
        <v>10050379.531956632</v>
      </c>
      <c r="T125" s="2">
        <v>18897</v>
      </c>
      <c r="U125" s="2">
        <v>8</v>
      </c>
      <c r="V125" s="2">
        <v>16733943</v>
      </c>
      <c r="W125" s="2">
        <f>VLOOKUP('Monthly Data'!B125,'Historic CDM'!$B$111:$J$122,9,FALSE)/12+VLOOKUP('Monthly Data'!B125,'Historic CDM'!$N$111:$V$122,9,FALSE)/12</f>
        <v>288636.07476014842</v>
      </c>
      <c r="X125" s="2">
        <f t="shared" si="41"/>
        <v>17022579.07476015</v>
      </c>
      <c r="Y125" s="2">
        <v>32063</v>
      </c>
      <c r="Z125" s="2">
        <v>4</v>
      </c>
      <c r="AA125" s="2">
        <v>230596</v>
      </c>
      <c r="AB125" s="2">
        <v>730</v>
      </c>
      <c r="AC125" s="2">
        <v>10163</v>
      </c>
      <c r="AD125" s="2">
        <v>35282</v>
      </c>
      <c r="AE125" s="2">
        <v>98</v>
      </c>
      <c r="AF125" s="2">
        <v>365</v>
      </c>
      <c r="AG125" s="2">
        <v>178083</v>
      </c>
      <c r="AH125" s="2">
        <v>236</v>
      </c>
      <c r="AI125">
        <f>Weather!C281</f>
        <v>417.7999999999999</v>
      </c>
      <c r="AJ125">
        <f>Weather!D281</f>
        <v>0</v>
      </c>
      <c r="AK125">
        <f>Weather!E281</f>
        <v>358.89999999999986</v>
      </c>
      <c r="AL125">
        <f>Weather!F281</f>
        <v>1.1000000000000014</v>
      </c>
      <c r="AM125">
        <f>Weather!G281</f>
        <v>300.89999999999992</v>
      </c>
      <c r="AN125">
        <f>Weather!H281</f>
        <v>3.1000000000000014</v>
      </c>
      <c r="AO125">
        <f>Weather!I281</f>
        <v>246.29999999999995</v>
      </c>
      <c r="AP125">
        <f>Weather!J281</f>
        <v>8.5000000000000018</v>
      </c>
      <c r="AQ125">
        <f>Weather!K281</f>
        <v>192.79999999999998</v>
      </c>
      <c r="AR125">
        <f>Weather!L281</f>
        <v>15.000000000000002</v>
      </c>
      <c r="AS125">
        <f>Weather!M281</f>
        <v>144.79999999999998</v>
      </c>
      <c r="AT125">
        <f>Weather!N281</f>
        <v>27</v>
      </c>
      <c r="AU125">
        <f>Weather!O281</f>
        <v>101.10000000000001</v>
      </c>
      <c r="AV125">
        <f>Weather!P281</f>
        <v>43.300000000000004</v>
      </c>
      <c r="AW125" s="7">
        <f>Weather!Q281</f>
        <v>6.0733333333333341</v>
      </c>
      <c r="AX125" s="5">
        <f>'Economic Variables'!D235</f>
        <v>7750.7</v>
      </c>
      <c r="AY125" s="5">
        <f>'Economic Variables'!E235</f>
        <v>7670</v>
      </c>
      <c r="AZ125" s="5">
        <f>'Economic Variables'!F235</f>
        <v>298.60000000000002</v>
      </c>
      <c r="BA125" s="5">
        <f>'Economic Variables'!G235</f>
        <v>296.8</v>
      </c>
      <c r="BB125" s="79">
        <f>'Economic Variables'!H235</f>
        <v>779801.23920000007</v>
      </c>
      <c r="BC125" s="5">
        <f>'Economic Variables'!I235</f>
        <v>9815.3440499999997</v>
      </c>
      <c r="BD125" s="5">
        <f>'Economic Variables'!J235</f>
        <v>9144.4175999999989</v>
      </c>
      <c r="BE125" s="5">
        <f>'Economic Variables'!K235</f>
        <v>459.48045000000002</v>
      </c>
      <c r="BF125" s="5">
        <f>'Economic Variables'!L235</f>
        <v>6508.7017500000002</v>
      </c>
      <c r="BG125" s="5">
        <f>'Economic Variables'!M235</f>
        <v>266.89875000000001</v>
      </c>
      <c r="BH125" s="5">
        <f>'Economic Variables'!N235</f>
        <v>1135.07115</v>
      </c>
      <c r="BI125" s="5">
        <f t="shared" si="106"/>
        <v>16324.0458</v>
      </c>
      <c r="BJ125" s="5">
        <f>'Economic Variables'!P235</f>
        <v>781588</v>
      </c>
      <c r="BK125" s="5">
        <f>'Economic Variables'!Q235</f>
        <v>11160</v>
      </c>
      <c r="BL125" s="5">
        <f>'Economic Variables'!R235</f>
        <v>6110</v>
      </c>
      <c r="BM125" s="5">
        <f>'Economic Variables'!S235</f>
        <v>3466</v>
      </c>
      <c r="BN125" s="5">
        <f t="shared" si="90"/>
        <v>124</v>
      </c>
      <c r="BO125" s="80">
        <f t="shared" si="107"/>
        <v>2.0934216851622351</v>
      </c>
      <c r="BP125" s="5">
        <f t="shared" si="108"/>
        <v>15376</v>
      </c>
      <c r="BQ125">
        <f t="shared" ref="BQ125:CE125" si="127">BQ113</f>
        <v>0</v>
      </c>
      <c r="BR125">
        <f t="shared" si="127"/>
        <v>0</v>
      </c>
      <c r="BS125">
        <f t="shared" si="127"/>
        <v>0</v>
      </c>
      <c r="BT125">
        <f t="shared" si="127"/>
        <v>1</v>
      </c>
      <c r="BU125">
        <f t="shared" si="127"/>
        <v>0</v>
      </c>
      <c r="BV125">
        <f t="shared" si="127"/>
        <v>0</v>
      </c>
      <c r="BW125">
        <f t="shared" si="127"/>
        <v>0</v>
      </c>
      <c r="BX125">
        <f t="shared" si="127"/>
        <v>0</v>
      </c>
      <c r="BY125">
        <f t="shared" si="127"/>
        <v>0</v>
      </c>
      <c r="BZ125">
        <f t="shared" si="127"/>
        <v>0</v>
      </c>
      <c r="CA125">
        <f t="shared" si="127"/>
        <v>0</v>
      </c>
      <c r="CB125">
        <f t="shared" si="127"/>
        <v>0</v>
      </c>
      <c r="CC125">
        <f t="shared" si="127"/>
        <v>1</v>
      </c>
      <c r="CD125">
        <f t="shared" si="127"/>
        <v>0</v>
      </c>
      <c r="CE125">
        <f t="shared" si="127"/>
        <v>1</v>
      </c>
      <c r="CF125">
        <f t="shared" si="53"/>
        <v>30</v>
      </c>
      <c r="CG125">
        <v>20</v>
      </c>
      <c r="CH125">
        <f t="shared" si="122"/>
        <v>0.5</v>
      </c>
      <c r="CI125">
        <f t="shared" si="125"/>
        <v>0.25</v>
      </c>
      <c r="CJ125">
        <v>0</v>
      </c>
      <c r="CK125">
        <f t="shared" si="123"/>
        <v>208.89999999999995</v>
      </c>
      <c r="CL125">
        <f t="shared" si="110"/>
        <v>0</v>
      </c>
      <c r="CM125">
        <f t="shared" si="110"/>
        <v>179.44999999999993</v>
      </c>
      <c r="CN125">
        <f t="shared" si="110"/>
        <v>0.55000000000000071</v>
      </c>
      <c r="CO125">
        <f t="shared" si="110"/>
        <v>150.44999999999996</v>
      </c>
      <c r="CP125">
        <f t="shared" si="110"/>
        <v>1.5500000000000007</v>
      </c>
      <c r="CQ125">
        <f t="shared" si="110"/>
        <v>123.14999999999998</v>
      </c>
      <c r="CR125">
        <f t="shared" si="110"/>
        <v>4.2500000000000009</v>
      </c>
      <c r="CS125">
        <f t="shared" si="110"/>
        <v>96.399999999999991</v>
      </c>
      <c r="CT125">
        <f t="shared" si="110"/>
        <v>7.5000000000000009</v>
      </c>
      <c r="CU125">
        <f t="shared" si="110"/>
        <v>72.399999999999991</v>
      </c>
      <c r="CV125">
        <f t="shared" si="110"/>
        <v>13.5</v>
      </c>
      <c r="CW125">
        <f t="shared" si="110"/>
        <v>50.550000000000004</v>
      </c>
      <c r="CX125">
        <f t="shared" si="110"/>
        <v>21.650000000000002</v>
      </c>
      <c r="CY125" s="80">
        <f t="shared" si="111"/>
        <v>19.896287154158266</v>
      </c>
      <c r="CZ125" s="78">
        <f t="shared" si="112"/>
        <v>80.363485296515847</v>
      </c>
      <c r="DA125" s="5">
        <f t="shared" si="113"/>
        <v>2389.8552928445552</v>
      </c>
      <c r="DB125" s="5">
        <f t="shared" si="114"/>
        <v>62814.872074728948</v>
      </c>
      <c r="DC125" s="5">
        <f t="shared" si="115"/>
        <v>212782.23843450187</v>
      </c>
      <c r="DD125">
        <f t="shared" si="116"/>
        <v>1593.2368618963701</v>
      </c>
      <c r="DE125">
        <f t="shared" si="117"/>
        <v>41876.581383152632</v>
      </c>
      <c r="DF125">
        <f t="shared" si="118"/>
        <v>141854.82562300126</v>
      </c>
      <c r="DG125" s="19">
        <v>33245</v>
      </c>
      <c r="DH125" s="19">
        <v>3463</v>
      </c>
      <c r="DI125" s="19">
        <v>368</v>
      </c>
      <c r="DJ125" s="19">
        <v>9</v>
      </c>
      <c r="DK125" s="19">
        <v>4</v>
      </c>
      <c r="DM125" s="4"/>
      <c r="DQ125" s="6"/>
      <c r="DR125" s="6"/>
      <c r="DS125" s="6"/>
      <c r="DT125" s="6"/>
      <c r="DU125" s="6"/>
      <c r="DV125" s="6"/>
      <c r="DW125" s="6"/>
      <c r="DX125" s="6"/>
      <c r="DY125" s="6"/>
      <c r="EA125" s="4"/>
      <c r="EB125" s="19"/>
      <c r="EC125" s="19"/>
      <c r="EE125" s="19"/>
      <c r="EF125" s="19"/>
    </row>
    <row r="126" spans="1:136">
      <c r="A126" s="3">
        <v>44682</v>
      </c>
      <c r="B126">
        <f t="shared" si="105"/>
        <v>2022</v>
      </c>
      <c r="C126" s="2">
        <v>74371075</v>
      </c>
      <c r="D126" s="2">
        <v>20221753</v>
      </c>
      <c r="E126" s="2">
        <f>VLOOKUP('Monthly Data'!B126,'Historic CDM'!$B$111:$J$122,2,FALSE)/12</f>
        <v>1300191.9931997459</v>
      </c>
      <c r="F126" s="2">
        <f t="shared" si="119"/>
        <v>21521944.993199747</v>
      </c>
      <c r="G126" s="2">
        <v>33248</v>
      </c>
      <c r="H126" s="2">
        <v>8013615</v>
      </c>
      <c r="I126" s="2">
        <f>VLOOKUP('Monthly Data'!B126,'Historic CDM'!$B$111:$J$122,3,FALSE)/12</f>
        <v>491076.48745503003</v>
      </c>
      <c r="J126" s="2">
        <f t="shared" si="120"/>
        <v>8504691.4874550309</v>
      </c>
      <c r="K126" s="2">
        <v>3463</v>
      </c>
      <c r="L126" s="2">
        <v>14969675</v>
      </c>
      <c r="M126" s="2">
        <f>VLOOKUP('Monthly Data'!B126,'Historic CDM'!$B$111:$J$122,4,FALSE)/12+VLOOKUP('Monthly Data'!B126,'Historic CDM'!$N$111:$V$122,4,FALSE)/12</f>
        <v>3049373.0611928194</v>
      </c>
      <c r="N126" s="2">
        <f t="shared" si="126"/>
        <v>18019048.061192818</v>
      </c>
      <c r="O126" s="2">
        <v>46329</v>
      </c>
      <c r="P126" s="2">
        <v>369</v>
      </c>
      <c r="Q126" s="2">
        <v>9960011</v>
      </c>
      <c r="R126" s="2">
        <f>VLOOKUP('Monthly Data'!B126,'Historic CDM'!$B$111:$J$122,5,FALSE)/12+VLOOKUP('Monthly Data'!B126,'Historic CDM'!$N$111:$V$122,5,FALSE)/12</f>
        <v>402330.53195663146</v>
      </c>
      <c r="S126" s="2">
        <f t="shared" si="44"/>
        <v>10362341.531956632</v>
      </c>
      <c r="T126" s="2">
        <v>19087</v>
      </c>
      <c r="U126" s="2">
        <v>8</v>
      </c>
      <c r="V126" s="2">
        <v>18399177</v>
      </c>
      <c r="W126" s="2">
        <f>VLOOKUP('Monthly Data'!B126,'Historic CDM'!$B$111:$J$122,9,FALSE)/12+VLOOKUP('Monthly Data'!B126,'Historic CDM'!$N$111:$V$122,9,FALSE)/12</f>
        <v>288636.07476014842</v>
      </c>
      <c r="X126" s="2">
        <f t="shared" si="41"/>
        <v>18687813.07476015</v>
      </c>
      <c r="Y126" s="2">
        <v>30165</v>
      </c>
      <c r="Z126" s="2">
        <v>4</v>
      </c>
      <c r="AA126" s="2">
        <v>210207</v>
      </c>
      <c r="AB126" s="2">
        <v>730</v>
      </c>
      <c r="AC126" s="2">
        <v>10163</v>
      </c>
      <c r="AD126" s="2">
        <v>36458</v>
      </c>
      <c r="AE126" s="2">
        <v>98</v>
      </c>
      <c r="AF126" s="2">
        <v>365</v>
      </c>
      <c r="AG126" s="2">
        <v>184099</v>
      </c>
      <c r="AH126" s="2">
        <v>236</v>
      </c>
      <c r="AI126">
        <f>Weather!C282</f>
        <v>176</v>
      </c>
      <c r="AJ126">
        <f>Weather!D282</f>
        <v>15.899999999999999</v>
      </c>
      <c r="AK126">
        <f>Weather!E282</f>
        <v>132.80000000000001</v>
      </c>
      <c r="AL126">
        <f>Weather!F282</f>
        <v>34.700000000000003</v>
      </c>
      <c r="AM126">
        <f>Weather!G282</f>
        <v>93.399999999999991</v>
      </c>
      <c r="AN126">
        <f>Weather!H282</f>
        <v>57.3</v>
      </c>
      <c r="AO126">
        <f>Weather!I282</f>
        <v>59.300000000000011</v>
      </c>
      <c r="AP126">
        <f>Weather!J282</f>
        <v>85.200000000000017</v>
      </c>
      <c r="AQ126">
        <f>Weather!K282</f>
        <v>35.399999999999991</v>
      </c>
      <c r="AR126">
        <f>Weather!L282</f>
        <v>123.30000000000001</v>
      </c>
      <c r="AS126">
        <f>Weather!M282</f>
        <v>15.6</v>
      </c>
      <c r="AT126">
        <f>Weather!N282</f>
        <v>165.5</v>
      </c>
      <c r="AU126">
        <f>Weather!O282</f>
        <v>4.5</v>
      </c>
      <c r="AV126">
        <f>Weather!P282</f>
        <v>216.4</v>
      </c>
      <c r="AW126" s="7">
        <f>Weather!Q282</f>
        <v>14.835483870967742</v>
      </c>
      <c r="AX126" s="5">
        <f>'Economic Variables'!D236</f>
        <v>7765</v>
      </c>
      <c r="AY126" s="5">
        <f>'Economic Variables'!E236</f>
        <v>7738.6</v>
      </c>
      <c r="AZ126" s="5">
        <f>'Economic Variables'!F236</f>
        <v>298.5</v>
      </c>
      <c r="BA126" s="5">
        <f>'Economic Variables'!G236</f>
        <v>299.2</v>
      </c>
      <c r="BB126" s="79">
        <f>'Economic Variables'!H236</f>
        <v>779801.23920000007</v>
      </c>
      <c r="BC126" s="5">
        <f>'Economic Variables'!I236</f>
        <v>9815.3440499999997</v>
      </c>
      <c r="BD126" s="5">
        <f>'Economic Variables'!J236</f>
        <v>9144.4175999999989</v>
      </c>
      <c r="BE126" s="5">
        <f>'Economic Variables'!K236</f>
        <v>459.48045000000002</v>
      </c>
      <c r="BF126" s="5">
        <f>'Economic Variables'!L236</f>
        <v>6508.7017500000002</v>
      </c>
      <c r="BG126" s="5">
        <f>'Economic Variables'!M236</f>
        <v>266.89875000000001</v>
      </c>
      <c r="BH126" s="5">
        <f>'Economic Variables'!N236</f>
        <v>1135.07115</v>
      </c>
      <c r="BI126" s="5">
        <f t="shared" si="106"/>
        <v>16324.0458</v>
      </c>
      <c r="BJ126" s="5">
        <f>'Economic Variables'!P236</f>
        <v>781588</v>
      </c>
      <c r="BK126" s="5">
        <f>'Economic Variables'!Q236</f>
        <v>11160</v>
      </c>
      <c r="BL126" s="5">
        <f>'Economic Variables'!R236</f>
        <v>6110</v>
      </c>
      <c r="BM126" s="5">
        <f>'Economic Variables'!S236</f>
        <v>3466</v>
      </c>
      <c r="BN126" s="5">
        <f t="shared" si="90"/>
        <v>125</v>
      </c>
      <c r="BO126" s="80">
        <f t="shared" si="107"/>
        <v>2.0969100130080562</v>
      </c>
      <c r="BP126" s="5">
        <f t="shared" si="108"/>
        <v>15625</v>
      </c>
      <c r="BQ126">
        <f t="shared" ref="BQ126:CE126" si="128">BQ114</f>
        <v>0</v>
      </c>
      <c r="BR126">
        <f t="shared" si="128"/>
        <v>0</v>
      </c>
      <c r="BS126">
        <f t="shared" si="128"/>
        <v>0</v>
      </c>
      <c r="BT126">
        <f t="shared" si="128"/>
        <v>0</v>
      </c>
      <c r="BU126">
        <f t="shared" si="128"/>
        <v>1</v>
      </c>
      <c r="BV126">
        <f t="shared" si="128"/>
        <v>0</v>
      </c>
      <c r="BW126">
        <f t="shared" si="128"/>
        <v>0</v>
      </c>
      <c r="BX126">
        <f t="shared" si="128"/>
        <v>0</v>
      </c>
      <c r="BY126">
        <f t="shared" si="128"/>
        <v>0</v>
      </c>
      <c r="BZ126">
        <f t="shared" si="128"/>
        <v>0</v>
      </c>
      <c r="CA126">
        <f t="shared" si="128"/>
        <v>0</v>
      </c>
      <c r="CB126">
        <f t="shared" si="128"/>
        <v>0</v>
      </c>
      <c r="CC126">
        <f t="shared" si="128"/>
        <v>1</v>
      </c>
      <c r="CD126">
        <f t="shared" si="128"/>
        <v>0</v>
      </c>
      <c r="CE126">
        <f t="shared" si="128"/>
        <v>1</v>
      </c>
      <c r="CF126">
        <f t="shared" si="53"/>
        <v>31</v>
      </c>
      <c r="CG126">
        <v>21</v>
      </c>
      <c r="CH126">
        <f t="shared" si="122"/>
        <v>0.5</v>
      </c>
      <c r="CI126">
        <f t="shared" si="125"/>
        <v>0.25</v>
      </c>
      <c r="CJ126">
        <v>0</v>
      </c>
      <c r="CK126">
        <f t="shared" si="123"/>
        <v>88</v>
      </c>
      <c r="CL126">
        <f t="shared" si="110"/>
        <v>7.9499999999999993</v>
      </c>
      <c r="CM126">
        <f t="shared" si="110"/>
        <v>66.400000000000006</v>
      </c>
      <c r="CN126">
        <f t="shared" si="110"/>
        <v>17.350000000000001</v>
      </c>
      <c r="CO126">
        <f t="shared" si="110"/>
        <v>46.699999999999996</v>
      </c>
      <c r="CP126">
        <f t="shared" si="110"/>
        <v>28.65</v>
      </c>
      <c r="CQ126">
        <f t="shared" si="110"/>
        <v>29.650000000000006</v>
      </c>
      <c r="CR126">
        <f t="shared" si="110"/>
        <v>42.600000000000009</v>
      </c>
      <c r="CS126">
        <f t="shared" si="110"/>
        <v>17.699999999999996</v>
      </c>
      <c r="CT126">
        <f t="shared" si="110"/>
        <v>61.650000000000006</v>
      </c>
      <c r="CU126">
        <f t="shared" si="110"/>
        <v>7.8</v>
      </c>
      <c r="CV126">
        <f t="shared" si="110"/>
        <v>82.75</v>
      </c>
      <c r="CW126">
        <f t="shared" si="110"/>
        <v>2.25</v>
      </c>
      <c r="CX126">
        <f t="shared" si="110"/>
        <v>108.2</v>
      </c>
      <c r="CY126" s="80">
        <f t="shared" si="111"/>
        <v>20.881144432844614</v>
      </c>
      <c r="CZ126" s="78">
        <f t="shared" si="112"/>
        <v>79.221740309586423</v>
      </c>
      <c r="DA126" s="5">
        <f t="shared" si="113"/>
        <v>2325.338503186581</v>
      </c>
      <c r="DB126" s="5">
        <f t="shared" si="114"/>
        <v>61680.604356884709</v>
      </c>
      <c r="DC126" s="5">
        <f t="shared" si="115"/>
        <v>222473.96517571606</v>
      </c>
      <c r="DD126">
        <f t="shared" si="116"/>
        <v>1575.2293086102645</v>
      </c>
      <c r="DE126">
        <f t="shared" si="117"/>
        <v>41783.63520950255</v>
      </c>
      <c r="DF126">
        <f t="shared" si="118"/>
        <v>150708.16995774314</v>
      </c>
      <c r="DG126" s="19">
        <v>33248</v>
      </c>
      <c r="DH126" s="19">
        <v>3463</v>
      </c>
      <c r="DI126" s="19">
        <v>368</v>
      </c>
      <c r="DJ126" s="19">
        <v>9</v>
      </c>
      <c r="DK126" s="19">
        <v>4</v>
      </c>
      <c r="DM126" s="4"/>
      <c r="DN126" s="4"/>
      <c r="DQ126" s="6"/>
      <c r="DR126" s="6"/>
      <c r="DS126" s="6"/>
      <c r="DT126" s="6"/>
      <c r="DU126" s="6"/>
      <c r="DV126" s="6"/>
      <c r="DW126" s="6"/>
      <c r="DX126" s="6"/>
      <c r="DY126" s="6"/>
      <c r="EA126" s="4"/>
      <c r="EB126" s="19"/>
      <c r="EC126" s="19"/>
      <c r="EE126" s="19"/>
      <c r="EF126" s="19"/>
    </row>
    <row r="127" spans="1:136">
      <c r="A127" s="3">
        <v>44713</v>
      </c>
      <c r="B127">
        <f t="shared" si="105"/>
        <v>2022</v>
      </c>
      <c r="C127" s="2">
        <v>82635218</v>
      </c>
      <c r="D127" s="2">
        <v>24250391</v>
      </c>
      <c r="E127" s="2">
        <f>VLOOKUP('Monthly Data'!B127,'Historic CDM'!$B$111:$J$122,2,FALSE)/12</f>
        <v>1300191.9931997459</v>
      </c>
      <c r="F127" s="2">
        <f t="shared" si="119"/>
        <v>25550582.993199747</v>
      </c>
      <c r="G127" s="2">
        <v>33240</v>
      </c>
      <c r="H127" s="2">
        <v>8707334</v>
      </c>
      <c r="I127" s="2">
        <f>VLOOKUP('Monthly Data'!B127,'Historic CDM'!$B$111:$J$122,3,FALSE)/12</f>
        <v>491076.48745503003</v>
      </c>
      <c r="J127" s="2">
        <f t="shared" si="120"/>
        <v>9198410.4874550309</v>
      </c>
      <c r="K127" s="2">
        <v>3463</v>
      </c>
      <c r="L127" s="2">
        <v>15587681</v>
      </c>
      <c r="M127" s="2">
        <f>VLOOKUP('Monthly Data'!B127,'Historic CDM'!$B$111:$J$122,4,FALSE)/12+VLOOKUP('Monthly Data'!B127,'Historic CDM'!$N$111:$V$122,4,FALSE)/12</f>
        <v>3049373.0611928194</v>
      </c>
      <c r="N127" s="2">
        <f t="shared" si="126"/>
        <v>18637054.061192818</v>
      </c>
      <c r="O127" s="2">
        <v>48774</v>
      </c>
      <c r="P127" s="2">
        <v>366</v>
      </c>
      <c r="Q127" s="2">
        <v>9882995</v>
      </c>
      <c r="R127" s="2">
        <f>VLOOKUP('Monthly Data'!B127,'Historic CDM'!$B$111:$J$122,5,FALSE)/12+VLOOKUP('Monthly Data'!B127,'Historic CDM'!$N$111:$V$122,5,FALSE)/12</f>
        <v>402330.53195663146</v>
      </c>
      <c r="S127" s="2">
        <f t="shared" si="44"/>
        <v>10285325.531956632</v>
      </c>
      <c r="T127" s="2">
        <v>20713</v>
      </c>
      <c r="U127" s="2">
        <v>8</v>
      </c>
      <c r="V127" s="2">
        <v>21163386</v>
      </c>
      <c r="W127" s="2">
        <f>VLOOKUP('Monthly Data'!B127,'Historic CDM'!$B$111:$J$122,9,FALSE)/12+VLOOKUP('Monthly Data'!B127,'Historic CDM'!$N$111:$V$122,9,FALSE)/12</f>
        <v>288636.07476014842</v>
      </c>
      <c r="X127" s="2">
        <f t="shared" si="41"/>
        <v>21452022.07476015</v>
      </c>
      <c r="Y127" s="2">
        <v>39075</v>
      </c>
      <c r="Z127" s="2">
        <v>4</v>
      </c>
      <c r="AA127" s="2">
        <v>183935</v>
      </c>
      <c r="AB127" s="2">
        <v>710</v>
      </c>
      <c r="AC127" s="2">
        <v>10165</v>
      </c>
      <c r="AD127" s="2">
        <v>35282</v>
      </c>
      <c r="AE127" s="2">
        <v>98</v>
      </c>
      <c r="AF127" s="2">
        <v>364</v>
      </c>
      <c r="AG127" s="2">
        <v>178160</v>
      </c>
      <c r="AH127" s="2">
        <v>236</v>
      </c>
      <c r="AI127">
        <f>Weather!C283</f>
        <v>73.2</v>
      </c>
      <c r="AJ127">
        <f>Weather!D283</f>
        <v>36</v>
      </c>
      <c r="AK127">
        <f>Weather!E283</f>
        <v>38.299999999999997</v>
      </c>
      <c r="AL127">
        <f>Weather!F283</f>
        <v>61.099999999999994</v>
      </c>
      <c r="AM127">
        <f>Weather!G283</f>
        <v>13.699999999999998</v>
      </c>
      <c r="AN127">
        <f>Weather!H283</f>
        <v>96.5</v>
      </c>
      <c r="AO127">
        <f>Weather!I283</f>
        <v>2.8999999999999986</v>
      </c>
      <c r="AP127">
        <f>Weather!J283</f>
        <v>145.69999999999999</v>
      </c>
      <c r="AQ127">
        <f>Weather!K283</f>
        <v>0.19999999999999929</v>
      </c>
      <c r="AR127">
        <f>Weather!L283</f>
        <v>203</v>
      </c>
      <c r="AS127">
        <f>Weather!M283</f>
        <v>0</v>
      </c>
      <c r="AT127">
        <f>Weather!N283</f>
        <v>262.80000000000007</v>
      </c>
      <c r="AU127">
        <f>Weather!O283</f>
        <v>0</v>
      </c>
      <c r="AV127">
        <f>Weather!P283</f>
        <v>322.8</v>
      </c>
      <c r="AW127" s="7">
        <f>Weather!Q283</f>
        <v>18.759999999999998</v>
      </c>
      <c r="AX127" s="5">
        <f>'Economic Variables'!D237</f>
        <v>7761.1</v>
      </c>
      <c r="AY127" s="5">
        <f>'Economic Variables'!E237</f>
        <v>7809.2</v>
      </c>
      <c r="AZ127" s="5">
        <f>'Economic Variables'!F237</f>
        <v>294.5</v>
      </c>
      <c r="BA127" s="5">
        <f>'Economic Variables'!G237</f>
        <v>298.5</v>
      </c>
      <c r="BB127" s="79">
        <f>'Economic Variables'!H237</f>
        <v>779801.23920000007</v>
      </c>
      <c r="BC127" s="5">
        <f>'Economic Variables'!I237</f>
        <v>9815.3440499999997</v>
      </c>
      <c r="BD127" s="5">
        <f>'Economic Variables'!J237</f>
        <v>9144.4175999999989</v>
      </c>
      <c r="BE127" s="5">
        <f>'Economic Variables'!K237</f>
        <v>459.48045000000002</v>
      </c>
      <c r="BF127" s="5">
        <f>'Economic Variables'!L237</f>
        <v>6508.7017500000002</v>
      </c>
      <c r="BG127" s="5">
        <f>'Economic Variables'!M237</f>
        <v>266.89875000000001</v>
      </c>
      <c r="BH127" s="5">
        <f>'Economic Variables'!N237</f>
        <v>1135.07115</v>
      </c>
      <c r="BI127" s="5">
        <f t="shared" si="106"/>
        <v>16324.0458</v>
      </c>
      <c r="BJ127" s="5">
        <f>'Economic Variables'!P237</f>
        <v>781588</v>
      </c>
      <c r="BK127" s="5">
        <f>'Economic Variables'!Q237</f>
        <v>11160</v>
      </c>
      <c r="BL127" s="5">
        <f>'Economic Variables'!R237</f>
        <v>6110</v>
      </c>
      <c r="BM127" s="5">
        <f>'Economic Variables'!S237</f>
        <v>3466</v>
      </c>
      <c r="BN127" s="5">
        <f t="shared" si="90"/>
        <v>126</v>
      </c>
      <c r="BO127" s="80">
        <f t="shared" si="107"/>
        <v>2.1003705451175629</v>
      </c>
      <c r="BP127" s="5">
        <f t="shared" si="108"/>
        <v>15876</v>
      </c>
      <c r="BQ127">
        <f t="shared" ref="BQ127:CE127" si="129">BQ115</f>
        <v>0</v>
      </c>
      <c r="BR127">
        <f t="shared" si="129"/>
        <v>0</v>
      </c>
      <c r="BS127">
        <f t="shared" si="129"/>
        <v>0</v>
      </c>
      <c r="BT127">
        <f t="shared" si="129"/>
        <v>0</v>
      </c>
      <c r="BU127">
        <f t="shared" si="129"/>
        <v>0</v>
      </c>
      <c r="BV127">
        <f t="shared" si="129"/>
        <v>1</v>
      </c>
      <c r="BW127">
        <f t="shared" si="129"/>
        <v>0</v>
      </c>
      <c r="BX127">
        <f t="shared" si="129"/>
        <v>0</v>
      </c>
      <c r="BY127">
        <f t="shared" si="129"/>
        <v>0</v>
      </c>
      <c r="BZ127">
        <f t="shared" si="129"/>
        <v>0</v>
      </c>
      <c r="CA127">
        <f t="shared" si="129"/>
        <v>0</v>
      </c>
      <c r="CB127">
        <f t="shared" si="129"/>
        <v>0</v>
      </c>
      <c r="CC127">
        <f t="shared" si="129"/>
        <v>0</v>
      </c>
      <c r="CD127">
        <f t="shared" si="129"/>
        <v>0</v>
      </c>
      <c r="CE127">
        <f t="shared" si="129"/>
        <v>0</v>
      </c>
      <c r="CF127">
        <f t="shared" si="53"/>
        <v>30</v>
      </c>
      <c r="CG127">
        <v>22</v>
      </c>
      <c r="CH127">
        <f t="shared" si="122"/>
        <v>0.5</v>
      </c>
      <c r="CI127">
        <f t="shared" si="125"/>
        <v>0.25</v>
      </c>
      <c r="CJ127">
        <v>0</v>
      </c>
      <c r="CK127">
        <f t="shared" si="123"/>
        <v>36.6</v>
      </c>
      <c r="CL127">
        <f t="shared" si="110"/>
        <v>18</v>
      </c>
      <c r="CM127">
        <f t="shared" si="110"/>
        <v>19.149999999999999</v>
      </c>
      <c r="CN127">
        <f t="shared" si="110"/>
        <v>30.549999999999997</v>
      </c>
      <c r="CO127">
        <f t="shared" si="110"/>
        <v>6.8499999999999988</v>
      </c>
      <c r="CP127">
        <f t="shared" si="110"/>
        <v>48.25</v>
      </c>
      <c r="CQ127">
        <f t="shared" si="110"/>
        <v>1.4499999999999993</v>
      </c>
      <c r="CR127">
        <f t="shared" si="110"/>
        <v>72.849999999999994</v>
      </c>
      <c r="CS127">
        <f t="shared" si="110"/>
        <v>9.9999999999999645E-2</v>
      </c>
      <c r="CT127">
        <f t="shared" si="110"/>
        <v>101.5</v>
      </c>
      <c r="CU127">
        <f t="shared" si="110"/>
        <v>0</v>
      </c>
      <c r="CV127">
        <f t="shared" si="110"/>
        <v>131.40000000000003</v>
      </c>
      <c r="CW127">
        <f t="shared" si="110"/>
        <v>0</v>
      </c>
      <c r="CX127">
        <f t="shared" si="110"/>
        <v>161.4</v>
      </c>
      <c r="CY127" s="80">
        <f t="shared" si="111"/>
        <v>25.622325504612661</v>
      </c>
      <c r="CZ127" s="78">
        <f t="shared" si="112"/>
        <v>88.53990266103601</v>
      </c>
      <c r="DA127" s="5">
        <f t="shared" si="113"/>
        <v>2314.5869425227047</v>
      </c>
      <c r="DB127" s="5">
        <f t="shared" si="114"/>
        <v>58439.349613389953</v>
      </c>
      <c r="DC127" s="5">
        <f t="shared" si="115"/>
        <v>243772.97812227442</v>
      </c>
      <c r="DD127">
        <f t="shared" si="116"/>
        <v>1697.3637578499834</v>
      </c>
      <c r="DE127">
        <f t="shared" si="117"/>
        <v>42855.523049819298</v>
      </c>
      <c r="DF127">
        <f t="shared" si="118"/>
        <v>178766.85062300126</v>
      </c>
      <c r="DG127" s="19">
        <v>33240</v>
      </c>
      <c r="DH127" s="19">
        <v>3463</v>
      </c>
      <c r="DI127" s="19">
        <v>365</v>
      </c>
      <c r="DJ127" s="19">
        <v>9</v>
      </c>
      <c r="DK127" s="19">
        <v>4</v>
      </c>
      <c r="DM127" s="4"/>
      <c r="DN127" s="4"/>
      <c r="DQ127" s="6"/>
      <c r="DR127" s="6"/>
      <c r="DS127" s="6"/>
      <c r="DT127" s="6"/>
      <c r="DU127" s="6"/>
      <c r="DV127" s="6"/>
      <c r="DW127" s="6"/>
      <c r="DX127" s="6"/>
      <c r="DY127" s="6"/>
      <c r="EA127" s="4"/>
      <c r="EB127" s="19"/>
      <c r="EC127" s="19"/>
      <c r="EE127" s="19"/>
      <c r="EF127" s="19"/>
    </row>
    <row r="128" spans="1:136">
      <c r="A128" s="3">
        <v>44743</v>
      </c>
      <c r="B128">
        <f t="shared" si="105"/>
        <v>2022</v>
      </c>
      <c r="C128" s="2">
        <v>94963535</v>
      </c>
      <c r="D128" s="2">
        <v>30611910</v>
      </c>
      <c r="E128" s="2">
        <f>VLOOKUP('Monthly Data'!B128,'Historic CDM'!$B$111:$J$122,2,FALSE)/12</f>
        <v>1300191.9931997459</v>
      </c>
      <c r="F128" s="2">
        <f t="shared" si="119"/>
        <v>31912101.993199747</v>
      </c>
      <c r="G128" s="2">
        <v>33240</v>
      </c>
      <c r="H128" s="2">
        <v>9655566</v>
      </c>
      <c r="I128" s="2">
        <f>VLOOKUP('Monthly Data'!B128,'Historic CDM'!$B$111:$J$122,3,FALSE)/12</f>
        <v>491076.48745503003</v>
      </c>
      <c r="J128" s="2">
        <f t="shared" si="120"/>
        <v>10146642.487455031</v>
      </c>
      <c r="K128" s="2">
        <v>3464</v>
      </c>
      <c r="L128" s="2">
        <v>17113833</v>
      </c>
      <c r="M128" s="2">
        <f>VLOOKUP('Monthly Data'!B128,'Historic CDM'!$B$111:$J$122,4,FALSE)/12+VLOOKUP('Monthly Data'!B128,'Historic CDM'!$N$111:$V$122,4,FALSE)/12</f>
        <v>3049373.0611928194</v>
      </c>
      <c r="N128" s="2">
        <f t="shared" si="126"/>
        <v>20163206.061192818</v>
      </c>
      <c r="O128" s="2">
        <v>47783</v>
      </c>
      <c r="P128" s="2">
        <v>367</v>
      </c>
      <c r="Q128" s="2">
        <v>10404387</v>
      </c>
      <c r="R128" s="2">
        <f>VLOOKUP('Monthly Data'!B128,'Historic CDM'!$B$111:$J$122,5,FALSE)/12+VLOOKUP('Monthly Data'!B128,'Historic CDM'!$N$111:$V$122,5,FALSE)/12</f>
        <v>402330.53195663146</v>
      </c>
      <c r="S128" s="2">
        <f t="shared" si="44"/>
        <v>10806717.531956632</v>
      </c>
      <c r="T128" s="2">
        <v>20965</v>
      </c>
      <c r="U128" s="2">
        <v>8</v>
      </c>
      <c r="V128" s="2">
        <v>23617109</v>
      </c>
      <c r="W128" s="2">
        <f>VLOOKUP('Monthly Data'!B128,'Historic CDM'!$B$111:$J$122,9,FALSE)/12+VLOOKUP('Monthly Data'!B128,'Historic CDM'!$N$111:$V$122,9,FALSE)/12</f>
        <v>288636.07476014842</v>
      </c>
      <c r="X128" s="2">
        <f t="shared" si="41"/>
        <v>23905745.07476015</v>
      </c>
      <c r="Y128" s="2">
        <v>41207</v>
      </c>
      <c r="Z128" s="2">
        <v>4</v>
      </c>
      <c r="AA128" s="2">
        <v>195874</v>
      </c>
      <c r="AB128" s="2">
        <v>700</v>
      </c>
      <c r="AC128" s="2">
        <v>10184</v>
      </c>
      <c r="AD128" s="2">
        <v>36438</v>
      </c>
      <c r="AE128" s="2">
        <v>98</v>
      </c>
      <c r="AF128" s="2">
        <v>364</v>
      </c>
      <c r="AG128" s="2">
        <v>184099</v>
      </c>
      <c r="AH128" s="2">
        <v>236</v>
      </c>
      <c r="AI128">
        <f>Weather!C284</f>
        <v>12.100000000000001</v>
      </c>
      <c r="AJ128">
        <f>Weather!D284</f>
        <v>71.999999999999986</v>
      </c>
      <c r="AK128">
        <f>Weather!E284</f>
        <v>1.1000000000000014</v>
      </c>
      <c r="AL128">
        <f>Weather!F284</f>
        <v>122.99999999999999</v>
      </c>
      <c r="AM128">
        <f>Weather!G284</f>
        <v>0</v>
      </c>
      <c r="AN128">
        <f>Weather!H284</f>
        <v>183.89999999999995</v>
      </c>
      <c r="AO128">
        <f>Weather!I284</f>
        <v>0</v>
      </c>
      <c r="AP128">
        <f>Weather!J284</f>
        <v>245.9</v>
      </c>
      <c r="AQ128">
        <f>Weather!K284</f>
        <v>0</v>
      </c>
      <c r="AR128">
        <f>Weather!L284</f>
        <v>307.89999999999998</v>
      </c>
      <c r="AS128">
        <f>Weather!M284</f>
        <v>0</v>
      </c>
      <c r="AT128">
        <f>Weather!N284</f>
        <v>369.90000000000003</v>
      </c>
      <c r="AU128">
        <f>Weather!O284</f>
        <v>0</v>
      </c>
      <c r="AV128">
        <f>Weather!P284</f>
        <v>431.9</v>
      </c>
      <c r="AW128" s="7">
        <f>Weather!Q284</f>
        <v>21.93225806451613</v>
      </c>
      <c r="AX128" s="5">
        <f>'Economic Variables'!D238</f>
        <v>7756.4</v>
      </c>
      <c r="AY128" s="5">
        <f>'Economic Variables'!E238</f>
        <v>7843.6</v>
      </c>
      <c r="AZ128" s="5">
        <f>'Economic Variables'!F238</f>
        <v>293.2</v>
      </c>
      <c r="BA128" s="5">
        <f>'Economic Variables'!G238</f>
        <v>298.7</v>
      </c>
      <c r="BB128" s="79">
        <f>'Economic Variables'!H238</f>
        <v>779801.23920000007</v>
      </c>
      <c r="BC128" s="5">
        <f>'Economic Variables'!I238</f>
        <v>9815.3440499999997</v>
      </c>
      <c r="BD128" s="5">
        <f>'Economic Variables'!J238</f>
        <v>9144.4175999999989</v>
      </c>
      <c r="BE128" s="5">
        <f>'Economic Variables'!K238</f>
        <v>459.48045000000002</v>
      </c>
      <c r="BF128" s="5">
        <f>'Economic Variables'!L238</f>
        <v>6508.7017500000002</v>
      </c>
      <c r="BG128" s="5">
        <f>'Economic Variables'!M238</f>
        <v>266.89875000000001</v>
      </c>
      <c r="BH128" s="5">
        <f>'Economic Variables'!N238</f>
        <v>1135.07115</v>
      </c>
      <c r="BI128" s="5">
        <f t="shared" si="106"/>
        <v>16324.0458</v>
      </c>
      <c r="BJ128" s="5">
        <f>'Economic Variables'!P238</f>
        <v>784730</v>
      </c>
      <c r="BK128" s="5">
        <f>'Economic Variables'!Q238</f>
        <v>12271</v>
      </c>
      <c r="BL128" s="5">
        <f>'Economic Variables'!R238</f>
        <v>6217</v>
      </c>
      <c r="BM128" s="5">
        <f>'Economic Variables'!S238</f>
        <v>3632</v>
      </c>
      <c r="BN128" s="5">
        <f t="shared" si="90"/>
        <v>127</v>
      </c>
      <c r="BO128" s="80">
        <f t="shared" si="107"/>
        <v>2.1038037209559568</v>
      </c>
      <c r="BP128" s="5">
        <f t="shared" si="108"/>
        <v>16129</v>
      </c>
      <c r="BQ128">
        <f t="shared" ref="BQ128:CE128" si="130">BQ116</f>
        <v>0</v>
      </c>
      <c r="BR128">
        <f t="shared" si="130"/>
        <v>0</v>
      </c>
      <c r="BS128">
        <f t="shared" si="130"/>
        <v>0</v>
      </c>
      <c r="BT128">
        <f t="shared" si="130"/>
        <v>0</v>
      </c>
      <c r="BU128">
        <f t="shared" si="130"/>
        <v>0</v>
      </c>
      <c r="BV128">
        <f t="shared" si="130"/>
        <v>0</v>
      </c>
      <c r="BW128">
        <f t="shared" si="130"/>
        <v>1</v>
      </c>
      <c r="BX128">
        <f t="shared" si="130"/>
        <v>0</v>
      </c>
      <c r="BY128">
        <f t="shared" si="130"/>
        <v>0</v>
      </c>
      <c r="BZ128">
        <f t="shared" si="130"/>
        <v>0</v>
      </c>
      <c r="CA128">
        <f t="shared" si="130"/>
        <v>0</v>
      </c>
      <c r="CB128">
        <f t="shared" si="130"/>
        <v>0</v>
      </c>
      <c r="CC128">
        <f t="shared" si="130"/>
        <v>0</v>
      </c>
      <c r="CD128">
        <f t="shared" si="130"/>
        <v>0</v>
      </c>
      <c r="CE128">
        <f t="shared" si="130"/>
        <v>0</v>
      </c>
      <c r="CF128">
        <f t="shared" si="53"/>
        <v>31</v>
      </c>
      <c r="CG128">
        <v>20</v>
      </c>
      <c r="CH128">
        <f t="shared" si="122"/>
        <v>0.5</v>
      </c>
      <c r="CI128">
        <f t="shared" si="125"/>
        <v>0.25</v>
      </c>
      <c r="CJ128">
        <v>0</v>
      </c>
      <c r="CK128">
        <f t="shared" si="123"/>
        <v>6.0500000000000007</v>
      </c>
      <c r="CL128">
        <f t="shared" si="110"/>
        <v>35.999999999999993</v>
      </c>
      <c r="CM128">
        <f t="shared" si="110"/>
        <v>0.55000000000000071</v>
      </c>
      <c r="CN128">
        <f t="shared" si="110"/>
        <v>61.499999999999993</v>
      </c>
      <c r="CO128">
        <f t="shared" si="110"/>
        <v>0</v>
      </c>
      <c r="CP128">
        <f t="shared" si="110"/>
        <v>91.949999999999974</v>
      </c>
      <c r="CQ128">
        <f t="shared" si="110"/>
        <v>0</v>
      </c>
      <c r="CR128">
        <f t="shared" si="110"/>
        <v>122.95</v>
      </c>
      <c r="CS128">
        <f t="shared" si="110"/>
        <v>0</v>
      </c>
      <c r="CT128">
        <f t="shared" si="110"/>
        <v>153.94999999999999</v>
      </c>
      <c r="CU128">
        <f t="shared" si="110"/>
        <v>0</v>
      </c>
      <c r="CV128">
        <f t="shared" si="110"/>
        <v>184.95000000000002</v>
      </c>
      <c r="CW128">
        <f t="shared" si="110"/>
        <v>0</v>
      </c>
      <c r="CX128">
        <f t="shared" si="110"/>
        <v>215.95</v>
      </c>
      <c r="CY128" s="80">
        <f t="shared" si="111"/>
        <v>30.969393650479159</v>
      </c>
      <c r="CZ128" s="78">
        <f t="shared" si="112"/>
        <v>94.489332558435436</v>
      </c>
      <c r="DA128" s="5">
        <f t="shared" si="113"/>
        <v>2747.0307985276318</v>
      </c>
      <c r="DB128" s="5">
        <f t="shared" si="114"/>
        <v>67541.984574728951</v>
      </c>
      <c r="DC128" s="5">
        <f t="shared" si="115"/>
        <v>298821.81343450188</v>
      </c>
      <c r="DD128">
        <f t="shared" si="116"/>
        <v>1772.2779345339559</v>
      </c>
      <c r="DE128">
        <f t="shared" si="117"/>
        <v>43575.473919179967</v>
      </c>
      <c r="DF128">
        <f t="shared" si="118"/>
        <v>192788.26673193669</v>
      </c>
      <c r="DG128" s="19">
        <v>33240</v>
      </c>
      <c r="DH128" s="19">
        <v>3464</v>
      </c>
      <c r="DI128" s="19">
        <v>366</v>
      </c>
      <c r="DJ128" s="19">
        <v>9</v>
      </c>
      <c r="DK128" s="19">
        <v>4</v>
      </c>
      <c r="DM128" s="4"/>
      <c r="DN128" s="4"/>
      <c r="DQ128" s="6"/>
      <c r="DR128" s="6"/>
      <c r="DS128" s="6"/>
      <c r="DT128" s="6"/>
      <c r="DU128" s="6"/>
      <c r="DV128" s="6"/>
      <c r="DW128" s="6"/>
      <c r="DX128" s="6"/>
      <c r="DY128" s="6"/>
      <c r="EA128" s="4"/>
      <c r="EB128" s="19"/>
      <c r="EC128" s="19"/>
      <c r="EE128" s="19"/>
      <c r="EF128" s="19"/>
    </row>
    <row r="129" spans="1:136">
      <c r="A129" s="3">
        <v>44774</v>
      </c>
      <c r="B129">
        <f t="shared" si="105"/>
        <v>2022</v>
      </c>
      <c r="C129" s="2">
        <v>97029588</v>
      </c>
      <c r="D129" s="2">
        <v>30533233</v>
      </c>
      <c r="E129" s="2">
        <f>VLOOKUP('Monthly Data'!B129,'Historic CDM'!$B$111:$J$122,2,FALSE)/12</f>
        <v>1300191.9931997459</v>
      </c>
      <c r="F129" s="2">
        <f t="shared" si="119"/>
        <v>31833424.993199747</v>
      </c>
      <c r="G129" s="2">
        <v>33295</v>
      </c>
      <c r="H129" s="2">
        <v>9675721</v>
      </c>
      <c r="I129" s="2">
        <f>VLOOKUP('Monthly Data'!B129,'Historic CDM'!$B$111:$J$122,3,FALSE)/12</f>
        <v>491076.48745503003</v>
      </c>
      <c r="J129" s="2">
        <f t="shared" si="120"/>
        <v>10166797.487455031</v>
      </c>
      <c r="K129" s="2">
        <v>3463</v>
      </c>
      <c r="L129" s="2">
        <v>17133695</v>
      </c>
      <c r="M129" s="2">
        <f>VLOOKUP('Monthly Data'!B129,'Historic CDM'!$B$111:$J$122,4,FALSE)/12+VLOOKUP('Monthly Data'!B129,'Historic CDM'!$N$111:$V$122,4,FALSE)/12</f>
        <v>3049373.0611928194</v>
      </c>
      <c r="N129" s="2">
        <f t="shared" si="126"/>
        <v>20183068.061192818</v>
      </c>
      <c r="O129" s="2">
        <v>48214</v>
      </c>
      <c r="P129" s="2">
        <v>367</v>
      </c>
      <c r="Q129" s="2">
        <v>11140010</v>
      </c>
      <c r="R129" s="2">
        <f>VLOOKUP('Monthly Data'!B129,'Historic CDM'!$B$111:$J$122,5,FALSE)/12+VLOOKUP('Monthly Data'!B129,'Historic CDM'!$N$111:$V$122,5,FALSE)/12</f>
        <v>402330.53195663146</v>
      </c>
      <c r="S129" s="2">
        <f t="shared" si="44"/>
        <v>11542340.531956632</v>
      </c>
      <c r="T129" s="2">
        <v>21629</v>
      </c>
      <c r="U129" s="2">
        <v>8</v>
      </c>
      <c r="V129" s="2">
        <v>25173138</v>
      </c>
      <c r="W129" s="2">
        <f>VLOOKUP('Monthly Data'!B129,'Historic CDM'!$B$111:$J$122,9,FALSE)/12+VLOOKUP('Monthly Data'!B129,'Historic CDM'!$N$111:$V$122,9,FALSE)/12</f>
        <v>288636.07476014842</v>
      </c>
      <c r="X129" s="2">
        <f t="shared" si="41"/>
        <v>25461774.07476015</v>
      </c>
      <c r="Y129" s="2">
        <v>40561</v>
      </c>
      <c r="Z129" s="2">
        <v>4</v>
      </c>
      <c r="AA129" s="2">
        <v>219631</v>
      </c>
      <c r="AB129" s="2">
        <v>699</v>
      </c>
      <c r="AC129" s="2">
        <v>10184</v>
      </c>
      <c r="AD129" s="2">
        <v>36360</v>
      </c>
      <c r="AE129" s="2">
        <v>98</v>
      </c>
      <c r="AF129" s="2">
        <v>363</v>
      </c>
      <c r="AG129" s="2">
        <v>183992</v>
      </c>
      <c r="AH129" s="2">
        <v>235</v>
      </c>
      <c r="AI129">
        <f>Weather!C285</f>
        <v>12.899999999999999</v>
      </c>
      <c r="AJ129">
        <f>Weather!D285</f>
        <v>56.900000000000013</v>
      </c>
      <c r="AK129">
        <f>Weather!E285</f>
        <v>2</v>
      </c>
      <c r="AL129">
        <f>Weather!F285</f>
        <v>108</v>
      </c>
      <c r="AM129">
        <f>Weather!G285</f>
        <v>0</v>
      </c>
      <c r="AN129">
        <f>Weather!H285</f>
        <v>167.99999999999997</v>
      </c>
      <c r="AO129">
        <f>Weather!I285</f>
        <v>0</v>
      </c>
      <c r="AP129">
        <f>Weather!J285</f>
        <v>229.99999999999994</v>
      </c>
      <c r="AQ129">
        <f>Weather!K285</f>
        <v>0</v>
      </c>
      <c r="AR129">
        <f>Weather!L285</f>
        <v>292</v>
      </c>
      <c r="AS129">
        <f>Weather!M285</f>
        <v>0</v>
      </c>
      <c r="AT129">
        <f>Weather!N285</f>
        <v>354.00000000000006</v>
      </c>
      <c r="AU129">
        <f>Weather!O285</f>
        <v>0</v>
      </c>
      <c r="AV129">
        <f>Weather!P285</f>
        <v>416.00000000000011</v>
      </c>
      <c r="AW129" s="7">
        <f>Weather!Q285</f>
        <v>21.41935483870968</v>
      </c>
      <c r="AX129" s="5">
        <f>'Economic Variables'!D239</f>
        <v>7746.5</v>
      </c>
      <c r="AY129" s="5">
        <f>'Economic Variables'!E239</f>
        <v>7825.4</v>
      </c>
      <c r="AZ129" s="5">
        <f>'Economic Variables'!F239</f>
        <v>291.3</v>
      </c>
      <c r="BA129" s="5">
        <f>'Economic Variables'!G239</f>
        <v>295.39999999999998</v>
      </c>
      <c r="BB129" s="79">
        <f>'Economic Variables'!H239</f>
        <v>779801.23920000007</v>
      </c>
      <c r="BC129" s="5">
        <f>'Economic Variables'!I239</f>
        <v>9815.3440499999997</v>
      </c>
      <c r="BD129" s="5">
        <f>'Economic Variables'!J239</f>
        <v>9144.4175999999989</v>
      </c>
      <c r="BE129" s="5">
        <f>'Economic Variables'!K239</f>
        <v>459.48045000000002</v>
      </c>
      <c r="BF129" s="5">
        <f>'Economic Variables'!L239</f>
        <v>6508.7017500000002</v>
      </c>
      <c r="BG129" s="5">
        <f>'Economic Variables'!M239</f>
        <v>266.89875000000001</v>
      </c>
      <c r="BH129" s="5">
        <f>'Economic Variables'!N239</f>
        <v>1135.07115</v>
      </c>
      <c r="BI129" s="5">
        <f t="shared" si="106"/>
        <v>16324.0458</v>
      </c>
      <c r="BJ129" s="5">
        <f>'Economic Variables'!P239</f>
        <v>784730</v>
      </c>
      <c r="BK129" s="5">
        <f>'Economic Variables'!Q239</f>
        <v>12271</v>
      </c>
      <c r="BL129" s="5">
        <f>'Economic Variables'!R239</f>
        <v>6217</v>
      </c>
      <c r="BM129" s="5">
        <f>'Economic Variables'!S239</f>
        <v>3632</v>
      </c>
      <c r="BN129" s="5">
        <f t="shared" si="90"/>
        <v>128</v>
      </c>
      <c r="BO129" s="80">
        <f t="shared" si="107"/>
        <v>2.1072099696478683</v>
      </c>
      <c r="BP129" s="5">
        <f t="shared" si="108"/>
        <v>16384</v>
      </c>
      <c r="BQ129">
        <f t="shared" ref="BQ129:CE129" si="131">BQ117</f>
        <v>0</v>
      </c>
      <c r="BR129">
        <f t="shared" si="131"/>
        <v>0</v>
      </c>
      <c r="BS129">
        <f t="shared" si="131"/>
        <v>0</v>
      </c>
      <c r="BT129">
        <f t="shared" si="131"/>
        <v>0</v>
      </c>
      <c r="BU129">
        <f t="shared" si="131"/>
        <v>0</v>
      </c>
      <c r="BV129">
        <f t="shared" si="131"/>
        <v>0</v>
      </c>
      <c r="BW129">
        <f t="shared" si="131"/>
        <v>0</v>
      </c>
      <c r="BX129">
        <f t="shared" si="131"/>
        <v>1</v>
      </c>
      <c r="BY129">
        <f t="shared" si="131"/>
        <v>0</v>
      </c>
      <c r="BZ129">
        <f t="shared" si="131"/>
        <v>0</v>
      </c>
      <c r="CA129">
        <f t="shared" si="131"/>
        <v>0</v>
      </c>
      <c r="CB129">
        <f t="shared" si="131"/>
        <v>0</v>
      </c>
      <c r="CC129">
        <f t="shared" si="131"/>
        <v>0</v>
      </c>
      <c r="CD129">
        <f t="shared" si="131"/>
        <v>0</v>
      </c>
      <c r="CE129">
        <f t="shared" si="131"/>
        <v>0</v>
      </c>
      <c r="CF129">
        <f t="shared" si="53"/>
        <v>31</v>
      </c>
      <c r="CG129">
        <v>22</v>
      </c>
      <c r="CH129">
        <f t="shared" si="122"/>
        <v>0.5</v>
      </c>
      <c r="CI129">
        <f t="shared" si="125"/>
        <v>0.25</v>
      </c>
      <c r="CJ129">
        <v>0</v>
      </c>
      <c r="CK129">
        <f t="shared" si="123"/>
        <v>6.4499999999999993</v>
      </c>
      <c r="CL129">
        <f t="shared" si="110"/>
        <v>28.450000000000006</v>
      </c>
      <c r="CM129">
        <f t="shared" si="110"/>
        <v>1</v>
      </c>
      <c r="CN129">
        <f t="shared" si="110"/>
        <v>54</v>
      </c>
      <c r="CO129">
        <f t="shared" si="110"/>
        <v>0</v>
      </c>
      <c r="CP129">
        <f t="shared" si="110"/>
        <v>83.999999999999986</v>
      </c>
      <c r="CQ129">
        <f t="shared" si="110"/>
        <v>0</v>
      </c>
      <c r="CR129">
        <f t="shared" si="110"/>
        <v>114.99999999999997</v>
      </c>
      <c r="CS129">
        <f t="shared" si="110"/>
        <v>0</v>
      </c>
      <c r="CT129">
        <f t="shared" si="110"/>
        <v>146</v>
      </c>
      <c r="CU129">
        <f t="shared" si="110"/>
        <v>0</v>
      </c>
      <c r="CV129">
        <f t="shared" si="110"/>
        <v>177.00000000000003</v>
      </c>
      <c r="CW129">
        <f t="shared" si="110"/>
        <v>0</v>
      </c>
      <c r="CX129">
        <f t="shared" si="110"/>
        <v>208.00000000000006</v>
      </c>
      <c r="CY129" s="80">
        <f t="shared" si="111"/>
        <v>30.842008625919565</v>
      </c>
      <c r="CZ129" s="78">
        <f t="shared" si="112"/>
        <v>94.704363058834218</v>
      </c>
      <c r="DA129" s="5">
        <f t="shared" si="113"/>
        <v>2499.7607209800367</v>
      </c>
      <c r="DB129" s="5">
        <f t="shared" si="114"/>
        <v>65581.480295208137</v>
      </c>
      <c r="DC129" s="5">
        <f t="shared" si="115"/>
        <v>289338.3417586381</v>
      </c>
      <c r="DD129">
        <f t="shared" si="116"/>
        <v>1774.0237374697035</v>
      </c>
      <c r="DE129">
        <f t="shared" si="117"/>
        <v>46541.695693373513</v>
      </c>
      <c r="DF129">
        <f t="shared" si="118"/>
        <v>205336.88769967863</v>
      </c>
      <c r="DG129" s="19">
        <v>33295</v>
      </c>
      <c r="DH129" s="19">
        <v>3463</v>
      </c>
      <c r="DI129" s="19">
        <v>366</v>
      </c>
      <c r="DJ129" s="19">
        <v>9</v>
      </c>
      <c r="DK129" s="19">
        <v>4</v>
      </c>
      <c r="DM129" s="4"/>
      <c r="DN129" s="4"/>
      <c r="DQ129" s="6"/>
      <c r="DR129" s="6"/>
      <c r="DS129" s="6"/>
      <c r="DT129" s="6"/>
      <c r="DU129" s="6"/>
      <c r="DV129" s="6"/>
      <c r="DW129" s="6"/>
      <c r="DX129" s="6"/>
      <c r="DY129" s="6"/>
      <c r="EA129" s="4"/>
      <c r="EB129" s="19"/>
      <c r="EC129" s="19"/>
      <c r="EE129" s="19"/>
      <c r="EF129" s="19"/>
    </row>
    <row r="130" spans="1:136">
      <c r="A130" s="3">
        <v>44805</v>
      </c>
      <c r="B130">
        <f t="shared" si="105"/>
        <v>2022</v>
      </c>
      <c r="C130" s="2">
        <v>84809414</v>
      </c>
      <c r="D130" s="2">
        <v>22543585</v>
      </c>
      <c r="E130" s="2">
        <f>VLOOKUP('Monthly Data'!B130,'Historic CDM'!$B$111:$J$122,2,FALSE)/12</f>
        <v>1300191.9931997459</v>
      </c>
      <c r="F130" s="2">
        <f t="shared" si="119"/>
        <v>23843776.993199747</v>
      </c>
      <c r="G130" s="2">
        <v>33314</v>
      </c>
      <c r="H130" s="2">
        <v>8207629</v>
      </c>
      <c r="I130" s="2">
        <f>VLOOKUP('Monthly Data'!B130,'Historic CDM'!$B$111:$J$122,3,FALSE)/12</f>
        <v>491076.48745503003</v>
      </c>
      <c r="J130" s="2">
        <f t="shared" si="120"/>
        <v>8698705.4874550309</v>
      </c>
      <c r="K130" s="2">
        <v>3466</v>
      </c>
      <c r="L130" s="2">
        <v>15630144</v>
      </c>
      <c r="M130" s="2">
        <f>VLOOKUP('Monthly Data'!B130,'Historic CDM'!$B$111:$J$122,4,FALSE)/12+VLOOKUP('Monthly Data'!B130,'Historic CDM'!$N$111:$V$122,4,FALSE)/12</f>
        <v>3049373.0611928194</v>
      </c>
      <c r="N130" s="2">
        <f t="shared" si="126"/>
        <v>18679517.061192818</v>
      </c>
      <c r="O130" s="2">
        <v>46286</v>
      </c>
      <c r="P130" s="2">
        <v>368</v>
      </c>
      <c r="Q130" s="2">
        <v>10090757</v>
      </c>
      <c r="R130" s="2">
        <f>VLOOKUP('Monthly Data'!B130,'Historic CDM'!$B$111:$J$122,5,FALSE)/12+VLOOKUP('Monthly Data'!B130,'Historic CDM'!$N$111:$V$122,5,FALSE)/12</f>
        <v>402330.53195663146</v>
      </c>
      <c r="S130" s="2">
        <f t="shared" si="44"/>
        <v>10493087.531956632</v>
      </c>
      <c r="T130" s="2">
        <v>19650</v>
      </c>
      <c r="U130" s="2">
        <v>8</v>
      </c>
      <c r="V130" s="2">
        <v>25273430</v>
      </c>
      <c r="W130" s="2">
        <f>VLOOKUP('Monthly Data'!B130,'Historic CDM'!$B$111:$J$122,9,FALSE)/12+VLOOKUP('Monthly Data'!B130,'Historic CDM'!$N$111:$V$122,9,FALSE)/12</f>
        <v>288636.07476014842</v>
      </c>
      <c r="X130" s="2">
        <f t="shared" ref="X130:X132" si="132">V130+W130</f>
        <v>25562066.07476015</v>
      </c>
      <c r="Y130" s="2">
        <v>41146</v>
      </c>
      <c r="Z130" s="2">
        <v>4</v>
      </c>
      <c r="AA130" s="2">
        <v>250129</v>
      </c>
      <c r="AB130" s="2">
        <v>699</v>
      </c>
      <c r="AC130" s="2">
        <v>10192</v>
      </c>
      <c r="AD130" s="2">
        <v>35187</v>
      </c>
      <c r="AE130" s="2">
        <v>98</v>
      </c>
      <c r="AF130" s="2">
        <v>363</v>
      </c>
      <c r="AG130" s="2">
        <v>178056</v>
      </c>
      <c r="AH130" s="2">
        <v>235</v>
      </c>
      <c r="AI130">
        <f>Weather!C286</f>
        <v>95.3</v>
      </c>
      <c r="AJ130">
        <f>Weather!D286</f>
        <v>19</v>
      </c>
      <c r="AK130">
        <f>Weather!E286</f>
        <v>61.5</v>
      </c>
      <c r="AL130">
        <f>Weather!F286</f>
        <v>45.2</v>
      </c>
      <c r="AM130">
        <f>Weather!G286</f>
        <v>36</v>
      </c>
      <c r="AN130">
        <f>Weather!H286</f>
        <v>79.700000000000017</v>
      </c>
      <c r="AO130">
        <f>Weather!I286</f>
        <v>17.5</v>
      </c>
      <c r="AP130">
        <f>Weather!J286</f>
        <v>121.20000000000002</v>
      </c>
      <c r="AQ130">
        <f>Weather!K286</f>
        <v>4.5</v>
      </c>
      <c r="AR130">
        <f>Weather!L286</f>
        <v>168.20000000000002</v>
      </c>
      <c r="AS130">
        <f>Weather!M286</f>
        <v>0.30000000000000071</v>
      </c>
      <c r="AT130">
        <f>Weather!N286</f>
        <v>224.00000000000003</v>
      </c>
      <c r="AU130">
        <f>Weather!O286</f>
        <v>0</v>
      </c>
      <c r="AV130">
        <f>Weather!P286</f>
        <v>283.7</v>
      </c>
      <c r="AW130" s="7">
        <f>Weather!Q286</f>
        <v>17.456666666666667</v>
      </c>
      <c r="AX130" s="5">
        <f>'Economic Variables'!D240</f>
        <v>7738.7</v>
      </c>
      <c r="AY130" s="5">
        <f>'Economic Variables'!E240</f>
        <v>7766.7</v>
      </c>
      <c r="AZ130" s="5">
        <f>'Economic Variables'!F240</f>
        <v>294.3</v>
      </c>
      <c r="BA130" s="5">
        <f>'Economic Variables'!G240</f>
        <v>295.3</v>
      </c>
      <c r="BB130" s="79">
        <f>'Economic Variables'!H240</f>
        <v>779801.23920000007</v>
      </c>
      <c r="BC130" s="5">
        <f>'Economic Variables'!I240</f>
        <v>9815.3440499999997</v>
      </c>
      <c r="BD130" s="5">
        <f>'Economic Variables'!J240</f>
        <v>9144.4175999999989</v>
      </c>
      <c r="BE130" s="5">
        <f>'Economic Variables'!K240</f>
        <v>459.48045000000002</v>
      </c>
      <c r="BF130" s="5">
        <f>'Economic Variables'!L240</f>
        <v>6508.7017500000002</v>
      </c>
      <c r="BG130" s="5">
        <f>'Economic Variables'!M240</f>
        <v>266.89875000000001</v>
      </c>
      <c r="BH130" s="5">
        <f>'Economic Variables'!N240</f>
        <v>1135.07115</v>
      </c>
      <c r="BI130" s="5">
        <f t="shared" si="106"/>
        <v>16324.0458</v>
      </c>
      <c r="BJ130" s="5">
        <f>'Economic Variables'!P240</f>
        <v>784730</v>
      </c>
      <c r="BK130" s="5">
        <f>'Economic Variables'!Q240</f>
        <v>12271</v>
      </c>
      <c r="BL130" s="5">
        <f>'Economic Variables'!R240</f>
        <v>6217</v>
      </c>
      <c r="BM130" s="5">
        <f>'Economic Variables'!S240</f>
        <v>3632</v>
      </c>
      <c r="BN130" s="5">
        <f t="shared" si="90"/>
        <v>129</v>
      </c>
      <c r="BO130" s="80">
        <f t="shared" si="107"/>
        <v>2.1105897102992488</v>
      </c>
      <c r="BP130" s="5">
        <f t="shared" si="108"/>
        <v>16641</v>
      </c>
      <c r="BQ130">
        <f t="shared" ref="BQ130:CE130" si="133">BQ118</f>
        <v>0</v>
      </c>
      <c r="BR130">
        <f t="shared" si="133"/>
        <v>0</v>
      </c>
      <c r="BS130">
        <f t="shared" si="133"/>
        <v>0</v>
      </c>
      <c r="BT130">
        <f t="shared" si="133"/>
        <v>0</v>
      </c>
      <c r="BU130">
        <f t="shared" si="133"/>
        <v>0</v>
      </c>
      <c r="BV130">
        <f t="shared" si="133"/>
        <v>0</v>
      </c>
      <c r="BW130">
        <f t="shared" si="133"/>
        <v>0</v>
      </c>
      <c r="BX130">
        <f t="shared" si="133"/>
        <v>0</v>
      </c>
      <c r="BY130">
        <f t="shared" si="133"/>
        <v>1</v>
      </c>
      <c r="BZ130">
        <f t="shared" si="133"/>
        <v>0</v>
      </c>
      <c r="CA130">
        <f t="shared" si="133"/>
        <v>0</v>
      </c>
      <c r="CB130">
        <f t="shared" si="133"/>
        <v>0</v>
      </c>
      <c r="CC130">
        <f t="shared" si="133"/>
        <v>0</v>
      </c>
      <c r="CD130">
        <f t="shared" si="133"/>
        <v>1</v>
      </c>
      <c r="CE130">
        <f t="shared" si="133"/>
        <v>1</v>
      </c>
      <c r="CF130">
        <f t="shared" si="53"/>
        <v>30</v>
      </c>
      <c r="CG130">
        <v>20</v>
      </c>
      <c r="CH130">
        <f t="shared" si="122"/>
        <v>0.5</v>
      </c>
      <c r="CI130">
        <f t="shared" si="125"/>
        <v>0.25</v>
      </c>
      <c r="CJ130">
        <v>0</v>
      </c>
      <c r="CK130">
        <f t="shared" si="123"/>
        <v>47.65</v>
      </c>
      <c r="CL130">
        <f t="shared" si="110"/>
        <v>9.5</v>
      </c>
      <c r="CM130">
        <f t="shared" si="110"/>
        <v>30.75</v>
      </c>
      <c r="CN130">
        <f t="shared" si="110"/>
        <v>22.6</v>
      </c>
      <c r="CO130">
        <f t="shared" si="110"/>
        <v>18</v>
      </c>
      <c r="CP130">
        <f t="shared" si="110"/>
        <v>39.850000000000009</v>
      </c>
      <c r="CQ130">
        <f t="shared" si="110"/>
        <v>8.75</v>
      </c>
      <c r="CR130">
        <f t="shared" si="110"/>
        <v>60.600000000000009</v>
      </c>
      <c r="CS130">
        <f t="shared" si="110"/>
        <v>2.25</v>
      </c>
      <c r="CT130">
        <f t="shared" si="110"/>
        <v>84.100000000000009</v>
      </c>
      <c r="CU130">
        <f t="shared" si="110"/>
        <v>0.15000000000000036</v>
      </c>
      <c r="CV130">
        <f t="shared" si="110"/>
        <v>112.00000000000001</v>
      </c>
      <c r="CW130">
        <f t="shared" si="110"/>
        <v>0</v>
      </c>
      <c r="CX130">
        <f t="shared" si="110"/>
        <v>141.85</v>
      </c>
      <c r="CY130" s="80">
        <f t="shared" si="111"/>
        <v>23.857614409557289</v>
      </c>
      <c r="CZ130" s="78">
        <f t="shared" si="112"/>
        <v>83.65748689608607</v>
      </c>
      <c r="DA130" s="5">
        <f t="shared" si="113"/>
        <v>2537.9778615751111</v>
      </c>
      <c r="DB130" s="5">
        <f t="shared" si="114"/>
        <v>65581.797074728951</v>
      </c>
      <c r="DC130" s="5">
        <f t="shared" si="115"/>
        <v>319525.82593450189</v>
      </c>
      <c r="DD130">
        <f t="shared" si="116"/>
        <v>1691.9852410500739</v>
      </c>
      <c r="DE130">
        <f t="shared" si="117"/>
        <v>43721.198049819301</v>
      </c>
      <c r="DF130">
        <f t="shared" si="118"/>
        <v>213017.21728966793</v>
      </c>
      <c r="DG130" s="19">
        <v>33314</v>
      </c>
      <c r="DH130" s="19">
        <v>3466</v>
      </c>
      <c r="DI130" s="19">
        <v>367</v>
      </c>
      <c r="DJ130" s="19">
        <v>9</v>
      </c>
      <c r="DK130" s="19">
        <v>4</v>
      </c>
      <c r="DM130" s="4"/>
      <c r="DN130" s="4"/>
      <c r="DQ130" s="6"/>
      <c r="DR130" s="6"/>
      <c r="DS130" s="6"/>
      <c r="DT130" s="6"/>
      <c r="DU130" s="6"/>
      <c r="DV130" s="6"/>
      <c r="DW130" s="6"/>
      <c r="DX130" s="6"/>
      <c r="DY130" s="6"/>
      <c r="EA130" s="4"/>
      <c r="EB130" s="19"/>
      <c r="EC130" s="19"/>
      <c r="EE130" s="19"/>
      <c r="EF130" s="19"/>
    </row>
    <row r="131" spans="1:136">
      <c r="A131" s="3">
        <v>44835</v>
      </c>
      <c r="B131">
        <f t="shared" si="105"/>
        <v>2022</v>
      </c>
      <c r="C131" s="2">
        <v>78614328</v>
      </c>
      <c r="D131" s="2">
        <v>17891442</v>
      </c>
      <c r="E131" s="2">
        <f>VLOOKUP('Monthly Data'!B131,'Historic CDM'!$B$111:$J$122,2,FALSE)/12</f>
        <v>1300191.9931997459</v>
      </c>
      <c r="F131" s="2">
        <f t="shared" si="119"/>
        <v>19191633.993199747</v>
      </c>
      <c r="G131" s="2">
        <v>33359</v>
      </c>
      <c r="H131" s="2">
        <v>7548349</v>
      </c>
      <c r="I131" s="2">
        <f>VLOOKUP('Monthly Data'!B131,'Historic CDM'!$B$111:$J$122,3,FALSE)/12</f>
        <v>491076.48745503003</v>
      </c>
      <c r="J131" s="2">
        <f t="shared" si="120"/>
        <v>8039425.48745503</v>
      </c>
      <c r="K131" s="2">
        <v>3455</v>
      </c>
      <c r="L131" s="2">
        <v>14894062</v>
      </c>
      <c r="M131" s="2">
        <f>VLOOKUP('Monthly Data'!B131,'Historic CDM'!$B$111:$J$122,4,FALSE)/12+VLOOKUP('Monthly Data'!B131,'Historic CDM'!$N$111:$V$122,4,FALSE)/12</f>
        <v>3049373.0611928194</v>
      </c>
      <c r="N131" s="2">
        <f t="shared" si="126"/>
        <v>17943435.061192818</v>
      </c>
      <c r="O131" s="2">
        <v>42875</v>
      </c>
      <c r="P131" s="2">
        <v>369</v>
      </c>
      <c r="Q131" s="2">
        <v>10037057</v>
      </c>
      <c r="R131" s="2">
        <f>VLOOKUP('Monthly Data'!B131,'Historic CDM'!$B$111:$J$122,5,FALSE)/12+VLOOKUP('Monthly Data'!B131,'Historic CDM'!$N$111:$V$122,5,FALSE)/12</f>
        <v>402330.53195663146</v>
      </c>
      <c r="S131" s="2">
        <f t="shared" si="44"/>
        <v>10439387.531956632</v>
      </c>
      <c r="T131" s="2">
        <v>18588</v>
      </c>
      <c r="U131" s="2">
        <v>8</v>
      </c>
      <c r="V131" s="2">
        <v>25207960</v>
      </c>
      <c r="W131" s="2">
        <f>VLOOKUP('Monthly Data'!B131,'Historic CDM'!$B$111:$J$122,9,FALSE)/12+VLOOKUP('Monthly Data'!B131,'Historic CDM'!$N$111:$V$122,9,FALSE)/12</f>
        <v>288636.07476014842</v>
      </c>
      <c r="X131" s="2">
        <f t="shared" si="132"/>
        <v>25496596.07476015</v>
      </c>
      <c r="Y131" s="2">
        <v>40491</v>
      </c>
      <c r="Z131" s="2">
        <v>4</v>
      </c>
      <c r="AA131" s="2">
        <v>281484</v>
      </c>
      <c r="AB131" s="2">
        <v>699</v>
      </c>
      <c r="AC131" s="2">
        <v>10194</v>
      </c>
      <c r="AD131" s="2">
        <v>36360</v>
      </c>
      <c r="AE131" s="2">
        <v>98</v>
      </c>
      <c r="AF131" s="2">
        <v>363</v>
      </c>
      <c r="AG131" s="2">
        <v>183992</v>
      </c>
      <c r="AH131" s="2">
        <v>235</v>
      </c>
      <c r="AI131">
        <f>Weather!C287</f>
        <v>291.20000000000005</v>
      </c>
      <c r="AJ131">
        <f>Weather!D287</f>
        <v>0</v>
      </c>
      <c r="AK131">
        <f>Weather!E287</f>
        <v>229.29999999999998</v>
      </c>
      <c r="AL131">
        <f>Weather!F287</f>
        <v>0.10000000000000142</v>
      </c>
      <c r="AM131">
        <f>Weather!G287</f>
        <v>174.19999999999996</v>
      </c>
      <c r="AN131">
        <f>Weather!H287</f>
        <v>7.0000000000000036</v>
      </c>
      <c r="AO131">
        <f>Weather!I287</f>
        <v>125.90000000000002</v>
      </c>
      <c r="AP131">
        <f>Weather!J287</f>
        <v>20.700000000000003</v>
      </c>
      <c r="AQ131">
        <f>Weather!K287</f>
        <v>81.199999999999989</v>
      </c>
      <c r="AR131">
        <f>Weather!L287</f>
        <v>38.000000000000007</v>
      </c>
      <c r="AS131">
        <f>Weather!M287</f>
        <v>44.7</v>
      </c>
      <c r="AT131">
        <f>Weather!N287</f>
        <v>63.500000000000007</v>
      </c>
      <c r="AU131">
        <f>Weather!O287</f>
        <v>17.899999999999999</v>
      </c>
      <c r="AV131">
        <f>Weather!P287</f>
        <v>98.699999999999989</v>
      </c>
      <c r="AW131" s="7">
        <f>Weather!Q287</f>
        <v>10.606451612903225</v>
      </c>
      <c r="AX131" s="5">
        <f>'Economic Variables'!D241</f>
        <v>7731.5</v>
      </c>
      <c r="AY131" s="5">
        <f>'Economic Variables'!E241</f>
        <v>7743.5</v>
      </c>
      <c r="AZ131" s="5">
        <f>'Economic Variables'!F241</f>
        <v>294.2</v>
      </c>
      <c r="BA131" s="5">
        <f>'Economic Variables'!G241</f>
        <v>293.3</v>
      </c>
      <c r="BB131" s="79">
        <f>'Economic Variables'!H241</f>
        <v>779801.23920000007</v>
      </c>
      <c r="BC131" s="5">
        <f>'Economic Variables'!I241</f>
        <v>9815.3440499999997</v>
      </c>
      <c r="BD131" s="5">
        <f>'Economic Variables'!J241</f>
        <v>9144.4175999999989</v>
      </c>
      <c r="BE131" s="5">
        <f>'Economic Variables'!K241</f>
        <v>459.48045000000002</v>
      </c>
      <c r="BF131" s="5">
        <f>'Economic Variables'!L241</f>
        <v>6508.7017500000002</v>
      </c>
      <c r="BG131" s="5">
        <f>'Economic Variables'!M241</f>
        <v>266.89875000000001</v>
      </c>
      <c r="BH131" s="5">
        <f>'Economic Variables'!N241</f>
        <v>1135.07115</v>
      </c>
      <c r="BI131" s="5">
        <f t="shared" si="106"/>
        <v>16324.0458</v>
      </c>
      <c r="BJ131" s="5">
        <f>'Economic Variables'!P241</f>
        <v>795827.80949999997</v>
      </c>
      <c r="BK131" s="5">
        <f>'Economic Variables'!Q241</f>
        <v>10453.102499999999</v>
      </c>
      <c r="BL131" s="5">
        <f>'Economic Variables'!R241</f>
        <v>6116.3864999999996</v>
      </c>
      <c r="BM131" s="5">
        <f>'Economic Variables'!S241</f>
        <v>3502.3334999999997</v>
      </c>
      <c r="BN131" s="5">
        <f t="shared" si="90"/>
        <v>130</v>
      </c>
      <c r="BO131" s="80">
        <f t="shared" si="107"/>
        <v>2.1139433523068369</v>
      </c>
      <c r="BP131" s="5">
        <f t="shared" si="108"/>
        <v>16900</v>
      </c>
      <c r="BQ131">
        <f t="shared" ref="BQ131:CE131" si="134">BQ119</f>
        <v>0</v>
      </c>
      <c r="BR131">
        <f t="shared" si="134"/>
        <v>0</v>
      </c>
      <c r="BS131">
        <f t="shared" si="134"/>
        <v>0</v>
      </c>
      <c r="BT131">
        <f t="shared" si="134"/>
        <v>0</v>
      </c>
      <c r="BU131">
        <f t="shared" si="134"/>
        <v>0</v>
      </c>
      <c r="BV131">
        <f t="shared" si="134"/>
        <v>0</v>
      </c>
      <c r="BW131">
        <f t="shared" si="134"/>
        <v>0</v>
      </c>
      <c r="BX131">
        <f t="shared" si="134"/>
        <v>0</v>
      </c>
      <c r="BY131">
        <f t="shared" si="134"/>
        <v>0</v>
      </c>
      <c r="BZ131">
        <f t="shared" si="134"/>
        <v>1</v>
      </c>
      <c r="CA131">
        <f t="shared" si="134"/>
        <v>0</v>
      </c>
      <c r="CB131">
        <f t="shared" si="134"/>
        <v>0</v>
      </c>
      <c r="CC131">
        <f t="shared" si="134"/>
        <v>0</v>
      </c>
      <c r="CD131">
        <f t="shared" si="134"/>
        <v>1</v>
      </c>
      <c r="CE131">
        <f t="shared" si="134"/>
        <v>1</v>
      </c>
      <c r="CF131">
        <f t="shared" si="53"/>
        <v>31</v>
      </c>
      <c r="CG131">
        <v>20</v>
      </c>
      <c r="CH131">
        <f t="shared" si="122"/>
        <v>0.5</v>
      </c>
      <c r="CI131">
        <f t="shared" si="125"/>
        <v>0.25</v>
      </c>
      <c r="CJ131">
        <v>0</v>
      </c>
      <c r="CK131">
        <f t="shared" si="123"/>
        <v>145.60000000000002</v>
      </c>
      <c r="CL131">
        <f t="shared" si="110"/>
        <v>0</v>
      </c>
      <c r="CM131">
        <f t="shared" si="110"/>
        <v>114.64999999999999</v>
      </c>
      <c r="CN131">
        <f t="shared" si="110"/>
        <v>5.0000000000000711E-2</v>
      </c>
      <c r="CO131">
        <f t="shared" si="110"/>
        <v>87.09999999999998</v>
      </c>
      <c r="CP131">
        <f t="shared" si="110"/>
        <v>3.5000000000000018</v>
      </c>
      <c r="CQ131">
        <f t="shared" si="110"/>
        <v>62.95000000000001</v>
      </c>
      <c r="CR131">
        <f t="shared" si="110"/>
        <v>10.350000000000001</v>
      </c>
      <c r="CS131">
        <f t="shared" si="110"/>
        <v>40.599999999999994</v>
      </c>
      <c r="CT131">
        <f t="shared" si="110"/>
        <v>19.000000000000004</v>
      </c>
      <c r="CU131">
        <f t="shared" si="110"/>
        <v>22.35</v>
      </c>
      <c r="CV131">
        <f t="shared" si="110"/>
        <v>31.750000000000004</v>
      </c>
      <c r="CW131">
        <f t="shared" si="110"/>
        <v>8.9499999999999993</v>
      </c>
      <c r="CX131">
        <f t="shared" si="110"/>
        <v>49.349999999999994</v>
      </c>
      <c r="CY131" s="80">
        <f t="shared" si="111"/>
        <v>18.558259166119264</v>
      </c>
      <c r="CZ131" s="78">
        <f t="shared" si="112"/>
        <v>75.061159492601007</v>
      </c>
      <c r="DA131" s="5">
        <f t="shared" si="113"/>
        <v>2431.3597643892708</v>
      </c>
      <c r="DB131" s="5">
        <f t="shared" si="114"/>
        <v>65246.172074728951</v>
      </c>
      <c r="DC131" s="5">
        <f t="shared" si="115"/>
        <v>318707.45093450189</v>
      </c>
      <c r="DD131">
        <f t="shared" si="116"/>
        <v>1568.6192028317876</v>
      </c>
      <c r="DE131">
        <f t="shared" si="117"/>
        <v>42094.304564341255</v>
      </c>
      <c r="DF131">
        <f t="shared" si="118"/>
        <v>205617.71028032378</v>
      </c>
      <c r="DG131" s="19">
        <v>33359</v>
      </c>
      <c r="DH131" s="19">
        <v>3455</v>
      </c>
      <c r="DI131" s="19">
        <v>368</v>
      </c>
      <c r="DJ131" s="19">
        <v>9</v>
      </c>
      <c r="DK131" s="19">
        <v>4</v>
      </c>
      <c r="DM131" s="4"/>
      <c r="DN131" s="4"/>
      <c r="DQ131" s="6"/>
      <c r="DR131" s="6"/>
      <c r="DS131" s="6"/>
      <c r="DT131" s="6"/>
      <c r="DU131" s="6"/>
      <c r="DV131" s="6"/>
      <c r="DW131" s="6"/>
      <c r="DX131" s="6"/>
      <c r="DY131" s="6"/>
      <c r="EA131" s="4"/>
      <c r="EB131" s="19"/>
      <c r="EC131" s="19"/>
      <c r="EE131" s="19"/>
      <c r="EF131" s="19"/>
    </row>
    <row r="132" spans="1:136">
      <c r="A132" s="3">
        <v>44866</v>
      </c>
      <c r="B132">
        <f t="shared" si="105"/>
        <v>2022</v>
      </c>
      <c r="C132" s="2">
        <v>78258815</v>
      </c>
      <c r="D132" s="2">
        <v>18927746</v>
      </c>
      <c r="E132" s="2">
        <f>VLOOKUP('Monthly Data'!B132,'Historic CDM'!$B$111:$J$122,2,FALSE)/12</f>
        <v>1300191.9931997459</v>
      </c>
      <c r="F132" s="2">
        <f t="shared" si="119"/>
        <v>20227937.993199747</v>
      </c>
      <c r="G132" s="2">
        <v>33358</v>
      </c>
      <c r="H132" s="2">
        <v>8020621</v>
      </c>
      <c r="I132" s="2">
        <f>VLOOKUP('Monthly Data'!B132,'Historic CDM'!$B$111:$J$122,3,FALSE)/12</f>
        <v>491076.48745503003</v>
      </c>
      <c r="J132" s="2">
        <f t="shared" si="120"/>
        <v>8511697.4874550309</v>
      </c>
      <c r="K132" s="2">
        <v>3457</v>
      </c>
      <c r="L132" s="2">
        <v>15223220</v>
      </c>
      <c r="M132" s="2">
        <f>VLOOKUP('Monthly Data'!B132,'Historic CDM'!$B$111:$J$122,4,FALSE)/12+VLOOKUP('Monthly Data'!B132,'Historic CDM'!$N$111:$V$122,4,FALSE)/12</f>
        <v>3049373.0611928194</v>
      </c>
      <c r="N132" s="2">
        <f t="shared" si="126"/>
        <v>18272593.061192818</v>
      </c>
      <c r="O132" s="2">
        <v>43724</v>
      </c>
      <c r="P132" s="2">
        <v>369</v>
      </c>
      <c r="Q132" s="2">
        <v>9605934</v>
      </c>
      <c r="R132" s="2">
        <f>VLOOKUP('Monthly Data'!B132,'Historic CDM'!$B$111:$J$122,5,FALSE)/12+VLOOKUP('Monthly Data'!B132,'Historic CDM'!$N$111:$V$122,5,FALSE)/12</f>
        <v>402330.53195663146</v>
      </c>
      <c r="S132" s="2">
        <f t="shared" si="44"/>
        <v>10008264.531956632</v>
      </c>
      <c r="T132" s="2">
        <v>18991</v>
      </c>
      <c r="U132" s="2">
        <v>8</v>
      </c>
      <c r="V132" s="2">
        <v>23452194</v>
      </c>
      <c r="W132" s="2">
        <f>VLOOKUP('Monthly Data'!B132,'Historic CDM'!$B$111:$J$122,9,FALSE)/12+VLOOKUP('Monthly Data'!B132,'Historic CDM'!$N$111:$V$122,9,FALSE)/12</f>
        <v>288636.07476014842</v>
      </c>
      <c r="X132" s="2">
        <f t="shared" si="132"/>
        <v>23740830.07476015</v>
      </c>
      <c r="Y132" s="2">
        <v>40308</v>
      </c>
      <c r="Z132" s="2">
        <v>4</v>
      </c>
      <c r="AA132" s="2">
        <v>298834</v>
      </c>
      <c r="AB132" s="2">
        <v>698</v>
      </c>
      <c r="AC132" s="2">
        <v>10193</v>
      </c>
      <c r="AD132" s="2">
        <v>35187</v>
      </c>
      <c r="AE132" s="2">
        <v>98</v>
      </c>
      <c r="AF132" s="2">
        <v>363</v>
      </c>
      <c r="AG132" s="2">
        <v>178056</v>
      </c>
      <c r="AH132" s="2">
        <v>235</v>
      </c>
      <c r="AI132">
        <f>Weather!C288</f>
        <v>429.2999999999999</v>
      </c>
      <c r="AJ132">
        <f>Weather!D288</f>
        <v>0</v>
      </c>
      <c r="AK132">
        <f>Weather!E288</f>
        <v>370.19999999999993</v>
      </c>
      <c r="AL132">
        <f>Weather!F288</f>
        <v>0.89999999999999858</v>
      </c>
      <c r="AM132">
        <f>Weather!G288</f>
        <v>312.19999999999993</v>
      </c>
      <c r="AN132">
        <f>Weather!H288</f>
        <v>2.8999999999999986</v>
      </c>
      <c r="AO132">
        <f>Weather!I288</f>
        <v>256.90000000000003</v>
      </c>
      <c r="AP132">
        <f>Weather!J288</f>
        <v>7.5999999999999979</v>
      </c>
      <c r="AQ132">
        <f>Weather!K288</f>
        <v>204.70000000000002</v>
      </c>
      <c r="AR132">
        <f>Weather!L288</f>
        <v>15.399999999999997</v>
      </c>
      <c r="AS132">
        <f>Weather!M288</f>
        <v>158.9</v>
      </c>
      <c r="AT132">
        <f>Weather!N288</f>
        <v>29.599999999999994</v>
      </c>
      <c r="AU132">
        <f>Weather!O288</f>
        <v>117.90000000000002</v>
      </c>
      <c r="AV132">
        <f>Weather!P288</f>
        <v>48.6</v>
      </c>
      <c r="AW132" s="7">
        <f>Weather!Q288</f>
        <v>5.69</v>
      </c>
      <c r="AX132" s="5">
        <f>'Economic Variables'!D242</f>
        <v>7736.9</v>
      </c>
      <c r="AY132" s="5">
        <f>'Economic Variables'!E242</f>
        <v>7738.9</v>
      </c>
      <c r="AZ132" s="5">
        <f>'Economic Variables'!F242</f>
        <v>295.5</v>
      </c>
      <c r="BA132" s="5">
        <f>'Economic Variables'!G242</f>
        <v>292.7</v>
      </c>
      <c r="BB132" s="79">
        <f>'Economic Variables'!H242</f>
        <v>779801.23920000007</v>
      </c>
      <c r="BC132" s="5">
        <f>'Economic Variables'!I242</f>
        <v>9815.3440499999997</v>
      </c>
      <c r="BD132" s="5">
        <f>'Economic Variables'!J242</f>
        <v>9144.4175999999989</v>
      </c>
      <c r="BE132" s="5">
        <f>'Economic Variables'!K242</f>
        <v>459.48045000000002</v>
      </c>
      <c r="BF132" s="5">
        <f>'Economic Variables'!L242</f>
        <v>6508.7017500000002</v>
      </c>
      <c r="BG132" s="5">
        <f>'Economic Variables'!M242</f>
        <v>266.89875000000001</v>
      </c>
      <c r="BH132" s="5">
        <f>'Economic Variables'!N242</f>
        <v>1135.07115</v>
      </c>
      <c r="BI132" s="5">
        <f t="shared" si="106"/>
        <v>16324.0458</v>
      </c>
      <c r="BJ132" s="5">
        <f>'Economic Variables'!P242</f>
        <v>795827.80949999997</v>
      </c>
      <c r="BK132" s="5">
        <f>'Economic Variables'!Q242</f>
        <v>10453.102499999999</v>
      </c>
      <c r="BL132" s="5">
        <f>'Economic Variables'!R242</f>
        <v>6116.3864999999996</v>
      </c>
      <c r="BM132" s="5">
        <f>'Economic Variables'!S242</f>
        <v>3502.3334999999997</v>
      </c>
      <c r="BN132" s="5">
        <f t="shared" si="90"/>
        <v>131</v>
      </c>
      <c r="BO132" s="80">
        <f t="shared" si="107"/>
        <v>2.1172712956557644</v>
      </c>
      <c r="BP132" s="5">
        <f t="shared" si="108"/>
        <v>17161</v>
      </c>
      <c r="BQ132">
        <f t="shared" ref="BQ132:CE132" si="135">BQ120</f>
        <v>0</v>
      </c>
      <c r="BR132">
        <f t="shared" si="135"/>
        <v>0</v>
      </c>
      <c r="BS132">
        <f t="shared" si="135"/>
        <v>0</v>
      </c>
      <c r="BT132">
        <f t="shared" si="135"/>
        <v>0</v>
      </c>
      <c r="BU132">
        <f t="shared" si="135"/>
        <v>0</v>
      </c>
      <c r="BV132">
        <f t="shared" si="135"/>
        <v>0</v>
      </c>
      <c r="BW132">
        <f t="shared" si="135"/>
        <v>0</v>
      </c>
      <c r="BX132">
        <f t="shared" si="135"/>
        <v>0</v>
      </c>
      <c r="BY132">
        <f t="shared" si="135"/>
        <v>0</v>
      </c>
      <c r="BZ132">
        <f t="shared" si="135"/>
        <v>0</v>
      </c>
      <c r="CA132">
        <f t="shared" si="135"/>
        <v>1</v>
      </c>
      <c r="CB132">
        <f t="shared" si="135"/>
        <v>0</v>
      </c>
      <c r="CC132">
        <f t="shared" si="135"/>
        <v>0</v>
      </c>
      <c r="CD132">
        <f t="shared" si="135"/>
        <v>0</v>
      </c>
      <c r="CE132">
        <f t="shared" si="135"/>
        <v>0</v>
      </c>
      <c r="CF132">
        <f t="shared" si="53"/>
        <v>30</v>
      </c>
      <c r="CG132">
        <v>22</v>
      </c>
      <c r="CH132">
        <f t="shared" si="122"/>
        <v>0.5</v>
      </c>
      <c r="CI132">
        <f t="shared" si="125"/>
        <v>0.25</v>
      </c>
      <c r="CJ132">
        <v>0</v>
      </c>
      <c r="CK132">
        <f t="shared" si="123"/>
        <v>214.64999999999995</v>
      </c>
      <c r="CL132">
        <f t="shared" si="110"/>
        <v>0</v>
      </c>
      <c r="CM132">
        <f t="shared" si="110"/>
        <v>185.09999999999997</v>
      </c>
      <c r="CN132">
        <f t="shared" si="110"/>
        <v>0.44999999999999929</v>
      </c>
      <c r="CO132">
        <f t="shared" si="110"/>
        <v>156.09999999999997</v>
      </c>
      <c r="CP132">
        <f t="shared" si="110"/>
        <v>1.4499999999999993</v>
      </c>
      <c r="CQ132">
        <f t="shared" si="110"/>
        <v>128.45000000000002</v>
      </c>
      <c r="CR132">
        <f t="shared" si="110"/>
        <v>3.7999999999999989</v>
      </c>
      <c r="CS132">
        <f t="shared" si="110"/>
        <v>102.35000000000001</v>
      </c>
      <c r="CT132">
        <f t="shared" si="110"/>
        <v>7.6999999999999984</v>
      </c>
      <c r="CU132">
        <f t="shared" si="110"/>
        <v>79.45</v>
      </c>
      <c r="CV132">
        <f t="shared" si="110"/>
        <v>14.799999999999997</v>
      </c>
      <c r="CW132">
        <f t="shared" si="110"/>
        <v>58.95000000000001</v>
      </c>
      <c r="CX132">
        <f t="shared" si="110"/>
        <v>24.3</v>
      </c>
      <c r="CY132" s="80">
        <f t="shared" si="111"/>
        <v>20.21298038771284</v>
      </c>
      <c r="CZ132" s="78">
        <f t="shared" si="112"/>
        <v>82.072099965818438</v>
      </c>
      <c r="DA132" s="5">
        <f t="shared" si="113"/>
        <v>2250.8737449116552</v>
      </c>
      <c r="DB132" s="5">
        <f t="shared" si="114"/>
        <v>56865.139386117226</v>
      </c>
      <c r="DC132" s="5">
        <f t="shared" si="115"/>
        <v>269782.15994045627</v>
      </c>
      <c r="DD132">
        <f t="shared" si="116"/>
        <v>1650.6407462685472</v>
      </c>
      <c r="DE132">
        <f t="shared" si="117"/>
        <v>41701.102216485968</v>
      </c>
      <c r="DF132">
        <f t="shared" si="118"/>
        <v>197840.25062300125</v>
      </c>
      <c r="DG132" s="19">
        <v>33358</v>
      </c>
      <c r="DH132" s="19">
        <v>3457</v>
      </c>
      <c r="DI132" s="19">
        <v>368</v>
      </c>
      <c r="DJ132" s="19">
        <v>9</v>
      </c>
      <c r="DK132" s="19">
        <v>4</v>
      </c>
      <c r="DM132" s="4"/>
      <c r="DN132" s="4"/>
      <c r="DQ132" s="6"/>
      <c r="DR132" s="6"/>
      <c r="DS132" s="6"/>
      <c r="DT132" s="6"/>
      <c r="DU132" s="6"/>
      <c r="DV132" s="6"/>
      <c r="DW132" s="6"/>
      <c r="DX132" s="6"/>
      <c r="DY132" s="6"/>
      <c r="EA132" s="4"/>
      <c r="EB132" s="19"/>
      <c r="EC132" s="19"/>
      <c r="EE132" s="19"/>
      <c r="EF132" s="19"/>
    </row>
    <row r="133" spans="1:136">
      <c r="A133" s="3">
        <v>44896</v>
      </c>
      <c r="B133">
        <f t="shared" si="105"/>
        <v>2022</v>
      </c>
      <c r="C133" s="2">
        <v>86868543</v>
      </c>
      <c r="D133" s="2">
        <v>23196261</v>
      </c>
      <c r="E133" s="2">
        <f>VLOOKUP('Monthly Data'!B133,'Historic CDM'!$B$111:$J$122,2,FALSE)/12</f>
        <v>1300191.9931997459</v>
      </c>
      <c r="F133" s="2">
        <f t="shared" si="119"/>
        <v>24496452.993199747</v>
      </c>
      <c r="G133" s="2">
        <v>33368</v>
      </c>
      <c r="H133" s="2">
        <v>8967818</v>
      </c>
      <c r="I133" s="2">
        <f>VLOOKUP('Monthly Data'!B133,'Historic CDM'!$B$111:$J$122,3,FALSE)/12</f>
        <v>491076.48745503003</v>
      </c>
      <c r="J133" s="2">
        <f t="shared" si="120"/>
        <v>9458894.4874550309</v>
      </c>
      <c r="K133" s="2">
        <v>3456</v>
      </c>
      <c r="L133" s="2">
        <v>16304909</v>
      </c>
      <c r="M133" s="2">
        <f>VLOOKUP('Monthly Data'!B133,'Historic CDM'!$B$111:$J$122,4,FALSE)/12+VLOOKUP('Monthly Data'!B133,'Historic CDM'!$N$111:$V$122,4,FALSE)/12</f>
        <v>3049373.0611928194</v>
      </c>
      <c r="N133" s="2">
        <f t="shared" si="126"/>
        <v>19354282.061192818</v>
      </c>
      <c r="O133" s="2">
        <v>43962</v>
      </c>
      <c r="P133" s="2">
        <v>369</v>
      </c>
      <c r="Q133" s="2">
        <v>9105688</v>
      </c>
      <c r="R133" s="2">
        <f>VLOOKUP('Monthly Data'!B133,'Historic CDM'!$B$111:$J$122,5,FALSE)/12+VLOOKUP('Monthly Data'!B133,'Historic CDM'!$N$111:$V$122,5,FALSE)/12</f>
        <v>402330.53195663146</v>
      </c>
      <c r="S133" s="2">
        <f t="shared" ref="S133" si="136">Q133+R133</f>
        <v>9508018.5319566317</v>
      </c>
      <c r="T133" s="2">
        <v>17928</v>
      </c>
      <c r="U133" s="2">
        <v>8</v>
      </c>
      <c r="V133" s="2">
        <v>26031768</v>
      </c>
      <c r="W133" s="2">
        <f>VLOOKUP('Monthly Data'!B133,'Historic CDM'!$B$111:$J$122,9,FALSE)/12+VLOOKUP('Monthly Data'!B133,'Historic CDM'!$N$111:$V$122,9,FALSE)/12</f>
        <v>288636.07476014842</v>
      </c>
      <c r="X133" s="2">
        <f t="shared" ref="X133" si="137">V133+W133</f>
        <v>26320404.07476015</v>
      </c>
      <c r="Y133" s="2">
        <v>42162</v>
      </c>
      <c r="Z133" s="2">
        <v>4</v>
      </c>
      <c r="AA133" s="2">
        <v>308795</v>
      </c>
      <c r="AB133" s="2">
        <v>698</v>
      </c>
      <c r="AC133" s="2">
        <v>10193</v>
      </c>
      <c r="AD133" s="2">
        <v>36282</v>
      </c>
      <c r="AE133" s="2">
        <v>98</v>
      </c>
      <c r="AF133" s="2">
        <v>363</v>
      </c>
      <c r="AG133" s="2">
        <v>183992</v>
      </c>
      <c r="AH133" s="2">
        <v>235</v>
      </c>
      <c r="AI133">
        <f>Weather!C289</f>
        <v>628.50000000000011</v>
      </c>
      <c r="AJ133">
        <f>Weather!D289</f>
        <v>0</v>
      </c>
      <c r="AK133">
        <f>Weather!E289</f>
        <v>566.5</v>
      </c>
      <c r="AL133">
        <f>Weather!F289</f>
        <v>0</v>
      </c>
      <c r="AM133">
        <f>Weather!G289</f>
        <v>504.5</v>
      </c>
      <c r="AN133">
        <f>Weather!H289</f>
        <v>0</v>
      </c>
      <c r="AO133">
        <f>Weather!I289</f>
        <v>442.5</v>
      </c>
      <c r="AP133">
        <f>Weather!J289</f>
        <v>0</v>
      </c>
      <c r="AQ133">
        <f>Weather!K289</f>
        <v>380.5</v>
      </c>
      <c r="AR133">
        <f>Weather!L289</f>
        <v>0</v>
      </c>
      <c r="AS133">
        <f>Weather!M289</f>
        <v>318.5</v>
      </c>
      <c r="AT133">
        <f>Weather!N289</f>
        <v>0</v>
      </c>
      <c r="AU133">
        <f>Weather!O289</f>
        <v>258.29999999999995</v>
      </c>
      <c r="AV133">
        <f>Weather!P289</f>
        <v>1.8000000000000007</v>
      </c>
      <c r="AW133" s="7">
        <f>Weather!Q289</f>
        <v>-0.2741935483870967</v>
      </c>
      <c r="AX133" s="5">
        <f>'Economic Variables'!D243</f>
        <v>7760.9</v>
      </c>
      <c r="AY133" s="5">
        <f>'Economic Variables'!E243</f>
        <v>7777.2</v>
      </c>
      <c r="AZ133" s="5">
        <f>'Economic Variables'!F243</f>
        <v>295.5</v>
      </c>
      <c r="BA133" s="5">
        <f>'Economic Variables'!G243</f>
        <v>293.2</v>
      </c>
      <c r="BB133" s="79">
        <f>'Economic Variables'!H243</f>
        <v>779801.23920000007</v>
      </c>
      <c r="BC133" s="5">
        <f>'Economic Variables'!I243</f>
        <v>9815.3440499999997</v>
      </c>
      <c r="BD133" s="5">
        <f>'Economic Variables'!J243</f>
        <v>9144.4175999999989</v>
      </c>
      <c r="BE133" s="5">
        <f>'Economic Variables'!K243</f>
        <v>459.48045000000002</v>
      </c>
      <c r="BF133" s="5">
        <f>'Economic Variables'!L243</f>
        <v>6508.7017500000002</v>
      </c>
      <c r="BG133" s="5">
        <f>'Economic Variables'!M243</f>
        <v>266.89875000000001</v>
      </c>
      <c r="BH133" s="5">
        <f>'Economic Variables'!N243</f>
        <v>1135.07115</v>
      </c>
      <c r="BI133" s="5">
        <f t="shared" si="106"/>
        <v>16324.0458</v>
      </c>
      <c r="BJ133" s="5">
        <f>'Economic Variables'!P243</f>
        <v>795827.80949999997</v>
      </c>
      <c r="BK133" s="5">
        <f>'Economic Variables'!Q243</f>
        <v>10453.102499999999</v>
      </c>
      <c r="BL133" s="5">
        <f>'Economic Variables'!R243</f>
        <v>6116.3864999999996</v>
      </c>
      <c r="BM133" s="5">
        <f>'Economic Variables'!S243</f>
        <v>3502.3334999999997</v>
      </c>
      <c r="BN133" s="5">
        <f t="shared" si="90"/>
        <v>132</v>
      </c>
      <c r="BO133" s="80">
        <f t="shared" si="107"/>
        <v>2.12057393120585</v>
      </c>
      <c r="BP133" s="5">
        <f t="shared" si="108"/>
        <v>17424</v>
      </c>
      <c r="BQ133">
        <f t="shared" ref="BQ133:CE133" si="138">BQ121</f>
        <v>0</v>
      </c>
      <c r="BR133">
        <f t="shared" si="138"/>
        <v>0</v>
      </c>
      <c r="BS133">
        <f t="shared" si="138"/>
        <v>0</v>
      </c>
      <c r="BT133">
        <f t="shared" si="138"/>
        <v>0</v>
      </c>
      <c r="BU133">
        <f t="shared" si="138"/>
        <v>0</v>
      </c>
      <c r="BV133">
        <f t="shared" si="138"/>
        <v>0</v>
      </c>
      <c r="BW133">
        <f t="shared" si="138"/>
        <v>0</v>
      </c>
      <c r="BX133">
        <f t="shared" si="138"/>
        <v>0</v>
      </c>
      <c r="BY133">
        <f t="shared" si="138"/>
        <v>0</v>
      </c>
      <c r="BZ133">
        <f t="shared" si="138"/>
        <v>0</v>
      </c>
      <c r="CA133">
        <f t="shared" si="138"/>
        <v>0</v>
      </c>
      <c r="CB133">
        <f t="shared" si="138"/>
        <v>1</v>
      </c>
      <c r="CC133">
        <f t="shared" si="138"/>
        <v>0</v>
      </c>
      <c r="CD133">
        <f t="shared" si="138"/>
        <v>0</v>
      </c>
      <c r="CE133">
        <f t="shared" si="138"/>
        <v>0</v>
      </c>
      <c r="CF133">
        <f t="shared" si="53"/>
        <v>31</v>
      </c>
      <c r="CG133">
        <v>20</v>
      </c>
      <c r="CH133">
        <f t="shared" si="122"/>
        <v>0.5</v>
      </c>
      <c r="CI133">
        <f t="shared" si="125"/>
        <v>0.25</v>
      </c>
      <c r="CJ133">
        <v>0</v>
      </c>
      <c r="CK133">
        <f t="shared" si="123"/>
        <v>314.25000000000006</v>
      </c>
      <c r="CL133">
        <f t="shared" si="110"/>
        <v>0</v>
      </c>
      <c r="CM133">
        <f t="shared" si="110"/>
        <v>283.25</v>
      </c>
      <c r="CN133">
        <f t="shared" si="110"/>
        <v>0</v>
      </c>
      <c r="CO133">
        <f t="shared" si="110"/>
        <v>252.25</v>
      </c>
      <c r="CP133">
        <f t="shared" si="110"/>
        <v>0</v>
      </c>
      <c r="CQ133">
        <f t="shared" si="110"/>
        <v>221.25</v>
      </c>
      <c r="CR133">
        <f t="shared" si="110"/>
        <v>0</v>
      </c>
      <c r="CS133">
        <f t="shared" si="110"/>
        <v>190.25</v>
      </c>
      <c r="CT133">
        <f t="shared" si="110"/>
        <v>0</v>
      </c>
      <c r="CU133">
        <f t="shared" si="110"/>
        <v>159.25</v>
      </c>
      <c r="CV133">
        <f t="shared" si="110"/>
        <v>0</v>
      </c>
      <c r="CW133">
        <f t="shared" si="110"/>
        <v>129.14999999999998</v>
      </c>
      <c r="CX133">
        <f t="shared" si="110"/>
        <v>0.90000000000000036</v>
      </c>
      <c r="CY133" s="80">
        <f t="shared" si="111"/>
        <v>23.681615951539186</v>
      </c>
      <c r="CZ133" s="78">
        <f t="shared" si="112"/>
        <v>88.288665690851175</v>
      </c>
      <c r="DA133" s="5">
        <f t="shared" si="113"/>
        <v>2622.5314446060729</v>
      </c>
      <c r="DB133" s="5">
        <f t="shared" si="114"/>
        <v>59425.11582472895</v>
      </c>
      <c r="DC133" s="5">
        <f t="shared" si="115"/>
        <v>329005.05093450187</v>
      </c>
      <c r="DD133">
        <f t="shared" si="116"/>
        <v>1691.9557707135955</v>
      </c>
      <c r="DE133">
        <f t="shared" si="117"/>
        <v>38338.784403050937</v>
      </c>
      <c r="DF133">
        <f t="shared" si="118"/>
        <v>212261.3231835496</v>
      </c>
      <c r="DG133" s="19">
        <v>33368</v>
      </c>
      <c r="DH133" s="19">
        <v>3456</v>
      </c>
      <c r="DI133" s="19">
        <v>368</v>
      </c>
      <c r="DJ133" s="19">
        <v>9</v>
      </c>
      <c r="DK133" s="19">
        <v>4</v>
      </c>
      <c r="DM133" s="4"/>
      <c r="DQ133" s="6"/>
      <c r="DR133" s="6"/>
      <c r="DS133" s="6"/>
      <c r="DT133" s="6"/>
      <c r="DU133" s="6"/>
      <c r="DV133" s="6"/>
      <c r="DW133" s="6"/>
      <c r="DX133" s="6"/>
      <c r="DY133" s="6"/>
      <c r="EA133" s="4"/>
      <c r="EB133" s="19"/>
      <c r="EC133" s="19"/>
      <c r="EE133" s="19"/>
      <c r="EF133" s="19"/>
    </row>
    <row r="134" spans="1:136">
      <c r="A134" s="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W134" s="7"/>
      <c r="AX134" s="5"/>
      <c r="AY134" s="5"/>
      <c r="AZ134" s="5"/>
      <c r="BA134" s="5"/>
      <c r="BB134" s="79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80"/>
      <c r="BP134" s="5"/>
      <c r="CY134" s="80"/>
      <c r="CZ134" s="78"/>
      <c r="DA134" s="5"/>
      <c r="DB134" s="5"/>
      <c r="DC134" s="5"/>
    </row>
    <row r="135" spans="1:136">
      <c r="A135" s="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W135" s="7"/>
      <c r="AX135" s="5"/>
      <c r="AY135" s="5"/>
      <c r="AZ135" s="5"/>
      <c r="BA135" s="5"/>
      <c r="BB135" s="79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80"/>
      <c r="BP135" s="5"/>
      <c r="CY135" s="80"/>
      <c r="CZ135" s="78"/>
      <c r="DA135" s="5"/>
      <c r="DB135" s="5"/>
      <c r="DC135" s="5"/>
    </row>
    <row r="136" spans="1:136">
      <c r="A136" s="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W136" s="7"/>
      <c r="AX136" s="5"/>
      <c r="AY136" s="5"/>
      <c r="AZ136" s="5"/>
      <c r="BA136" s="5"/>
      <c r="BB136" s="79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80"/>
      <c r="BP136" s="5"/>
      <c r="CY136" s="80"/>
      <c r="CZ136" s="78"/>
      <c r="DA136" s="5"/>
      <c r="DB136" s="5"/>
      <c r="DC136" s="5"/>
    </row>
    <row r="137" spans="1:136">
      <c r="CY137" s="7"/>
      <c r="CZ137" s="7"/>
    </row>
    <row r="138" spans="1:136">
      <c r="CY138" s="7"/>
      <c r="CZ138" s="7"/>
    </row>
    <row r="139" spans="1:136">
      <c r="CY139" s="7"/>
      <c r="CZ139" s="7"/>
    </row>
    <row r="140" spans="1:136">
      <c r="CY140" s="7"/>
      <c r="CZ140" s="7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0000"/>
  </sheetPr>
  <dimension ref="A1:Y107"/>
  <sheetViews>
    <sheetView topLeftCell="H1" workbookViewId="0">
      <selection activeCell="F13" sqref="F13"/>
    </sheetView>
  </sheetViews>
  <sheetFormatPr defaultRowHeight="15"/>
  <cols>
    <col min="3" max="3" width="16" bestFit="1" customWidth="1"/>
    <col min="4" max="4" width="13.28515625" customWidth="1"/>
    <col min="6" max="6" width="19.28515625" customWidth="1"/>
    <col min="8" max="8" width="16" bestFit="1" customWidth="1"/>
    <col min="9" max="9" width="13.28515625" customWidth="1"/>
    <col min="11" max="11" width="19.140625" customWidth="1"/>
    <col min="13" max="13" width="14.7109375" customWidth="1"/>
    <col min="14" max="14" width="13" customWidth="1"/>
    <col min="16" max="16" width="21.5703125" customWidth="1"/>
    <col min="18" max="18" width="13.28515625" customWidth="1"/>
    <col min="19" max="19" width="12.85546875" customWidth="1"/>
    <col min="21" max="21" width="31.7109375" customWidth="1"/>
    <col min="23" max="23" width="12.7109375" customWidth="1"/>
    <col min="24" max="24" width="13.42578125" customWidth="1"/>
  </cols>
  <sheetData>
    <row r="1" spans="2:25">
      <c r="T1" s="81"/>
      <c r="U1" s="81"/>
      <c r="V1" s="82"/>
    </row>
    <row r="2" spans="2:25">
      <c r="B2" s="24"/>
      <c r="C2" s="295" t="s">
        <v>117</v>
      </c>
      <c r="D2" s="295"/>
      <c r="E2" s="25" t="s">
        <v>118</v>
      </c>
      <c r="F2" s="25"/>
      <c r="G2" s="24"/>
      <c r="H2" s="294" t="s">
        <v>124</v>
      </c>
      <c r="I2" s="295"/>
      <c r="J2" s="25" t="s">
        <v>118</v>
      </c>
      <c r="L2" s="24"/>
      <c r="M2" s="294" t="s">
        <v>123</v>
      </c>
      <c r="N2" s="295"/>
      <c r="O2" s="25" t="s">
        <v>118</v>
      </c>
      <c r="Q2" s="24"/>
      <c r="R2" s="294" t="s">
        <v>125</v>
      </c>
      <c r="S2" s="295"/>
      <c r="T2" s="25" t="s">
        <v>118</v>
      </c>
      <c r="U2" s="81"/>
      <c r="V2" s="82"/>
      <c r="W2" s="294" t="s">
        <v>126</v>
      </c>
      <c r="X2" s="295"/>
      <c r="Y2" s="25" t="s">
        <v>118</v>
      </c>
    </row>
    <row r="3" spans="2:25">
      <c r="B3" s="25" t="s">
        <v>53</v>
      </c>
      <c r="C3" s="25" t="s">
        <v>119</v>
      </c>
      <c r="D3" s="26" t="s">
        <v>86</v>
      </c>
      <c r="E3" s="25" t="s">
        <v>120</v>
      </c>
      <c r="F3" s="25"/>
      <c r="G3" s="25" t="s">
        <v>53</v>
      </c>
      <c r="H3" s="25" t="s">
        <v>119</v>
      </c>
      <c r="I3" s="26" t="s">
        <v>86</v>
      </c>
      <c r="J3" s="25" t="s">
        <v>120</v>
      </c>
      <c r="L3" s="25" t="s">
        <v>53</v>
      </c>
      <c r="M3" s="25" t="s">
        <v>119</v>
      </c>
      <c r="N3" s="26" t="s">
        <v>86</v>
      </c>
      <c r="O3" s="25" t="s">
        <v>120</v>
      </c>
      <c r="Q3" s="25" t="s">
        <v>53</v>
      </c>
      <c r="R3" s="25" t="s">
        <v>119</v>
      </c>
      <c r="S3" s="26" t="s">
        <v>86</v>
      </c>
      <c r="T3" s="25" t="s">
        <v>120</v>
      </c>
      <c r="U3" s="81"/>
      <c r="V3" s="25" t="s">
        <v>53</v>
      </c>
      <c r="W3" s="25" t="s">
        <v>119</v>
      </c>
      <c r="X3" s="26" t="s">
        <v>86</v>
      </c>
      <c r="Y3" s="25" t="s">
        <v>120</v>
      </c>
    </row>
    <row r="4" spans="2:25">
      <c r="B4" s="24">
        <v>2012</v>
      </c>
      <c r="C4" s="27">
        <f>SUMIF('Res Predicted Monthly'!$C:$C,B4,'Res Predicted Monthly'!D:D)</f>
        <v>257869306.08309445</v>
      </c>
      <c r="D4" s="27">
        <f>SUMIF('Res Predicted Monthly'!$C:$C,B4,'Res Predicted Monthly'!W:W)</f>
        <v>254972817.26997802</v>
      </c>
      <c r="E4" s="28">
        <f>ABS(C4-D4)/C4</f>
        <v>1.1232390768458042E-2</v>
      </c>
      <c r="F4" s="28"/>
      <c r="G4" s="24">
        <v>2012</v>
      </c>
      <c r="H4" s="27">
        <f>SUMIF('GS&lt;50 Predicted Monthly'!C2:C135,G4,'GS&lt;50 Predicted Monthly'!D2:D135)</f>
        <v>104268159.33148342</v>
      </c>
      <c r="I4" s="27">
        <f>SUMIF('GS&lt;50 Predicted Monthly'!C2:C135,G4,'GS&lt;50 Predicted Monthly'!O2:O135)</f>
        <v>104145780.31414226</v>
      </c>
      <c r="J4" s="28">
        <f t="shared" ref="J4:J11" si="0">ABS(H4-I4)/H4</f>
        <v>1.1736950007154754E-3</v>
      </c>
      <c r="L4" s="24">
        <v>2012</v>
      </c>
      <c r="M4" s="27">
        <f>SUMIF('GS&gt;50 Predicted Monthly'!$C:$C,L4,'GS&gt;50 Predicted Monthly'!D:D)</f>
        <v>239151127.89684987</v>
      </c>
      <c r="N4" s="27">
        <f>SUMIF('GS&gt;50 Predicted Monthly'!$C:$C,L4,'GS&gt;50 Predicted Monthly'!S:S)</f>
        <v>238355131.08127868</v>
      </c>
      <c r="O4" s="28">
        <f t="shared" ref="O4:O11" si="1">ABS(M4-N4)/M4</f>
        <v>3.3284259312149952E-3</v>
      </c>
      <c r="Q4" s="24">
        <v>2012</v>
      </c>
      <c r="R4" s="27">
        <f>SUMIF('Int Predicted Monthly'!$C:$C,$Q4,'Int Predicted Monthly'!D:D)</f>
        <v>126900042.8686</v>
      </c>
      <c r="S4" s="27">
        <f>SUMIF('Int Predicted Monthly'!$C:$C,$Q4,'Int Predicted Monthly'!Q:Q)</f>
        <v>130161425.51151717</v>
      </c>
      <c r="T4" s="28">
        <f t="shared" ref="T4:T10" si="2">ABS(R4-S4)/R4</f>
        <v>2.5700406155845075E-2</v>
      </c>
      <c r="U4" s="81"/>
      <c r="V4" s="24">
        <v>2012</v>
      </c>
      <c r="W4" s="27">
        <f>SUMIF('LU Predicted Monthly'!$C:$C,V4,'LU Predicted Monthly'!D:D)</f>
        <v>272631443.27339244</v>
      </c>
      <c r="X4" s="27">
        <f>SUMIF('LU Predicted Monthly'!$C:$C,V4,'LU Predicted Monthly'!M:M)</f>
        <v>270801446.98378873</v>
      </c>
      <c r="Y4" s="28">
        <f>ABS(W4-X4)/W4</f>
        <v>6.7123449431641885E-3</v>
      </c>
    </row>
    <row r="5" spans="2:25">
      <c r="B5" s="25">
        <v>2013</v>
      </c>
      <c r="C5" s="27">
        <f>SUMIF('Res Predicted Monthly'!$C:$C,B5,'Res Predicted Monthly'!D:D)</f>
        <v>257847061.41083631</v>
      </c>
      <c r="D5" s="27">
        <f>SUMIF('Res Predicted Monthly'!$C:$C,B5,'Res Predicted Monthly'!W:W)</f>
        <v>256075793.87443274</v>
      </c>
      <c r="E5" s="28">
        <f>ABS(C5-D5)/C5</f>
        <v>6.8694501566622353E-3</v>
      </c>
      <c r="F5" s="28"/>
      <c r="G5" s="25">
        <v>2013</v>
      </c>
      <c r="H5" s="27">
        <f>SUMIF('GS&lt;50 Predicted Monthly'!C2:C136,G5,'GS&lt;50 Predicted Monthly'!D2:D136)</f>
        <v>104972493.37099701</v>
      </c>
      <c r="I5" s="27">
        <f>SUMIF('GS&lt;50 Predicted Monthly'!C2:C136,G5,'GS&lt;50 Predicted Monthly'!O2:O136)</f>
        <v>104831436.23024651</v>
      </c>
      <c r="J5" s="28">
        <f t="shared" si="0"/>
        <v>1.3437533607205947E-3</v>
      </c>
      <c r="L5" s="25">
        <v>2013</v>
      </c>
      <c r="M5" s="27">
        <f>SUMIF('GS&gt;50 Predicted Monthly'!$C:$C,L5,'GS&gt;50 Predicted Monthly'!D:D)</f>
        <v>240177229.59342617</v>
      </c>
      <c r="N5" s="27">
        <f>SUMIF('GS&gt;50 Predicted Monthly'!$C:$C,L5,'GS&gt;50 Predicted Monthly'!S:S)</f>
        <v>239540552.03614745</v>
      </c>
      <c r="O5" s="28">
        <f t="shared" si="1"/>
        <v>2.6508656060214163E-3</v>
      </c>
      <c r="Q5" s="25">
        <v>2013</v>
      </c>
      <c r="R5" s="27">
        <f>SUMIF('Int Predicted Monthly'!$C:$C,$Q5,'Int Predicted Monthly'!D:D)</f>
        <v>132362745.88647036</v>
      </c>
      <c r="S5" s="27">
        <f>SUMIF('Int Predicted Monthly'!$C:$C,$Q5,'Int Predicted Monthly'!Q:Q)</f>
        <v>128744661.58648673</v>
      </c>
      <c r="T5" s="28">
        <f t="shared" si="2"/>
        <v>2.7334611984303529E-2</v>
      </c>
      <c r="U5" s="81"/>
      <c r="V5" s="25">
        <v>2013</v>
      </c>
      <c r="W5" s="27">
        <f>SUMIF('LU Predicted Monthly'!$C:$C,V5,'LU Predicted Monthly'!D:D)</f>
        <v>264005036.01067609</v>
      </c>
      <c r="X5" s="27">
        <f>SUMIF('LU Predicted Monthly'!$C:$C,V5,'LU Predicted Monthly'!M:M)</f>
        <v>269388805.9118247</v>
      </c>
      <c r="Y5" s="28">
        <f t="shared" ref="Y5:Y11" si="3">ABS(W5-X5)/W5</f>
        <v>2.0392678800759328E-2</v>
      </c>
    </row>
    <row r="6" spans="2:25">
      <c r="B6" s="24">
        <v>2014</v>
      </c>
      <c r="C6" s="27">
        <f>SUMIF('Res Predicted Monthly'!$C:$C,B6,'Res Predicted Monthly'!D:D)</f>
        <v>252161003.50009099</v>
      </c>
      <c r="D6" s="27">
        <f>SUMIF('Res Predicted Monthly'!$C:$C,B6,'Res Predicted Monthly'!W:W)</f>
        <v>252834205.60069475</v>
      </c>
      <c r="E6" s="28">
        <f>ABS(C6-D6)/C6</f>
        <v>2.6697312084717983E-3</v>
      </c>
      <c r="F6" s="28"/>
      <c r="G6" s="24">
        <v>2014</v>
      </c>
      <c r="H6" s="27">
        <f>SUMIF('GS&lt;50 Predicted Monthly'!C2:C137,G6,'GS&lt;50 Predicted Monthly'!D2:D137)</f>
        <v>106264756.09373076</v>
      </c>
      <c r="I6" s="27">
        <f>SUMIF('GS&lt;50 Predicted Monthly'!C2:C137,G6,'GS&lt;50 Predicted Monthly'!O2:O137)</f>
        <v>104466861.18025985</v>
      </c>
      <c r="J6" s="28">
        <f t="shared" si="0"/>
        <v>1.6919014163878351E-2</v>
      </c>
      <c r="L6" s="24">
        <v>2014</v>
      </c>
      <c r="M6" s="27">
        <f>SUMIF('GS&gt;50 Predicted Monthly'!$C:$C,L6,'GS&gt;50 Predicted Monthly'!D:D)</f>
        <v>232884794.90586358</v>
      </c>
      <c r="N6" s="27">
        <f>SUMIF('GS&gt;50 Predicted Monthly'!$C:$C,L6,'GS&gt;50 Predicted Monthly'!S:S)</f>
        <v>232242242.43614787</v>
      </c>
      <c r="O6" s="28">
        <f t="shared" si="1"/>
        <v>2.759100137797516E-3</v>
      </c>
      <c r="Q6" s="24">
        <v>2014</v>
      </c>
      <c r="R6" s="27">
        <f>SUMIF('Int Predicted Monthly'!$C:$C,$Q6,'Int Predicted Monthly'!D:D)</f>
        <v>131128307.18539861</v>
      </c>
      <c r="S6" s="27">
        <f>SUMIF('Int Predicted Monthly'!$C:$C,$Q6,'Int Predicted Monthly'!Q:Q)</f>
        <v>127611115.12566775</v>
      </c>
      <c r="T6" s="28">
        <f t="shared" si="2"/>
        <v>2.6822523185310393E-2</v>
      </c>
      <c r="U6" s="81"/>
      <c r="V6" s="24">
        <v>2014</v>
      </c>
      <c r="W6" s="27">
        <f>SUMIF('LU Predicted Monthly'!$C:$C,V6,'LU Predicted Monthly'!D:D)</f>
        <v>269674382.97480106</v>
      </c>
      <c r="X6" s="27">
        <f>SUMIF('LU Predicted Monthly'!$C:$C,V6,'LU Predicted Monthly'!M:M)</f>
        <v>269218156.95764023</v>
      </c>
      <c r="Y6" s="28">
        <f t="shared" si="3"/>
        <v>1.6917662409316186E-3</v>
      </c>
    </row>
    <row r="7" spans="2:25">
      <c r="B7" s="25">
        <v>2015</v>
      </c>
      <c r="C7" s="27">
        <f>SUMIF('Res Predicted Monthly'!$C:$C,B7,'Res Predicted Monthly'!D:D)</f>
        <v>252472940.02763164</v>
      </c>
      <c r="D7" s="27">
        <f>SUMIF('Res Predicted Monthly'!$C:$C,B7,'Res Predicted Monthly'!W:W)</f>
        <v>256122410.32818589</v>
      </c>
      <c r="E7" s="28">
        <f t="shared" ref="E7:E15" si="4">ABS(C7-D7)/C7</f>
        <v>1.4454896830348762E-2</v>
      </c>
      <c r="F7" s="28"/>
      <c r="G7" s="25">
        <v>2015</v>
      </c>
      <c r="H7" s="27">
        <f>SUMIF('GS&lt;50 Predicted Monthly'!C2:C138,G7,'GS&lt;50 Predicted Monthly'!D2:D138)</f>
        <v>107955640.79192054</v>
      </c>
      <c r="I7" s="27">
        <f>SUMIF('GS&lt;50 Predicted Monthly'!C2:C138,G7,'GS&lt;50 Predicted Monthly'!O2:O138)</f>
        <v>105631395.29167293</v>
      </c>
      <c r="J7" s="28">
        <f t="shared" si="0"/>
        <v>2.1529634609158473E-2</v>
      </c>
      <c r="L7" s="25">
        <v>2015</v>
      </c>
      <c r="M7" s="27">
        <f>SUMIF('GS&gt;50 Predicted Monthly'!$C:$C,L7,'GS&gt;50 Predicted Monthly'!D:D)</f>
        <v>229964292.19918424</v>
      </c>
      <c r="N7" s="27">
        <f>SUMIF('GS&gt;50 Predicted Monthly'!$C:$C,L7,'GS&gt;50 Predicted Monthly'!S:S)</f>
        <v>229043569.16338474</v>
      </c>
      <c r="O7" s="28">
        <f t="shared" si="1"/>
        <v>4.0037652236983665E-3</v>
      </c>
      <c r="Q7" s="25">
        <v>2015</v>
      </c>
      <c r="R7" s="27">
        <f>SUMIF('Int Predicted Monthly'!$C:$C,$Q7,'Int Predicted Monthly'!D:D)</f>
        <v>128744428.37825245</v>
      </c>
      <c r="S7" s="27">
        <f>SUMIF('Int Predicted Monthly'!$C:$C,$Q7,'Int Predicted Monthly'!Q:Q)</f>
        <v>127274383.27200912</v>
      </c>
      <c r="T7" s="28">
        <f t="shared" si="2"/>
        <v>1.1418320192655792E-2</v>
      </c>
      <c r="U7" s="81"/>
      <c r="V7" s="25">
        <v>2015</v>
      </c>
      <c r="W7" s="27">
        <f>SUMIF('LU Predicted Monthly'!$C:$C,V7,'LU Predicted Monthly'!D:D)</f>
        <v>273021163.94050145</v>
      </c>
      <c r="X7" s="27">
        <f>SUMIF('LU Predicted Monthly'!$C:$C,V7,'LU Predicted Monthly'!M:M)</f>
        <v>269126737.87504137</v>
      </c>
      <c r="Y7" s="28">
        <f t="shared" si="3"/>
        <v>1.4264191131749714E-2</v>
      </c>
    </row>
    <row r="8" spans="2:25">
      <c r="B8" s="24">
        <v>2016</v>
      </c>
      <c r="C8" s="27">
        <f>SUMIF('Res Predicted Monthly'!$C:$C,B8,'Res Predicted Monthly'!D:D)</f>
        <v>261879307.49471176</v>
      </c>
      <c r="D8" s="27">
        <f>SUMIF('Res Predicted Monthly'!$C:$C,B8,'Res Predicted Monthly'!W:W)</f>
        <v>264659317.2354221</v>
      </c>
      <c r="E8" s="28">
        <f t="shared" si="4"/>
        <v>1.0615614373298608E-2</v>
      </c>
      <c r="F8" s="28"/>
      <c r="G8" s="24">
        <v>2016</v>
      </c>
      <c r="H8" s="27">
        <f>SUMIF('GS&lt;50 Predicted Monthly'!C2:C139,G8,'GS&lt;50 Predicted Monthly'!D2:D139)</f>
        <v>107393352.63537197</v>
      </c>
      <c r="I8" s="27">
        <f>SUMIF('GS&lt;50 Predicted Monthly'!C2:C139,G8,'GS&lt;50 Predicted Monthly'!O2:O139)</f>
        <v>106486780.09880984</v>
      </c>
      <c r="J8" s="28">
        <f t="shared" si="0"/>
        <v>8.4416075512622896E-3</v>
      </c>
      <c r="L8" s="24">
        <v>2016</v>
      </c>
      <c r="M8" s="27">
        <f>SUMIF('GS&gt;50 Predicted Monthly'!$C:$C,L8,'GS&gt;50 Predicted Monthly'!D:D)</f>
        <v>232627564.35048676</v>
      </c>
      <c r="N8" s="27">
        <f>SUMIF('GS&gt;50 Predicted Monthly'!$C:$C,L8,'GS&gt;50 Predicted Monthly'!S:S)</f>
        <v>230457060.61557987</v>
      </c>
      <c r="O8" s="28">
        <f t="shared" si="1"/>
        <v>9.3303806922756024E-3</v>
      </c>
      <c r="Q8" s="24">
        <v>2016</v>
      </c>
      <c r="R8" s="27">
        <f>SUMIF('Int Predicted Monthly'!$C:$C,$Q8,'Int Predicted Monthly'!D:D)</f>
        <v>125462756.74687864</v>
      </c>
      <c r="S8" s="27">
        <f>SUMIF('Int Predicted Monthly'!$C:$C,$Q8,'Int Predicted Monthly'!Q:Q)</f>
        <v>127432052.13540474</v>
      </c>
      <c r="T8" s="28">
        <f t="shared" si="2"/>
        <v>1.5696254726007292E-2</v>
      </c>
      <c r="U8" s="81"/>
      <c r="V8" s="24">
        <v>2016</v>
      </c>
      <c r="W8" s="27">
        <f>SUMIF('LU Predicted Monthly'!$C:$C,V8,'LU Predicted Monthly'!D:D)</f>
        <v>300339150.36896574</v>
      </c>
      <c r="X8" s="27">
        <f>SUMIF('LU Predicted Monthly'!$C:$C,V8,'LU Predicted Monthly'!M:M)</f>
        <v>291456065.04562128</v>
      </c>
      <c r="Y8" s="28">
        <f t="shared" si="3"/>
        <v>2.9576847748392528E-2</v>
      </c>
    </row>
    <row r="9" spans="2:25">
      <c r="B9" s="25">
        <v>2017</v>
      </c>
      <c r="C9" s="27">
        <f>SUMIF('Res Predicted Monthly'!$C:$C,B9,'Res Predicted Monthly'!D:D)</f>
        <v>255917676.66989917</v>
      </c>
      <c r="D9" s="27">
        <f>SUMIF('Res Predicted Monthly'!$C:$C,B9,'Res Predicted Monthly'!W:W)</f>
        <v>258663986.20463538</v>
      </c>
      <c r="E9" s="28">
        <f t="shared" si="4"/>
        <v>1.0731222518398373E-2</v>
      </c>
      <c r="F9" s="28"/>
      <c r="G9" s="25">
        <v>2017</v>
      </c>
      <c r="H9" s="27">
        <f>SUMIF('GS&lt;50 Predicted Monthly'!C2:C140,G9,'GS&lt;50 Predicted Monthly'!D2:D140)</f>
        <v>102664514.77493219</v>
      </c>
      <c r="I9" s="27">
        <f>SUMIF('GS&lt;50 Predicted Monthly'!C2:C140,G9,'GS&lt;50 Predicted Monthly'!O2:O140)</f>
        <v>104697105.63517912</v>
      </c>
      <c r="J9" s="28">
        <f t="shared" si="0"/>
        <v>1.979837789817547E-2</v>
      </c>
      <c r="L9" s="25">
        <v>2017</v>
      </c>
      <c r="M9" s="27">
        <f>SUMIF('GS&gt;50 Predicted Monthly'!$C:$C,L9,'GS&gt;50 Predicted Monthly'!D:D)</f>
        <v>224954045.18086839</v>
      </c>
      <c r="N9" s="27">
        <f>SUMIF('GS&gt;50 Predicted Monthly'!$C:$C,L9,'GS&gt;50 Predicted Monthly'!S:S)</f>
        <v>228790793.23773265</v>
      </c>
      <c r="O9" s="28">
        <f t="shared" si="1"/>
        <v>1.7055697103732566E-2</v>
      </c>
      <c r="Q9" s="25">
        <v>2017</v>
      </c>
      <c r="R9" s="27">
        <f>SUMIF('Int Predicted Monthly'!$C:$C,$Q9,'Int Predicted Monthly'!D:D)</f>
        <v>124580290.32659683</v>
      </c>
      <c r="S9" s="27">
        <f>SUMIF('Int Predicted Monthly'!$C:$C,$Q9,'Int Predicted Monthly'!Q:Q)</f>
        <v>126003993.15795319</v>
      </c>
      <c r="T9" s="28">
        <f t="shared" si="2"/>
        <v>1.1427994168451645E-2</v>
      </c>
      <c r="U9" s="81"/>
      <c r="V9" s="25">
        <v>2017</v>
      </c>
      <c r="W9" s="27">
        <f>SUMIF('LU Predicted Monthly'!$C:$C,V9,'LU Predicted Monthly'!D:D)</f>
        <v>289952468.45853055</v>
      </c>
      <c r="X9" s="27">
        <f>SUMIF('LU Predicted Monthly'!$C:$C,V9,'LU Predicted Monthly'!M:M)</f>
        <v>285222591.01794481</v>
      </c>
      <c r="Y9" s="28">
        <f t="shared" si="3"/>
        <v>1.6312595873837876E-2</v>
      </c>
    </row>
    <row r="10" spans="2:25">
      <c r="B10" s="24">
        <v>2018</v>
      </c>
      <c r="C10" s="27">
        <f>SUMIF('Res Predicted Monthly'!$C:$C,B10,'Res Predicted Monthly'!D:D)</f>
        <v>274156480.89960718</v>
      </c>
      <c r="D10" s="27">
        <f>SUMIF('Res Predicted Monthly'!$C:$C,B10,'Res Predicted Monthly'!W:W)</f>
        <v>270476113.74868184</v>
      </c>
      <c r="E10" s="28">
        <f t="shared" si="4"/>
        <v>1.3424330290674561E-2</v>
      </c>
      <c r="F10" s="28"/>
      <c r="G10" s="24">
        <v>2018</v>
      </c>
      <c r="H10" s="27">
        <f>SUMIF('GS&lt;50 Predicted Monthly'!C2:C141,G10,'GS&lt;50 Predicted Monthly'!D2:D141)</f>
        <v>105367441.44738773</v>
      </c>
      <c r="I10" s="27">
        <f>SUMIF('GS&lt;50 Predicted Monthly'!C2:C141,G10,'GS&lt;50 Predicted Monthly'!O2:O141)</f>
        <v>108854958.5094458</v>
      </c>
      <c r="J10" s="28">
        <f t="shared" si="0"/>
        <v>3.3098621492099814E-2</v>
      </c>
      <c r="L10" s="24">
        <v>2018</v>
      </c>
      <c r="M10" s="27">
        <f>SUMIF('GS&gt;50 Predicted Monthly'!$C:$C,L10,'GS&gt;50 Predicted Monthly'!D:D)</f>
        <v>230992855.84340546</v>
      </c>
      <c r="N10" s="27">
        <f>SUMIF('GS&gt;50 Predicted Monthly'!$C:$C,L10,'GS&gt;50 Predicted Monthly'!S:S)</f>
        <v>234954175.93240064</v>
      </c>
      <c r="O10" s="28">
        <f t="shared" si="1"/>
        <v>1.7149102185569948E-2</v>
      </c>
      <c r="Q10" s="24">
        <v>2018</v>
      </c>
      <c r="R10" s="27">
        <f>SUMIF('Int Predicted Monthly'!$C:$C,$Q10,'Int Predicted Monthly'!D:D)</f>
        <v>123357564.83880347</v>
      </c>
      <c r="S10" s="27">
        <f>SUMIF('Int Predicted Monthly'!$C:$C,$Q10,'Int Predicted Monthly'!Q:Q)</f>
        <v>125565948.10682058</v>
      </c>
      <c r="T10" s="28">
        <f t="shared" si="2"/>
        <v>1.7902292987891751E-2</v>
      </c>
      <c r="U10" s="81"/>
      <c r="V10" s="24">
        <v>2018</v>
      </c>
      <c r="W10" s="27">
        <f>SUMIF('LU Predicted Monthly'!$C:$C,V10,'LU Predicted Monthly'!D:D)</f>
        <v>287951982.71705943</v>
      </c>
      <c r="X10" s="27">
        <f>SUMIF('LU Predicted Monthly'!$C:$C,V10,'LU Predicted Monthly'!M:M)</f>
        <v>284582657.43975288</v>
      </c>
      <c r="Y10" s="28">
        <f t="shared" si="3"/>
        <v>1.1700996970099849E-2</v>
      </c>
    </row>
    <row r="11" spans="2:25">
      <c r="B11" s="24">
        <v>2019</v>
      </c>
      <c r="C11" s="27">
        <f>SUMIF('Res Predicted Monthly'!$C:$C,B11,'Res Predicted Monthly'!D:D)</f>
        <v>267147932.46974608</v>
      </c>
      <c r="D11" s="27">
        <f>SUMIF('Res Predicted Monthly'!$C:$C,B11,'Res Predicted Monthly'!W:W)</f>
        <v>264653713.73964223</v>
      </c>
      <c r="E11" s="28">
        <f t="shared" si="4"/>
        <v>9.336470273399235E-3</v>
      </c>
      <c r="F11" s="28"/>
      <c r="G11" s="25">
        <v>2019</v>
      </c>
      <c r="H11" s="27">
        <f>SUMIF('GS&lt;50 Predicted Monthly'!C2:C142,G11,'GS&lt;50 Predicted Monthly'!D2:D142)</f>
        <v>106090220.65794849</v>
      </c>
      <c r="I11" s="27">
        <f>SUMIF('GS&lt;50 Predicted Monthly'!C2:C142,G11,'GS&lt;50 Predicted Monthly'!O2:O142)</f>
        <v>106422772.65593772</v>
      </c>
      <c r="J11" s="28">
        <f t="shared" si="0"/>
        <v>3.1346150090631087E-3</v>
      </c>
      <c r="L11" s="25">
        <v>2019</v>
      </c>
      <c r="M11" s="27">
        <f>SUMIF('GS&gt;50 Predicted Monthly'!$C:$C,L11,'GS&gt;50 Predicted Monthly'!D:D)</f>
        <v>233133780.22896054</v>
      </c>
      <c r="N11" s="27">
        <f>SUMIF('GS&gt;50 Predicted Monthly'!$C:$C,L11,'GS&gt;50 Predicted Monthly'!S:S)</f>
        <v>228268623.64335811</v>
      </c>
      <c r="O11" s="28">
        <f t="shared" si="1"/>
        <v>2.0868518413866773E-2</v>
      </c>
      <c r="Q11" s="24">
        <v>2019</v>
      </c>
      <c r="R11" s="27">
        <f>SUMIF('Int Predicted Monthly'!$C:$C,$Q11,'Int Predicted Monthly'!D:D)</f>
        <v>121941467.25532992</v>
      </c>
      <c r="S11" s="27">
        <f>SUMIF('Int Predicted Monthly'!$C:$C,$Q11,'Int Predicted Monthly'!Q:Q)</f>
        <v>124402623.78052786</v>
      </c>
      <c r="T11" s="28">
        <f>ABS(R11-S11)/R11</f>
        <v>2.0183097518784068E-2</v>
      </c>
      <c r="U11" s="81"/>
      <c r="V11" s="24">
        <v>2019</v>
      </c>
      <c r="W11" s="27">
        <f>SUMIF('LU Predicted Monthly'!$C:$C,V11,'LU Predicted Monthly'!D:D)</f>
        <v>291926085.9661594</v>
      </c>
      <c r="X11" s="27">
        <f>SUMIF('LU Predicted Monthly'!$C:$C,V11,'LU Predicted Monthly'!M:M)</f>
        <v>284448576.11860794</v>
      </c>
      <c r="Y11" s="28">
        <f t="shared" si="3"/>
        <v>2.561439421490504E-2</v>
      </c>
    </row>
    <row r="12" spans="2:25">
      <c r="B12" s="25">
        <v>2020</v>
      </c>
      <c r="C12" s="27">
        <f>SUMIF('Res Predicted Monthly'!$C:$C,B12,'Res Predicted Monthly'!D:D)</f>
        <v>286141751.98416203</v>
      </c>
      <c r="D12" s="27">
        <f>SUMIF('Res Predicted Monthly'!$C:$C,B12,'Res Predicted Monthly'!W:W)</f>
        <v>279917939.61344701</v>
      </c>
      <c r="E12" s="28">
        <f t="shared" ref="E12:E13" si="5">ABS(C12-D12)/C12</f>
        <v>2.1750801228963994E-2</v>
      </c>
      <c r="F12" s="28"/>
      <c r="G12" s="25">
        <v>2020</v>
      </c>
      <c r="H12" s="27">
        <f>SUMIF('GS&lt;50 Predicted Monthly'!C2:C143,G12,'GS&lt;50 Predicted Monthly'!D2:D143)</f>
        <v>99650476.84197709</v>
      </c>
      <c r="I12" s="27">
        <f>SUMIF('GS&lt;50 Predicted Monthly'!C2:C143,G12,'GS&lt;50 Predicted Monthly'!O2:O143)</f>
        <v>100173893.15783861</v>
      </c>
      <c r="J12" s="28">
        <f t="shared" ref="J12:J13" si="6">ABS(H12-I12)/H12</f>
        <v>5.2525219391728745E-3</v>
      </c>
      <c r="L12" s="25">
        <v>2020</v>
      </c>
      <c r="M12" s="27">
        <f>SUMIF('GS&gt;50 Predicted Monthly'!$C:$C,L12,'GS&gt;50 Predicted Monthly'!D:D)</f>
        <v>224366659.57197952</v>
      </c>
      <c r="N12" s="27">
        <f>SUMIF('GS&gt;50 Predicted Monthly'!$C:$C,L12,'GS&gt;50 Predicted Monthly'!S:S)</f>
        <v>222745581.98436999</v>
      </c>
      <c r="O12" s="28">
        <f t="shared" ref="O12:O13" si="7">ABS(M12-N12)/M12</f>
        <v>7.2251269003248157E-3</v>
      </c>
      <c r="Q12" s="25">
        <v>2020</v>
      </c>
      <c r="R12" s="27">
        <f>SUMIF('Int Predicted Monthly'!$C:$C,$Q12,'Int Predicted Monthly'!D:D)</f>
        <v>115608048.48327726</v>
      </c>
      <c r="S12" s="27">
        <f>SUMIF('Int Predicted Monthly'!$C:$C,$Q12,'Int Predicted Monthly'!Q:Q)</f>
        <v>116321761.76804727</v>
      </c>
      <c r="T12" s="28">
        <f t="shared" ref="T12:T13" si="8">ABS(R12-S12)/R12</f>
        <v>6.1735605274337866E-3</v>
      </c>
      <c r="U12" s="81"/>
      <c r="V12" s="25">
        <v>2020</v>
      </c>
      <c r="W12" s="27">
        <f>SUMIF('LU Predicted Monthly'!$C:$C,V12,'LU Predicted Monthly'!D:D)</f>
        <v>282593106.7428996</v>
      </c>
      <c r="X12" s="27">
        <f>SUMIF('LU Predicted Monthly'!$C:$C,V12,'LU Predicted Monthly'!M:M)</f>
        <v>284410701.08000362</v>
      </c>
      <c r="Y12" s="28">
        <f t="shared" ref="Y12:Y13" si="9">ABS(W12-X12)/W12</f>
        <v>6.4318424396588407E-3</v>
      </c>
    </row>
    <row r="13" spans="2:25">
      <c r="B13" s="24">
        <v>2021</v>
      </c>
      <c r="C13" s="27">
        <f>SUMIF('Res Predicted Monthly'!$C:$C,B13,'Res Predicted Monthly'!D:D)</f>
        <v>290863007.77535892</v>
      </c>
      <c r="D13" s="27">
        <f>SUMIF('Res Predicted Monthly'!$C:$C,B13,'Res Predicted Monthly'!W:W)</f>
        <v>293721041.88186675</v>
      </c>
      <c r="E13" s="28">
        <f t="shared" si="5"/>
        <v>9.8260487930977181E-3</v>
      </c>
      <c r="F13" s="28"/>
      <c r="G13" s="24">
        <v>2021</v>
      </c>
      <c r="H13" s="27">
        <f>SUMIF('GS&lt;50 Predicted Monthly'!C2:C144,G13,'GS&lt;50 Predicted Monthly'!D2:D144)</f>
        <v>104309581.01393077</v>
      </c>
      <c r="I13" s="27">
        <f>SUMIF('GS&lt;50 Predicted Monthly'!C2:C144,G13,'GS&lt;50 Predicted Monthly'!O2:O144)</f>
        <v>103781436.08758833</v>
      </c>
      <c r="J13" s="28">
        <f t="shared" si="6"/>
        <v>5.0632446339891612E-3</v>
      </c>
      <c r="L13" s="24">
        <v>2021</v>
      </c>
      <c r="M13" s="27">
        <f>SUMIF('GS&gt;50 Predicted Monthly'!$C:$C,L13,'GS&gt;50 Predicted Monthly'!D:D)</f>
        <v>224518321.51789057</v>
      </c>
      <c r="N13" s="27">
        <f>SUMIF('GS&gt;50 Predicted Monthly'!$C:$C,L13,'GS&gt;50 Predicted Monthly'!S:S)</f>
        <v>228449111.6642772</v>
      </c>
      <c r="O13" s="28">
        <f t="shared" si="7"/>
        <v>1.7507658706033047E-2</v>
      </c>
      <c r="Q13" s="24">
        <v>2021</v>
      </c>
      <c r="R13" s="27">
        <f>SUMIF('Int Predicted Monthly'!$C:$C,$Q13,'Int Predicted Monthly'!D:D)</f>
        <v>125481912.20873922</v>
      </c>
      <c r="S13" s="27">
        <f>SUMIF('Int Predicted Monthly'!$C:$C,$Q13,'Int Predicted Monthly'!Q:Q)</f>
        <v>123468689.318894</v>
      </c>
      <c r="T13" s="28">
        <f t="shared" si="8"/>
        <v>1.6043928996684598E-2</v>
      </c>
      <c r="U13" s="81"/>
      <c r="V13" s="24">
        <v>2021</v>
      </c>
      <c r="W13" s="27">
        <f>SUMIF('LU Predicted Monthly'!$C:$C,V13,'LU Predicted Monthly'!D:D)</f>
        <v>268737188.50233674</v>
      </c>
      <c r="X13" s="27">
        <f>SUMIF('LU Predicted Monthly'!$C:$C,V13,'LU Predicted Monthly'!M:M)</f>
        <v>283394209.36596793</v>
      </c>
      <c r="Y13" s="28">
        <f t="shared" si="9"/>
        <v>5.4540352026879013E-2</v>
      </c>
    </row>
    <row r="14" spans="2:25">
      <c r="B14" s="25">
        <v>2022</v>
      </c>
      <c r="C14" s="27">
        <f>SUMIF('Res Predicted Monthly'!$C:$C,B14,'Res Predicted Monthly'!D:D)</f>
        <v>289765135.91839689</v>
      </c>
      <c r="D14" s="27">
        <f>SUMIF('Res Predicted Monthly'!$C:$C,B14,'Res Predicted Monthly'!W:W)</f>
        <v>287884545.02965862</v>
      </c>
      <c r="E14" s="28">
        <f t="shared" ref="E14" si="10">ABS(C14-D14)/C14</f>
        <v>6.4900523065959288E-3</v>
      </c>
      <c r="F14" s="28"/>
      <c r="G14" s="25">
        <v>2022</v>
      </c>
      <c r="H14" s="27">
        <f>SUMIF('GS&lt;50 Predicted Monthly'!C4:C145,G14,'GS&lt;50 Predicted Monthly'!D4:D145)</f>
        <v>109630479.84946035</v>
      </c>
      <c r="I14" s="27">
        <f>SUMIF('GS&lt;50 Predicted Monthly'!C4:C145,G14,'GS&lt;50 Predicted Monthly'!O4:O145)</f>
        <v>109238777.78228863</v>
      </c>
      <c r="J14" s="28">
        <f t="shared" ref="J14:J15" si="11">ABS(H14-I14)/H14</f>
        <v>3.5729303357021729E-3</v>
      </c>
      <c r="L14" s="25">
        <v>2022</v>
      </c>
      <c r="M14" s="27">
        <f>SUMIF('GS&gt;50 Predicted Monthly'!$C:$C,L14,'GS&gt;50 Predicted Monthly'!D:D)</f>
        <v>229053397.73431376</v>
      </c>
      <c r="N14" s="27">
        <f>SUMIF('GS&gt;50 Predicted Monthly'!$C:$C,L14,'GS&gt;50 Predicted Monthly'!S:S)</f>
        <v>229012303.03042206</v>
      </c>
      <c r="O14" s="28">
        <f t="shared" ref="O14:O15" si="12">ABS(M14-N14)/M14</f>
        <v>1.794110207409435E-4</v>
      </c>
      <c r="Q14" s="25">
        <v>2022</v>
      </c>
      <c r="R14" s="27">
        <f>SUMIF('Int Predicted Monthly'!$C:$C,$Q14,'Int Predicted Monthly'!D:D)</f>
        <v>123025138.38347955</v>
      </c>
      <c r="S14" s="27">
        <f>SUMIF('Int Predicted Monthly'!$C:$C,$Q14,'Int Predicted Monthly'!Q:Q)</f>
        <v>122569600.76439153</v>
      </c>
      <c r="T14" s="28">
        <f t="shared" ref="T14:T15" si="13">ABS(R14-S14)/R14</f>
        <v>3.7028011110060727E-3</v>
      </c>
      <c r="U14" s="81"/>
      <c r="V14" s="25">
        <v>2022</v>
      </c>
      <c r="W14" s="27">
        <f>SUMIF('LU Predicted Monthly'!$C:$C,V14,'LU Predicted Monthly'!D:D)</f>
        <v>273168777.89712179</v>
      </c>
      <c r="X14" s="27">
        <f>SUMIF('LU Predicted Monthly'!$C:$C,V14,'LU Predicted Monthly'!M:M)</f>
        <v>283967026.10101849</v>
      </c>
      <c r="Y14" s="28">
        <f t="shared" ref="Y14:Y15" si="14">ABS(W14-X14)/W14</f>
        <v>3.9529584189754781E-2</v>
      </c>
    </row>
    <row r="15" spans="2:25">
      <c r="B15" s="83" t="s">
        <v>23</v>
      </c>
      <c r="C15" s="81">
        <f>SUM(C4:C14)</f>
        <v>2946221604.2335358</v>
      </c>
      <c r="D15" s="81">
        <f>SUM(D4:D14)</f>
        <v>2939981884.5266457</v>
      </c>
      <c r="E15" s="82">
        <f t="shared" si="4"/>
        <v>2.1178718185774011E-3</v>
      </c>
      <c r="F15" s="28"/>
      <c r="G15" s="83" t="s">
        <v>23</v>
      </c>
      <c r="H15" s="81">
        <f>SUM(H4:H14)</f>
        <v>1158567116.8091402</v>
      </c>
      <c r="I15" s="81">
        <f>SUM(I4:I14)</f>
        <v>1158731196.9434094</v>
      </c>
      <c r="J15" s="82">
        <f t="shared" si="11"/>
        <v>1.4162333099970739E-4</v>
      </c>
      <c r="L15" s="83" t="s">
        <v>23</v>
      </c>
      <c r="M15" s="81">
        <f>SUM(M4:M14)</f>
        <v>2541824069.0232291</v>
      </c>
      <c r="N15" s="81">
        <f>SUM(N4:N14)</f>
        <v>2541859144.8250995</v>
      </c>
      <c r="O15" s="82">
        <f t="shared" si="12"/>
        <v>1.3799460905972528E-5</v>
      </c>
      <c r="Q15" s="83" t="s">
        <v>23</v>
      </c>
      <c r="R15" s="81">
        <f>SUM(R4:R14)</f>
        <v>1378592702.5618265</v>
      </c>
      <c r="S15" s="81">
        <f>SUM(S4:S14)</f>
        <v>1379556254.5277197</v>
      </c>
      <c r="T15" s="82">
        <f t="shared" si="13"/>
        <v>6.9893882660390454E-4</v>
      </c>
      <c r="U15" s="81"/>
      <c r="V15" s="83" t="s">
        <v>23</v>
      </c>
      <c r="W15" s="81">
        <f>SUM(W4:W14)</f>
        <v>3074000786.8524442</v>
      </c>
      <c r="X15" s="81">
        <f>SUM(X4:X14)</f>
        <v>3076016973.8972116</v>
      </c>
      <c r="Y15" s="82">
        <f t="shared" si="14"/>
        <v>6.5588371134797608E-4</v>
      </c>
    </row>
    <row r="16" spans="2:25">
      <c r="B16" s="24"/>
      <c r="C16" s="24"/>
      <c r="D16" s="24"/>
      <c r="E16" s="24"/>
      <c r="F16" s="24"/>
      <c r="G16" s="24"/>
      <c r="H16" s="24"/>
      <c r="I16" s="24"/>
      <c r="J16" s="24"/>
      <c r="Q16" s="24"/>
      <c r="R16" s="24"/>
      <c r="S16" s="83"/>
      <c r="T16" s="81"/>
      <c r="U16" s="81"/>
      <c r="V16" s="82"/>
      <c r="W16" s="24"/>
      <c r="X16" s="24"/>
      <c r="Y16" s="24"/>
    </row>
    <row r="17" spans="2:25">
      <c r="B17" s="293" t="s">
        <v>121</v>
      </c>
      <c r="C17" s="293"/>
      <c r="D17" s="293"/>
      <c r="E17" s="29">
        <f>AVERAGE(E5:E14)</f>
        <v>1.0616861797991119E-2</v>
      </c>
      <c r="F17" s="29"/>
      <c r="G17" s="293" t="s">
        <v>121</v>
      </c>
      <c r="H17" s="293"/>
      <c r="I17" s="293"/>
      <c r="J17" s="29">
        <f>AVERAGE(J5:J14)</f>
        <v>1.1815432099322232E-2</v>
      </c>
      <c r="L17" s="293" t="s">
        <v>121</v>
      </c>
      <c r="M17" s="293"/>
      <c r="N17" s="293"/>
      <c r="O17" s="29">
        <f>AVERAGE(O5:O14)</f>
        <v>9.8729625990060989E-3</v>
      </c>
      <c r="Q17" s="293" t="s">
        <v>121</v>
      </c>
      <c r="R17" s="293"/>
      <c r="S17" s="293"/>
      <c r="T17" s="29">
        <f>AVERAGE(T5:T14)</f>
        <v>1.5670538539852896E-2</v>
      </c>
      <c r="U17" s="81"/>
      <c r="V17" s="293" t="s">
        <v>121</v>
      </c>
      <c r="W17" s="293"/>
      <c r="X17" s="293"/>
      <c r="Y17" s="29">
        <f>AVERAGE(Y5:Y14)</f>
        <v>2.2005524963696857E-2</v>
      </c>
    </row>
    <row r="18" spans="2:25">
      <c r="B18" s="293" t="s">
        <v>122</v>
      </c>
      <c r="C18" s="293"/>
      <c r="D18" s="293"/>
      <c r="E18" s="29">
        <f>'Res Predicted Monthly'!Y134</f>
        <v>2.2697489239215937E-2</v>
      </c>
      <c r="F18" s="29"/>
      <c r="G18" s="293" t="s">
        <v>122</v>
      </c>
      <c r="H18" s="293"/>
      <c r="I18" s="293"/>
      <c r="J18" s="29">
        <f>'GS&lt;50 Predicted Monthly'!Q134</f>
        <v>2.5319535893674968E-2</v>
      </c>
      <c r="L18" s="293" t="s">
        <v>122</v>
      </c>
      <c r="M18" s="293"/>
      <c r="N18" s="293"/>
      <c r="O18" s="29">
        <f>'GS&gt;50 Predicted Monthly'!U134</f>
        <v>2.2911502920304635E-2</v>
      </c>
      <c r="Q18" s="293" t="s">
        <v>122</v>
      </c>
      <c r="R18" s="293"/>
      <c r="S18" s="293"/>
      <c r="T18" s="29">
        <f>'Int Predicted Monthly'!S134</f>
        <v>3.3448436736580919E-2</v>
      </c>
      <c r="U18" s="81"/>
      <c r="V18" s="293" t="s">
        <v>122</v>
      </c>
      <c r="W18" s="293"/>
      <c r="X18" s="293"/>
      <c r="Y18" s="29">
        <f>'LU Predicted Monthly'!O134</f>
        <v>4.7071607112621705E-2</v>
      </c>
    </row>
    <row r="19" spans="2:25">
      <c r="S19" s="83"/>
      <c r="T19" s="81"/>
      <c r="U19" s="81"/>
      <c r="V19" s="82"/>
    </row>
    <row r="20" spans="2:25">
      <c r="S20" s="83"/>
      <c r="T20" s="81"/>
      <c r="U20" s="81"/>
      <c r="V20" s="82"/>
    </row>
    <row r="21" spans="2:25">
      <c r="S21" s="83"/>
      <c r="T21" s="81"/>
      <c r="U21" s="81"/>
      <c r="V21" s="82"/>
    </row>
    <row r="22" spans="2:25">
      <c r="L22" s="24"/>
      <c r="M22" s="27"/>
      <c r="N22" s="27"/>
      <c r="O22" s="28"/>
      <c r="S22" s="83"/>
      <c r="T22" s="81"/>
      <c r="U22" s="81"/>
      <c r="V22" s="82"/>
    </row>
    <row r="23" spans="2:25">
      <c r="L23" s="24"/>
      <c r="M23" s="24"/>
      <c r="N23" s="24"/>
      <c r="O23" s="24"/>
      <c r="S23" s="83"/>
      <c r="T23" s="81"/>
      <c r="U23" s="81"/>
      <c r="V23" s="82"/>
    </row>
    <row r="24" spans="2:25">
      <c r="S24" s="83"/>
      <c r="T24" s="81"/>
      <c r="U24" s="81"/>
      <c r="V24" s="82"/>
    </row>
    <row r="25" spans="2:25">
      <c r="S25" s="83"/>
      <c r="T25" s="81"/>
      <c r="U25" s="81"/>
      <c r="V25" s="82"/>
    </row>
    <row r="26" spans="2:25">
      <c r="S26" s="83"/>
      <c r="T26" s="81"/>
      <c r="U26" s="81"/>
      <c r="V26" s="82"/>
    </row>
    <row r="27" spans="2:25">
      <c r="S27" s="83"/>
      <c r="T27" s="81"/>
      <c r="U27" s="81"/>
      <c r="V27" s="82"/>
    </row>
    <row r="28" spans="2:25">
      <c r="S28" s="83"/>
      <c r="T28" s="81"/>
      <c r="U28" s="81"/>
      <c r="V28" s="82"/>
    </row>
    <row r="29" spans="2:25">
      <c r="S29" s="83"/>
      <c r="T29" s="81"/>
      <c r="U29" s="81"/>
      <c r="V29" s="82"/>
    </row>
    <row r="30" spans="2:25">
      <c r="S30" s="83"/>
      <c r="T30" s="81"/>
      <c r="U30" s="81"/>
      <c r="V30" s="82"/>
    </row>
    <row r="31" spans="2:25">
      <c r="S31" s="83"/>
      <c r="T31" s="81"/>
      <c r="U31" s="81"/>
      <c r="V31" s="82"/>
    </row>
    <row r="32" spans="2:25">
      <c r="S32" s="83"/>
      <c r="T32" s="81"/>
      <c r="U32" s="81"/>
      <c r="V32" s="82"/>
    </row>
    <row r="33" spans="2:22">
      <c r="S33" s="83"/>
      <c r="T33" s="81"/>
      <c r="U33" s="81"/>
      <c r="V33" s="82"/>
    </row>
    <row r="34" spans="2:22">
      <c r="S34" s="83"/>
      <c r="T34" s="81"/>
      <c r="U34" s="81"/>
      <c r="V34" s="82"/>
    </row>
    <row r="35" spans="2:22">
      <c r="S35" s="83"/>
      <c r="T35" s="81"/>
      <c r="U35" s="81"/>
      <c r="V35" s="82"/>
    </row>
    <row r="36" spans="2:22">
      <c r="S36" s="83"/>
      <c r="T36" s="81"/>
      <c r="U36" s="81"/>
      <c r="V36" s="82"/>
    </row>
    <row r="37" spans="2:22">
      <c r="S37" s="83"/>
      <c r="T37" s="81"/>
      <c r="U37" s="81"/>
      <c r="V37" s="82"/>
    </row>
    <row r="38" spans="2:22">
      <c r="B38" s="24"/>
      <c r="C38" s="295"/>
      <c r="D38" s="295"/>
      <c r="E38" s="25"/>
      <c r="F38" s="25"/>
      <c r="G38" s="24"/>
      <c r="H38" s="294"/>
      <c r="I38" s="295"/>
      <c r="J38" s="25"/>
      <c r="L38" s="24"/>
      <c r="M38" s="294"/>
      <c r="N38" s="295"/>
      <c r="O38" s="25"/>
      <c r="S38" s="83"/>
      <c r="T38" s="81"/>
      <c r="U38" s="81"/>
      <c r="V38" s="82"/>
    </row>
    <row r="39" spans="2:22">
      <c r="B39" s="25"/>
      <c r="C39" s="25"/>
      <c r="D39" s="26"/>
      <c r="E39" s="25"/>
      <c r="F39" s="25"/>
      <c r="G39" s="25"/>
      <c r="H39" s="25"/>
      <c r="I39" s="26"/>
      <c r="J39" s="25"/>
      <c r="L39" s="25"/>
      <c r="M39" s="25"/>
      <c r="N39" s="26"/>
      <c r="O39" s="25"/>
      <c r="S39" s="83"/>
      <c r="T39" s="81"/>
      <c r="U39" s="81"/>
      <c r="V39" s="82"/>
    </row>
    <row r="40" spans="2:22">
      <c r="S40" s="83"/>
      <c r="T40" s="81"/>
      <c r="U40" s="81"/>
      <c r="V40" s="82"/>
    </row>
    <row r="41" spans="2:22">
      <c r="S41" s="83"/>
      <c r="T41" s="81"/>
      <c r="U41" s="81"/>
      <c r="V41" s="82"/>
    </row>
    <row r="42" spans="2:22">
      <c r="S42" s="83"/>
      <c r="T42" s="81"/>
      <c r="U42" s="81"/>
      <c r="V42" s="82"/>
    </row>
    <row r="43" spans="2:22">
      <c r="S43" s="83"/>
      <c r="T43" s="81"/>
      <c r="U43" s="81"/>
      <c r="V43" s="82"/>
    </row>
    <row r="44" spans="2:22">
      <c r="S44" s="83"/>
      <c r="T44" s="81"/>
      <c r="U44" s="81"/>
      <c r="V44" s="82"/>
    </row>
    <row r="45" spans="2:22">
      <c r="S45" s="83"/>
      <c r="T45" s="81"/>
      <c r="U45" s="81"/>
      <c r="V45" s="82"/>
    </row>
    <row r="46" spans="2:22">
      <c r="S46" s="83"/>
      <c r="T46" s="81"/>
      <c r="U46" s="81"/>
      <c r="V46" s="82"/>
    </row>
    <row r="47" spans="2:22">
      <c r="S47" s="83"/>
      <c r="T47" s="81"/>
      <c r="U47" s="81"/>
      <c r="V47" s="82"/>
    </row>
    <row r="48" spans="2:22">
      <c r="S48" s="83"/>
      <c r="T48" s="81"/>
      <c r="U48" s="81"/>
      <c r="V48" s="82"/>
    </row>
    <row r="49" spans="19:22">
      <c r="S49" s="83"/>
      <c r="T49" s="81"/>
      <c r="U49" s="81"/>
      <c r="V49" s="82"/>
    </row>
    <row r="50" spans="19:22">
      <c r="S50" s="83"/>
      <c r="T50" s="81"/>
      <c r="U50" s="81"/>
      <c r="V50" s="82"/>
    </row>
    <row r="51" spans="19:22">
      <c r="S51" s="83"/>
      <c r="T51" s="81"/>
      <c r="U51" s="81"/>
      <c r="V51" s="82"/>
    </row>
    <row r="52" spans="19:22">
      <c r="S52" s="83"/>
      <c r="T52" s="81"/>
      <c r="U52" s="81"/>
      <c r="V52" s="82"/>
    </row>
    <row r="53" spans="19:22">
      <c r="S53" s="83"/>
      <c r="T53" s="81"/>
      <c r="U53" s="81"/>
      <c r="V53" s="82"/>
    </row>
    <row r="54" spans="19:22">
      <c r="S54" s="83"/>
      <c r="T54" s="81"/>
      <c r="U54" s="81"/>
      <c r="V54" s="82"/>
    </row>
    <row r="55" spans="19:22">
      <c r="S55" s="83"/>
      <c r="T55" s="81"/>
      <c r="U55" s="81"/>
      <c r="V55" s="82"/>
    </row>
    <row r="56" spans="19:22">
      <c r="S56" s="83"/>
      <c r="T56" s="81"/>
      <c r="U56" s="81"/>
      <c r="V56" s="82"/>
    </row>
    <row r="57" spans="19:22">
      <c r="S57" s="83"/>
      <c r="T57" s="81"/>
      <c r="U57" s="81"/>
      <c r="V57" s="82"/>
    </row>
    <row r="58" spans="19:22">
      <c r="S58" s="83"/>
      <c r="T58" s="81"/>
      <c r="U58" s="81"/>
      <c r="V58" s="82"/>
    </row>
    <row r="59" spans="19:22">
      <c r="S59" s="83"/>
      <c r="T59" s="81"/>
      <c r="U59" s="81"/>
      <c r="V59" s="82"/>
    </row>
    <row r="60" spans="19:22">
      <c r="S60" s="83"/>
      <c r="T60" s="81"/>
      <c r="U60" s="81"/>
      <c r="V60" s="82"/>
    </row>
    <row r="61" spans="19:22">
      <c r="S61" s="83"/>
      <c r="T61" s="81"/>
      <c r="U61" s="81"/>
      <c r="V61" s="82"/>
    </row>
    <row r="62" spans="19:22">
      <c r="S62" s="83"/>
      <c r="T62" s="81"/>
      <c r="U62" s="81"/>
      <c r="V62" s="82"/>
    </row>
    <row r="63" spans="19:22">
      <c r="S63" s="83"/>
      <c r="T63" s="81"/>
      <c r="U63" s="81"/>
      <c r="V63" s="82"/>
    </row>
    <row r="64" spans="19:22">
      <c r="S64" s="83"/>
      <c r="T64" s="81"/>
      <c r="U64" s="81"/>
      <c r="V64" s="82"/>
    </row>
    <row r="65" spans="1:22">
      <c r="S65" s="83"/>
      <c r="T65" s="81"/>
      <c r="U65" s="81"/>
      <c r="V65" s="82"/>
    </row>
    <row r="66" spans="1:22">
      <c r="S66" s="83"/>
      <c r="T66" s="81"/>
      <c r="U66" s="81"/>
      <c r="V66" s="82"/>
    </row>
    <row r="67" spans="1:22">
      <c r="S67" s="83"/>
      <c r="T67" s="81"/>
      <c r="U67" s="81"/>
      <c r="V67" s="82"/>
    </row>
    <row r="68" spans="1:22">
      <c r="S68" s="83"/>
      <c r="T68" s="81"/>
      <c r="U68" s="81"/>
      <c r="V68" s="82"/>
    </row>
    <row r="69" spans="1:22">
      <c r="S69" s="83"/>
      <c r="T69" s="81"/>
      <c r="U69" s="81"/>
      <c r="V69" s="82"/>
    </row>
    <row r="70" spans="1:22">
      <c r="S70" s="83"/>
      <c r="T70" s="81"/>
      <c r="U70" s="81"/>
      <c r="V70" s="82"/>
    </row>
    <row r="71" spans="1:22">
      <c r="S71" s="83"/>
      <c r="T71" s="81"/>
      <c r="U71" s="81"/>
      <c r="V71" s="82"/>
    </row>
    <row r="72" spans="1:22">
      <c r="S72" s="83"/>
      <c r="T72" s="81"/>
      <c r="U72" s="81"/>
      <c r="V72" s="82"/>
    </row>
    <row r="73" spans="1:22">
      <c r="B73" s="24"/>
      <c r="C73" s="295" t="s">
        <v>117</v>
      </c>
      <c r="D73" s="295"/>
      <c r="E73" s="25" t="s">
        <v>118</v>
      </c>
      <c r="F73" s="25"/>
      <c r="G73" s="24"/>
      <c r="H73" s="294" t="s">
        <v>124</v>
      </c>
      <c r="I73" s="295"/>
      <c r="J73" s="25" t="s">
        <v>118</v>
      </c>
      <c r="S73" s="83"/>
      <c r="T73" s="81"/>
      <c r="U73" s="81"/>
      <c r="V73" s="82"/>
    </row>
    <row r="74" spans="1:22">
      <c r="B74" s="25" t="s">
        <v>53</v>
      </c>
      <c r="C74" s="25" t="s">
        <v>119</v>
      </c>
      <c r="D74" s="26" t="s">
        <v>86</v>
      </c>
      <c r="E74" s="25" t="s">
        <v>120</v>
      </c>
      <c r="F74" s="25"/>
      <c r="G74" s="25" t="s">
        <v>53</v>
      </c>
      <c r="H74" s="25" t="s">
        <v>119</v>
      </c>
      <c r="I74" s="26" t="s">
        <v>86</v>
      </c>
      <c r="J74" s="25" t="s">
        <v>120</v>
      </c>
      <c r="S74" s="83"/>
      <c r="T74" s="81"/>
      <c r="U74" s="81"/>
      <c r="V74" s="82"/>
    </row>
    <row r="75" spans="1:22">
      <c r="B75" s="24">
        <v>2010</v>
      </c>
      <c r="C75" s="27">
        <v>264765478.77365178</v>
      </c>
      <c r="D75" s="27" t="e">
        <v>#REF!</v>
      </c>
      <c r="E75" s="28" t="e">
        <f>ABS(C75-D75)/C75</f>
        <v>#REF!</v>
      </c>
      <c r="F75" s="28"/>
      <c r="G75" s="24">
        <v>2010</v>
      </c>
      <c r="H75" s="27">
        <f>SUMIF('GS&lt;50 Predicted Monthly'!$C:$C,G75,'GS&lt;50 Predicted Monthly'!D:D)</f>
        <v>0</v>
      </c>
      <c r="I75" s="27">
        <f>SUMIF('GS&lt;50 Predicted Monthly'!$C:$C,G75,'GS&lt;50 Predicted Monthly'!O:O)</f>
        <v>0</v>
      </c>
      <c r="J75" s="28" t="e">
        <f t="shared" ref="J75:J84" si="15">ABS(H75-I75)/H75</f>
        <v>#DIV/0!</v>
      </c>
      <c r="S75" s="83"/>
      <c r="T75" s="81"/>
      <c r="U75" s="81"/>
      <c r="V75" s="82"/>
    </row>
    <row r="76" spans="1:22">
      <c r="B76" s="25">
        <v>2011</v>
      </c>
      <c r="C76" s="27">
        <v>258092089.49168485</v>
      </c>
      <c r="D76" s="27" t="e">
        <v>#REF!</v>
      </c>
      <c r="E76" s="28" t="e">
        <f>ABS(C76-D76)/C76</f>
        <v>#REF!</v>
      </c>
      <c r="F76" s="28"/>
      <c r="G76" s="25">
        <v>2011</v>
      </c>
      <c r="H76" s="27">
        <f>SUMIF('GS&lt;50 Predicted Monthly'!$C:$C,G76,'GS&lt;50 Predicted Monthly'!D:D)</f>
        <v>0</v>
      </c>
      <c r="I76" s="27">
        <f>SUMIF('GS&lt;50 Predicted Monthly'!$C:$C,G76,'GS&lt;50 Predicted Monthly'!O:O)</f>
        <v>0</v>
      </c>
      <c r="J76" s="28" t="e">
        <f t="shared" si="15"/>
        <v>#DIV/0!</v>
      </c>
      <c r="S76" s="83"/>
      <c r="T76" s="81"/>
      <c r="U76" s="81"/>
      <c r="V76" s="82"/>
    </row>
    <row r="77" spans="1:22">
      <c r="B77" s="24">
        <v>2012</v>
      </c>
      <c r="C77" s="27">
        <v>257869306.08309445</v>
      </c>
      <c r="D77" s="27">
        <v>266255858.68528369</v>
      </c>
      <c r="E77" s="28">
        <f>ABS(C77-D77)/C77</f>
        <v>3.2522492612931622E-2</v>
      </c>
      <c r="F77" s="28"/>
      <c r="G77" s="24">
        <v>2012</v>
      </c>
      <c r="H77" s="27">
        <f>SUMIF('GS&lt;50 Predicted Monthly'!$C:$C,G77,'GS&lt;50 Predicted Monthly'!D:D)</f>
        <v>104268159.33148342</v>
      </c>
      <c r="I77" s="27">
        <f>SUMIF('GS&lt;50 Predicted Monthly'!$C:$C,G77,'GS&lt;50 Predicted Monthly'!O:O)</f>
        <v>104145780.31414226</v>
      </c>
      <c r="J77" s="28">
        <f t="shared" si="15"/>
        <v>1.1736950007154754E-3</v>
      </c>
      <c r="S77" s="83"/>
      <c r="T77" s="81"/>
      <c r="U77" s="81"/>
      <c r="V77" s="82"/>
    </row>
    <row r="78" spans="1:22">
      <c r="B78" s="25">
        <v>2013</v>
      </c>
      <c r="C78" s="27">
        <v>257847061.41083631</v>
      </c>
      <c r="D78" s="27">
        <v>271229325.57173938</v>
      </c>
      <c r="E78" s="28">
        <f>ABS(C78-D78)/C78</f>
        <v>5.1900006490982108E-2</v>
      </c>
      <c r="F78" s="28"/>
      <c r="G78" s="25">
        <v>2013</v>
      </c>
      <c r="H78" s="27">
        <f>SUMIF('GS&lt;50 Predicted Monthly'!$C:$C,G78,'GS&lt;50 Predicted Monthly'!D:D)</f>
        <v>104972493.37099701</v>
      </c>
      <c r="I78" s="27">
        <f>SUMIF('GS&lt;50 Predicted Monthly'!$C:$C,G78,'GS&lt;50 Predicted Monthly'!O:O)</f>
        <v>104831436.23024651</v>
      </c>
      <c r="J78" s="28">
        <f t="shared" si="15"/>
        <v>1.3437533607205947E-3</v>
      </c>
      <c r="S78" s="83"/>
      <c r="T78" s="81"/>
      <c r="U78" s="81"/>
      <c r="V78" s="82"/>
    </row>
    <row r="79" spans="1:22">
      <c r="A79" t="s">
        <v>192</v>
      </c>
      <c r="B79" s="24">
        <v>2014</v>
      </c>
      <c r="C79" s="27">
        <v>252161003.50009099</v>
      </c>
      <c r="D79" s="27">
        <v>265448697.58820805</v>
      </c>
      <c r="E79" s="28">
        <f>ABS(C79-D79)/C79</f>
        <v>5.2695277634839631E-2</v>
      </c>
      <c r="F79" s="28"/>
      <c r="G79" s="24">
        <v>2014</v>
      </c>
      <c r="H79" s="27">
        <f>SUMIF('GS&lt;50 Predicted Monthly'!$C:$C,G79,'GS&lt;50 Predicted Monthly'!D:D)</f>
        <v>106264756.09373076</v>
      </c>
      <c r="I79" s="27">
        <f>SUMIF('GS&lt;50 Predicted Monthly'!$C:$C,G79,'GS&lt;50 Predicted Monthly'!O:O)</f>
        <v>104466861.18025985</v>
      </c>
      <c r="J79" s="28">
        <f t="shared" si="15"/>
        <v>1.6919014163878351E-2</v>
      </c>
      <c r="S79" s="83"/>
      <c r="T79" s="81"/>
      <c r="U79" s="81"/>
      <c r="V79" s="82"/>
    </row>
    <row r="80" spans="1:22">
      <c r="B80" s="25">
        <v>2015</v>
      </c>
      <c r="C80" s="27">
        <v>252472940.02763164</v>
      </c>
      <c r="D80" s="27">
        <v>264977411.57197857</v>
      </c>
      <c r="E80" s="28">
        <f t="shared" ref="E80:E85" si="16">ABS(C80-D80)/C80</f>
        <v>4.9527967405054933E-2</v>
      </c>
      <c r="F80" s="28"/>
      <c r="G80" s="25">
        <v>2015</v>
      </c>
      <c r="H80" s="27">
        <f>SUMIF('GS&lt;50 Predicted Monthly'!$C:$C,G80,'GS&lt;50 Predicted Monthly'!D:D)</f>
        <v>107955640.79192054</v>
      </c>
      <c r="I80" s="27">
        <f>SUMIF('GS&lt;50 Predicted Monthly'!$C:$C,G80,'GS&lt;50 Predicted Monthly'!O:O)</f>
        <v>105631395.29167293</v>
      </c>
      <c r="J80" s="28">
        <f t="shared" si="15"/>
        <v>2.1529634609158473E-2</v>
      </c>
      <c r="S80" s="83"/>
      <c r="T80" s="81"/>
      <c r="U80" s="81"/>
      <c r="V80" s="82"/>
    </row>
    <row r="81" spans="2:22">
      <c r="B81" s="24">
        <v>2016</v>
      </c>
      <c r="C81" s="27">
        <v>261879307.49471176</v>
      </c>
      <c r="D81" s="27">
        <v>272389111.82843953</v>
      </c>
      <c r="E81" s="28">
        <f t="shared" si="16"/>
        <v>4.0132244255075424E-2</v>
      </c>
      <c r="F81" s="28"/>
      <c r="G81" s="24">
        <v>2016</v>
      </c>
      <c r="H81" s="27">
        <f>SUMIF('GS&lt;50 Predicted Monthly'!$C:$C,G81,'GS&lt;50 Predicted Monthly'!D:D)</f>
        <v>107393352.63537197</v>
      </c>
      <c r="I81" s="27">
        <f>SUMIF('GS&lt;50 Predicted Monthly'!$C:$C,G81,'GS&lt;50 Predicted Monthly'!O:O)</f>
        <v>106486780.09880984</v>
      </c>
      <c r="J81" s="28">
        <f t="shared" si="15"/>
        <v>8.4416075512622896E-3</v>
      </c>
      <c r="S81" s="83"/>
      <c r="T81" s="81"/>
      <c r="U81" s="81"/>
      <c r="V81" s="82"/>
    </row>
    <row r="82" spans="2:22">
      <c r="B82" s="25">
        <v>2017</v>
      </c>
      <c r="C82" s="27">
        <v>255917676.66989917</v>
      </c>
      <c r="D82" s="27">
        <v>267399286.97272119</v>
      </c>
      <c r="E82" s="28">
        <f t="shared" si="16"/>
        <v>4.4864467559354339E-2</v>
      </c>
      <c r="F82" s="28"/>
      <c r="G82" s="25">
        <v>2017</v>
      </c>
      <c r="H82" s="27">
        <f>SUMIF('GS&lt;50 Predicted Monthly'!$C:$C,G82,'GS&lt;50 Predicted Monthly'!D:D)</f>
        <v>102664514.77493219</v>
      </c>
      <c r="I82" s="27">
        <f>SUMIF('GS&lt;50 Predicted Monthly'!$C:$C,G82,'GS&lt;50 Predicted Monthly'!O:O)</f>
        <v>104697105.63517912</v>
      </c>
      <c r="J82" s="28">
        <f t="shared" si="15"/>
        <v>1.979837789817547E-2</v>
      </c>
      <c r="S82" s="83"/>
      <c r="T82" s="81"/>
      <c r="U82" s="81"/>
      <c r="V82" s="82"/>
    </row>
    <row r="83" spans="2:22">
      <c r="B83" s="24">
        <v>2018</v>
      </c>
      <c r="C83" s="27">
        <v>274156480.89960718</v>
      </c>
      <c r="D83" s="27">
        <v>281098917.56655431</v>
      </c>
      <c r="E83" s="28">
        <f t="shared" si="16"/>
        <v>2.5322898237409765E-2</v>
      </c>
      <c r="F83" s="28"/>
      <c r="G83" s="24">
        <v>2018</v>
      </c>
      <c r="H83" s="27">
        <f>SUMIF('GS&lt;50 Predicted Monthly'!$C:$C,G83,'GS&lt;50 Predicted Monthly'!D:D)</f>
        <v>105367441.44738773</v>
      </c>
      <c r="I83" s="27">
        <f>SUMIF('GS&lt;50 Predicted Monthly'!$C:$C,G83,'GS&lt;50 Predicted Monthly'!O:O)</f>
        <v>108854958.5094458</v>
      </c>
      <c r="J83" s="28">
        <f t="shared" si="15"/>
        <v>3.3098621492099814E-2</v>
      </c>
      <c r="S83" s="83"/>
      <c r="T83" s="81"/>
      <c r="U83" s="81"/>
      <c r="V83" s="82"/>
    </row>
    <row r="84" spans="2:22">
      <c r="B84" s="24">
        <v>2019</v>
      </c>
      <c r="C84" s="27">
        <v>267147932.46974608</v>
      </c>
      <c r="D84" s="27">
        <v>279026505.95455617</v>
      </c>
      <c r="E84" s="28">
        <f t="shared" si="16"/>
        <v>4.4464403579673246E-2</v>
      </c>
      <c r="F84" s="28"/>
      <c r="G84" s="25">
        <v>2019</v>
      </c>
      <c r="H84" s="27">
        <f>SUMIF('GS&lt;50 Predicted Monthly'!$C:$C,G84,'GS&lt;50 Predicted Monthly'!D:D)</f>
        <v>106090220.65794849</v>
      </c>
      <c r="I84" s="27">
        <f>SUMIF('GS&lt;50 Predicted Monthly'!$C:$C,G84,'GS&lt;50 Predicted Monthly'!O:O)</f>
        <v>106422772.65593772</v>
      </c>
      <c r="J84" s="28">
        <f t="shared" si="15"/>
        <v>3.1346150090631087E-3</v>
      </c>
      <c r="S84" s="83"/>
      <c r="T84" s="81"/>
      <c r="U84" s="81"/>
      <c r="V84" s="82"/>
    </row>
    <row r="85" spans="2:22">
      <c r="B85" s="83" t="s">
        <v>23</v>
      </c>
      <c r="C85" s="81">
        <f>SUM(C75:C84)</f>
        <v>2602309276.8209548</v>
      </c>
      <c r="D85" s="81" t="e">
        <f>SUM(D75:D84)</f>
        <v>#REF!</v>
      </c>
      <c r="E85" s="82" t="e">
        <f t="shared" si="16"/>
        <v>#REF!</v>
      </c>
      <c r="F85" s="28"/>
      <c r="G85" s="83" t="s">
        <v>23</v>
      </c>
      <c r="H85" s="81">
        <f>SUM(H75:H84)</f>
        <v>844976579.10377204</v>
      </c>
      <c r="I85" s="81">
        <f>SUM(I75:I84)</f>
        <v>845537089.915694</v>
      </c>
      <c r="J85" s="82">
        <f>ABS(H85-I85)/H85</f>
        <v>6.6334479059344147E-4</v>
      </c>
      <c r="S85" s="83"/>
      <c r="T85" s="81"/>
      <c r="U85" s="81"/>
      <c r="V85" s="82"/>
    </row>
    <row r="86" spans="2:22">
      <c r="B86" s="24"/>
      <c r="C86" s="24"/>
      <c r="D86" s="24"/>
      <c r="E86" s="24"/>
      <c r="F86" s="24"/>
      <c r="G86" s="24"/>
      <c r="H86" s="24"/>
      <c r="I86" s="24"/>
      <c r="J86" s="24"/>
      <c r="S86" s="83"/>
      <c r="T86" s="81"/>
      <c r="U86" s="81"/>
      <c r="V86" s="82"/>
    </row>
    <row r="87" spans="2:22">
      <c r="B87" s="293" t="s">
        <v>121</v>
      </c>
      <c r="C87" s="293"/>
      <c r="D87" s="293"/>
      <c r="E87" s="29" t="e">
        <f>AVERAGE(E75:E84)</f>
        <v>#REF!</v>
      </c>
      <c r="F87" s="29"/>
      <c r="G87" s="293" t="s">
        <v>121</v>
      </c>
      <c r="H87" s="293"/>
      <c r="I87" s="293"/>
      <c r="J87" s="29" t="e">
        <f>AVERAGE(J75:J84)</f>
        <v>#DIV/0!</v>
      </c>
      <c r="S87" s="83"/>
      <c r="T87" s="81"/>
      <c r="U87" s="81"/>
      <c r="V87" s="82"/>
    </row>
    <row r="88" spans="2:22">
      <c r="B88" s="293" t="s">
        <v>122</v>
      </c>
      <c r="C88" s="293"/>
      <c r="D88" s="293"/>
      <c r="E88" s="29" t="e">
        <v>#REF!</v>
      </c>
      <c r="F88" s="29"/>
      <c r="G88" s="293" t="s">
        <v>122</v>
      </c>
      <c r="H88" s="293"/>
      <c r="I88" s="293"/>
      <c r="J88" s="29">
        <f>'GS&lt;50 Predicted Monthly'!Q135</f>
        <v>0</v>
      </c>
      <c r="S88" s="83"/>
      <c r="T88" s="81"/>
      <c r="U88" s="81"/>
      <c r="V88" s="82"/>
    </row>
    <row r="89" spans="2:22">
      <c r="S89" s="83"/>
      <c r="T89" s="81"/>
      <c r="U89" s="81"/>
      <c r="V89" s="82"/>
    </row>
    <row r="90" spans="2:22">
      <c r="S90" s="83"/>
      <c r="T90" s="81"/>
      <c r="U90" s="81"/>
      <c r="V90" s="82"/>
    </row>
    <row r="91" spans="2:22">
      <c r="S91" s="83"/>
      <c r="T91" s="81"/>
      <c r="U91" s="81"/>
      <c r="V91" s="82"/>
    </row>
    <row r="92" spans="2:22">
      <c r="S92" s="83"/>
      <c r="T92" s="81"/>
      <c r="U92" s="81"/>
      <c r="V92" s="82"/>
    </row>
    <row r="93" spans="2:22">
      <c r="S93" s="83"/>
      <c r="T93" s="81"/>
      <c r="U93" s="81"/>
      <c r="V93" s="82"/>
    </row>
    <row r="94" spans="2:22">
      <c r="S94" s="83"/>
      <c r="T94" s="81"/>
      <c r="U94" s="81"/>
      <c r="V94" s="82"/>
    </row>
    <row r="95" spans="2:22">
      <c r="S95" s="83"/>
      <c r="T95" s="81"/>
      <c r="U95" s="81"/>
      <c r="V95" s="82"/>
    </row>
    <row r="96" spans="2:22">
      <c r="S96" s="83"/>
      <c r="T96" s="81"/>
      <c r="U96" s="81"/>
      <c r="V96" s="82"/>
    </row>
    <row r="97" spans="19:22">
      <c r="S97" s="83"/>
      <c r="T97" s="81"/>
      <c r="U97" s="81"/>
      <c r="V97" s="82"/>
    </row>
    <row r="98" spans="19:22">
      <c r="S98" s="83"/>
      <c r="T98" s="81"/>
      <c r="U98" s="81"/>
      <c r="V98" s="82"/>
    </row>
    <row r="99" spans="19:22">
      <c r="S99" s="83"/>
      <c r="T99" s="81"/>
      <c r="U99" s="81"/>
      <c r="V99" s="82"/>
    </row>
    <row r="100" spans="19:22">
      <c r="S100" s="83"/>
      <c r="T100" s="81"/>
      <c r="U100" s="81"/>
      <c r="V100" s="82"/>
    </row>
    <row r="101" spans="19:22">
      <c r="S101" s="83"/>
      <c r="T101" s="81"/>
      <c r="U101" s="81"/>
      <c r="V101" s="82"/>
    </row>
    <row r="102" spans="19:22">
      <c r="S102" s="83"/>
      <c r="T102" s="81"/>
      <c r="U102" s="81"/>
      <c r="V102" s="82"/>
    </row>
    <row r="103" spans="19:22">
      <c r="S103" s="83"/>
      <c r="T103" s="81"/>
      <c r="U103" s="81"/>
      <c r="V103" s="82"/>
    </row>
    <row r="104" spans="19:22">
      <c r="S104" s="83"/>
      <c r="T104" s="81"/>
      <c r="U104" s="81"/>
      <c r="V104" s="82"/>
    </row>
    <row r="105" spans="19:22">
      <c r="S105" s="83"/>
      <c r="T105" s="81"/>
      <c r="U105" s="81"/>
      <c r="V105" s="82"/>
    </row>
    <row r="106" spans="19:22">
      <c r="S106" s="83"/>
      <c r="T106" s="81"/>
      <c r="U106" s="81"/>
      <c r="V106" s="82"/>
    </row>
    <row r="107" spans="19:22">
      <c r="S107" s="83"/>
      <c r="T107" s="81"/>
      <c r="U107" s="81"/>
      <c r="V107" s="82"/>
    </row>
  </sheetData>
  <mergeCells count="24">
    <mergeCell ref="B88:D88"/>
    <mergeCell ref="C38:D38"/>
    <mergeCell ref="B17:D17"/>
    <mergeCell ref="B18:D18"/>
    <mergeCell ref="C73:D73"/>
    <mergeCell ref="B87:D87"/>
    <mergeCell ref="C2:D2"/>
    <mergeCell ref="H2:I2"/>
    <mergeCell ref="W2:X2"/>
    <mergeCell ref="V17:X17"/>
    <mergeCell ref="V18:X18"/>
    <mergeCell ref="M2:N2"/>
    <mergeCell ref="R2:S2"/>
    <mergeCell ref="Q17:S17"/>
    <mergeCell ref="Q18:S18"/>
    <mergeCell ref="G88:I88"/>
    <mergeCell ref="M38:N38"/>
    <mergeCell ref="L17:N17"/>
    <mergeCell ref="L18:N18"/>
    <mergeCell ref="H38:I38"/>
    <mergeCell ref="G17:I17"/>
    <mergeCell ref="G18:I18"/>
    <mergeCell ref="H73:I73"/>
    <mergeCell ref="G87:I8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C145"/>
  <sheetViews>
    <sheetView topLeftCell="N7" workbookViewId="0">
      <selection activeCell="AG18" sqref="AG18"/>
    </sheetView>
  </sheetViews>
  <sheetFormatPr defaultRowHeight="15"/>
  <cols>
    <col min="1" max="1" width="11.7109375" customWidth="1"/>
    <col min="4" max="4" width="17.7109375" customWidth="1"/>
    <col min="7" max="7" width="14.140625" customWidth="1"/>
    <col min="14" max="14" width="12.7109375" customWidth="1"/>
    <col min="15" max="15" width="12.7109375" bestFit="1" customWidth="1"/>
    <col min="16" max="16" width="12" bestFit="1" customWidth="1"/>
    <col min="17" max="17" width="14.28515625" bestFit="1" customWidth="1"/>
    <col min="18" max="18" width="12" bestFit="1" customWidth="1"/>
    <col min="19" max="19" width="12.28515625" bestFit="1" customWidth="1"/>
    <col min="20" max="20" width="12.7109375" bestFit="1" customWidth="1"/>
    <col min="21" max="22" width="12.7109375" customWidth="1"/>
    <col min="23" max="23" width="13" customWidth="1"/>
    <col min="24" max="24" width="13.140625" customWidth="1"/>
    <col min="25" max="25" width="15" customWidth="1"/>
    <col min="26" max="26" width="12.28515625" customWidth="1"/>
  </cols>
  <sheetData>
    <row r="1" spans="1:29">
      <c r="A1" t="s">
        <v>0</v>
      </c>
      <c r="B1" t="s">
        <v>52</v>
      </c>
      <c r="C1" t="s">
        <v>53</v>
      </c>
      <c r="D1" t="str">
        <f>'Monthly Data'!F1</f>
        <v>ReskWh_NoCDM</v>
      </c>
      <c r="E1" t="str">
        <f>'Monthly Data'!AO1</f>
        <v>HDD14</v>
      </c>
      <c r="F1" t="str">
        <f>'Monthly Data'!AN1</f>
        <v>CDD16</v>
      </c>
      <c r="G1" t="str">
        <f>'Monthly Data'!AY1</f>
        <v>Adj.Ont_FTE</v>
      </c>
      <c r="H1" t="str">
        <f>'Monthly Data'!CB1</f>
        <v>Dec</v>
      </c>
      <c r="I1" t="str">
        <f>'Monthly Data'!CF1</f>
        <v>Month Days</v>
      </c>
      <c r="J1" t="str">
        <f>'Monthly Data'!CE1</f>
        <v>Shoulder</v>
      </c>
      <c r="K1" t="s">
        <v>331</v>
      </c>
      <c r="L1" t="s">
        <v>330</v>
      </c>
      <c r="N1" t="s">
        <v>85</v>
      </c>
      <c r="O1" t="str">
        <f t="shared" ref="O1:V1" si="0">E1</f>
        <v>HDD14</v>
      </c>
      <c r="P1" t="str">
        <f t="shared" si="0"/>
        <v>CDD16</v>
      </c>
      <c r="Q1" t="str">
        <f t="shared" si="0"/>
        <v>Adj.Ont_FTE</v>
      </c>
      <c r="R1" t="str">
        <f t="shared" si="0"/>
        <v>Dec</v>
      </c>
      <c r="S1" t="str">
        <f t="shared" si="0"/>
        <v>Month Days</v>
      </c>
      <c r="T1" t="str">
        <f t="shared" si="0"/>
        <v>Shoulder</v>
      </c>
      <c r="U1" t="str">
        <f t="shared" si="0"/>
        <v>COVIDHDD14</v>
      </c>
      <c r="V1" t="str">
        <f t="shared" si="0"/>
        <v>COVIDCDD16</v>
      </c>
      <c r="W1" t="s">
        <v>86</v>
      </c>
    </row>
    <row r="2" spans="1:29">
      <c r="A2" s="20">
        <f>'Monthly Data'!A2</f>
        <v>40909</v>
      </c>
      <c r="B2">
        <f t="shared" ref="B2:B43" si="1">MONTH(A2)</f>
        <v>1</v>
      </c>
      <c r="C2">
        <f t="shared" ref="C2:C43" si="2">YEAR(A2)</f>
        <v>2012</v>
      </c>
      <c r="D2" s="6">
        <v>22940442.075525835</v>
      </c>
      <c r="E2" s="7">
        <f ca="1">Weather!BO61</f>
        <v>564.86</v>
      </c>
      <c r="F2" s="7">
        <f ca="1">Weather!BG61</f>
        <v>0</v>
      </c>
      <c r="G2">
        <v>6611.1</v>
      </c>
      <c r="H2">
        <v>0</v>
      </c>
      <c r="I2">
        <v>31</v>
      </c>
      <c r="J2">
        <f>'Monthly Data'!CE2</f>
        <v>0</v>
      </c>
      <c r="K2">
        <v>0</v>
      </c>
      <c r="L2">
        <v>0</v>
      </c>
      <c r="N2" s="6">
        <f>$Z$7</f>
        <v>-12141897.0683104</v>
      </c>
      <c r="O2" s="6">
        <f ca="1">E2*$Z$8</f>
        <v>6399183.9261479704</v>
      </c>
      <c r="P2" s="6">
        <f ca="1">F2*$Z$9</f>
        <v>0</v>
      </c>
      <c r="Q2" s="6">
        <f>G2*$Z$10</f>
        <v>9262529.1419620197</v>
      </c>
      <c r="R2" s="6">
        <f>H2*$Z$11</f>
        <v>0</v>
      </c>
      <c r="S2" s="6">
        <f>I2*$Z$12</f>
        <v>19225004.128495038</v>
      </c>
      <c r="T2" s="6">
        <f>J2*$Z$13</f>
        <v>0</v>
      </c>
      <c r="U2" s="6">
        <f>K2*$Z$14</f>
        <v>0</v>
      </c>
      <c r="V2" s="6">
        <f>L2*$Z$15</f>
        <v>0</v>
      </c>
      <c r="W2" s="6">
        <f ca="1">SUM(N2:V2)</f>
        <v>22744820.128294628</v>
      </c>
      <c r="X2" s="6"/>
      <c r="Y2" t="s">
        <v>368</v>
      </c>
    </row>
    <row r="3" spans="1:29">
      <c r="A3" s="20">
        <f>'Monthly Data'!A3</f>
        <v>40940</v>
      </c>
      <c r="B3">
        <f t="shared" si="1"/>
        <v>2</v>
      </c>
      <c r="C3">
        <f t="shared" si="2"/>
        <v>2012</v>
      </c>
      <c r="D3" s="6">
        <v>19750182.603521436</v>
      </c>
      <c r="E3" s="7">
        <f ca="1">Weather!BO62</f>
        <v>516.43000000000006</v>
      </c>
      <c r="F3" s="7">
        <f ca="1">Weather!BG62</f>
        <v>0</v>
      </c>
      <c r="G3">
        <v>6571.2</v>
      </c>
      <c r="H3">
        <v>0</v>
      </c>
      <c r="I3">
        <v>29</v>
      </c>
      <c r="J3">
        <f>'Monthly Data'!CE3</f>
        <v>0</v>
      </c>
      <c r="K3">
        <v>0</v>
      </c>
      <c r="L3">
        <v>0</v>
      </c>
      <c r="N3" s="6">
        <f t="shared" ref="N3:N66" si="3">$Z$7</f>
        <v>-12141897.0683104</v>
      </c>
      <c r="O3" s="6">
        <f t="shared" ref="O3:O66" ca="1" si="4">E3*$Z$8</f>
        <v>5850530.3172124</v>
      </c>
      <c r="P3" s="6">
        <f t="shared" ref="P3:P66" ca="1" si="5">F3*$Z$9</f>
        <v>0</v>
      </c>
      <c r="Q3" s="6">
        <f t="shared" ref="Q3:Q66" si="6">G3*$Z$10</f>
        <v>9206626.960363755</v>
      </c>
      <c r="R3" s="6">
        <f t="shared" ref="R3:R66" si="7">H3*$Z$11</f>
        <v>0</v>
      </c>
      <c r="S3" s="6">
        <f t="shared" ref="S3:S66" si="8">I3*$Z$12</f>
        <v>17984681.281495359</v>
      </c>
      <c r="T3" s="6">
        <f t="shared" ref="T3:T66" si="9">J3*$Z$13</f>
        <v>0</v>
      </c>
      <c r="U3" s="6">
        <f t="shared" ref="U3:U66" si="10">K3*$Z$14</f>
        <v>0</v>
      </c>
      <c r="V3" s="6">
        <f t="shared" ref="V3:V66" si="11">L3*$Z$15</f>
        <v>0</v>
      </c>
      <c r="W3" s="6">
        <f t="shared" ref="W3:W66" ca="1" si="12">SUM(N3:V3)</f>
        <v>20899941.490761112</v>
      </c>
      <c r="X3" s="6"/>
      <c r="Y3" t="s">
        <v>88</v>
      </c>
    </row>
    <row r="4" spans="1:29">
      <c r="A4" s="20">
        <f>'Monthly Data'!A4</f>
        <v>40969</v>
      </c>
      <c r="B4">
        <f t="shared" si="1"/>
        <v>3</v>
      </c>
      <c r="C4">
        <f t="shared" si="2"/>
        <v>2012</v>
      </c>
      <c r="D4" s="6">
        <v>18667532.484367538</v>
      </c>
      <c r="E4" s="7">
        <f ca="1">Weather!BO63</f>
        <v>412.32</v>
      </c>
      <c r="F4" s="7">
        <f ca="1">Weather!BG63</f>
        <v>0.57842105263157961</v>
      </c>
      <c r="G4">
        <v>6541.5</v>
      </c>
      <c r="H4">
        <v>0</v>
      </c>
      <c r="I4">
        <v>31</v>
      </c>
      <c r="J4">
        <f>'Monthly Data'!CE4</f>
        <v>1</v>
      </c>
      <c r="K4">
        <v>0</v>
      </c>
      <c r="L4">
        <v>0</v>
      </c>
      <c r="N4" s="6">
        <f t="shared" si="3"/>
        <v>-12141897.0683104</v>
      </c>
      <c r="O4" s="6">
        <f t="shared" ca="1" si="4"/>
        <v>4671089.3255485091</v>
      </c>
      <c r="P4" s="6">
        <f t="shared" ca="1" si="5"/>
        <v>36451.33728747975</v>
      </c>
      <c r="Q4" s="6">
        <f t="shared" si="6"/>
        <v>9165015.5620312113</v>
      </c>
      <c r="R4" s="6">
        <f t="shared" si="7"/>
        <v>0</v>
      </c>
      <c r="S4" s="6">
        <f t="shared" si="8"/>
        <v>19225004.128495038</v>
      </c>
      <c r="T4" s="6">
        <f t="shared" si="9"/>
        <v>-730615.53830697597</v>
      </c>
      <c r="U4" s="6">
        <f t="shared" si="10"/>
        <v>0</v>
      </c>
      <c r="V4" s="6">
        <f t="shared" si="11"/>
        <v>0</v>
      </c>
      <c r="W4" s="6">
        <f t="shared" ca="1" si="12"/>
        <v>20225047.74674486</v>
      </c>
      <c r="X4" s="6"/>
      <c r="Y4" t="s">
        <v>369</v>
      </c>
    </row>
    <row r="5" spans="1:29">
      <c r="A5" s="20">
        <f>'Monthly Data'!A5</f>
        <v>41000</v>
      </c>
      <c r="B5">
        <f t="shared" si="1"/>
        <v>4</v>
      </c>
      <c r="C5">
        <f t="shared" si="2"/>
        <v>2012</v>
      </c>
      <c r="D5" s="6">
        <v>17185932.248962335</v>
      </c>
      <c r="E5" s="7">
        <f ca="1">Weather!BO64</f>
        <v>229.95</v>
      </c>
      <c r="F5" s="7">
        <f ca="1">Weather!BG64</f>
        <v>1.3889473684210429</v>
      </c>
      <c r="G5">
        <v>6574.2</v>
      </c>
      <c r="H5">
        <v>0</v>
      </c>
      <c r="I5">
        <v>30</v>
      </c>
      <c r="J5">
        <f>'Monthly Data'!CE5</f>
        <v>1</v>
      </c>
      <c r="K5">
        <v>0</v>
      </c>
      <c r="L5">
        <v>0</v>
      </c>
      <c r="N5" s="6">
        <f t="shared" si="3"/>
        <v>-12141897.0683104</v>
      </c>
      <c r="O5" s="6">
        <f t="shared" ca="1" si="4"/>
        <v>2605056.7287783269</v>
      </c>
      <c r="P5" s="6">
        <f t="shared" ca="1" si="5"/>
        <v>87529.644314520716</v>
      </c>
      <c r="Q5" s="6">
        <f t="shared" si="6"/>
        <v>9210830.1319124959</v>
      </c>
      <c r="R5" s="6">
        <f t="shared" si="7"/>
        <v>0</v>
      </c>
      <c r="S5" s="6">
        <f t="shared" si="8"/>
        <v>18604842.7049952</v>
      </c>
      <c r="T5" s="6">
        <f t="shared" si="9"/>
        <v>-730615.53830697597</v>
      </c>
      <c r="U5" s="6">
        <f t="shared" si="10"/>
        <v>0</v>
      </c>
      <c r="V5" s="6">
        <f t="shared" si="11"/>
        <v>0</v>
      </c>
      <c r="W5" s="6">
        <f t="shared" ca="1" si="12"/>
        <v>17635746.603383165</v>
      </c>
      <c r="X5" s="6"/>
    </row>
    <row r="6" spans="1:29">
      <c r="A6" s="20">
        <f>'Monthly Data'!A6</f>
        <v>41030</v>
      </c>
      <c r="B6">
        <f t="shared" si="1"/>
        <v>5</v>
      </c>
      <c r="C6">
        <f t="shared" si="2"/>
        <v>2012</v>
      </c>
      <c r="D6" s="6">
        <v>18842238.561853837</v>
      </c>
      <c r="E6" s="7">
        <f ca="1">Weather!BO65</f>
        <v>79.77000000000001</v>
      </c>
      <c r="F6" s="7">
        <f ca="1">Weather!BG65</f>
        <v>52.065789473684617</v>
      </c>
      <c r="G6">
        <v>6626.1</v>
      </c>
      <c r="H6">
        <v>0</v>
      </c>
      <c r="I6">
        <v>31</v>
      </c>
      <c r="J6">
        <f>'Monthly Data'!CE6</f>
        <v>1</v>
      </c>
      <c r="K6">
        <v>0</v>
      </c>
      <c r="L6">
        <v>0</v>
      </c>
      <c r="N6" s="6">
        <f t="shared" si="3"/>
        <v>-12141897.0683104</v>
      </c>
      <c r="O6" s="6">
        <f t="shared" ca="1" si="4"/>
        <v>903698.08764795458</v>
      </c>
      <c r="P6" s="6">
        <f t="shared" ca="1" si="5"/>
        <v>3281117.871850735</v>
      </c>
      <c r="Q6" s="6">
        <f t="shared" si="6"/>
        <v>9283544.9997057281</v>
      </c>
      <c r="R6" s="6">
        <f t="shared" si="7"/>
        <v>0</v>
      </c>
      <c r="S6" s="6">
        <f t="shared" si="8"/>
        <v>19225004.128495038</v>
      </c>
      <c r="T6" s="6">
        <f t="shared" si="9"/>
        <v>-730615.53830697597</v>
      </c>
      <c r="U6" s="6">
        <f t="shared" si="10"/>
        <v>0</v>
      </c>
      <c r="V6" s="6">
        <f t="shared" si="11"/>
        <v>0</v>
      </c>
      <c r="W6" s="6">
        <f t="shared" ca="1" si="12"/>
        <v>19820852.481082078</v>
      </c>
      <c r="X6" s="6"/>
      <c r="Z6" s="6" t="s">
        <v>89</v>
      </c>
      <c r="AA6" t="s">
        <v>90</v>
      </c>
      <c r="AB6" t="s">
        <v>91</v>
      </c>
      <c r="AC6" s="21" t="s">
        <v>92</v>
      </c>
    </row>
    <row r="7" spans="1:29">
      <c r="A7" s="20">
        <f>'Monthly Data'!A7</f>
        <v>41061</v>
      </c>
      <c r="B7">
        <f t="shared" si="1"/>
        <v>6</v>
      </c>
      <c r="C7">
        <f t="shared" si="2"/>
        <v>2012</v>
      </c>
      <c r="D7" s="6">
        <v>24330964.085286837</v>
      </c>
      <c r="E7" s="7">
        <f ca="1">Weather!BO66</f>
        <v>5.16</v>
      </c>
      <c r="F7" s="7">
        <f ca="1">Weather!BG66</f>
        <v>106.52421052631576</v>
      </c>
      <c r="G7">
        <v>6702</v>
      </c>
      <c r="H7">
        <v>0</v>
      </c>
      <c r="I7">
        <v>30</v>
      </c>
      <c r="J7">
        <f>'Monthly Data'!CE7</f>
        <v>0</v>
      </c>
      <c r="K7">
        <v>0</v>
      </c>
      <c r="L7">
        <v>0</v>
      </c>
      <c r="N7" s="6">
        <f t="shared" si="3"/>
        <v>-12141897.0683104</v>
      </c>
      <c r="O7" s="6">
        <f t="shared" ca="1" si="4"/>
        <v>58456.589347667606</v>
      </c>
      <c r="P7" s="6">
        <f t="shared" ca="1" si="5"/>
        <v>6713016.2526266966</v>
      </c>
      <c r="Q7" s="6">
        <f t="shared" si="6"/>
        <v>9389885.2398888916</v>
      </c>
      <c r="R7" s="6">
        <f t="shared" si="7"/>
        <v>0</v>
      </c>
      <c r="S7" s="6">
        <f t="shared" si="8"/>
        <v>18604842.7049952</v>
      </c>
      <c r="T7" s="6">
        <f t="shared" si="9"/>
        <v>0</v>
      </c>
      <c r="U7" s="6">
        <f t="shared" si="10"/>
        <v>0</v>
      </c>
      <c r="V7" s="6">
        <f t="shared" si="11"/>
        <v>0</v>
      </c>
      <c r="W7" s="6">
        <f t="shared" ca="1" si="12"/>
        <v>22624303.718548056</v>
      </c>
      <c r="X7" s="6"/>
      <c r="Y7" t="s">
        <v>85</v>
      </c>
      <c r="Z7" s="6">
        <v>-12141897.0683104</v>
      </c>
      <c r="AA7" s="70">
        <v>2605352.20659312</v>
      </c>
      <c r="AB7" s="85">
        <v>-4.6603668546555896</v>
      </c>
      <c r="AC7" s="240">
        <v>8.07107408093822E-6</v>
      </c>
    </row>
    <row r="8" spans="1:29">
      <c r="A8" s="20">
        <f>'Monthly Data'!A8</f>
        <v>41091</v>
      </c>
      <c r="B8">
        <f t="shared" si="1"/>
        <v>7</v>
      </c>
      <c r="C8">
        <f t="shared" si="2"/>
        <v>2012</v>
      </c>
      <c r="D8" s="6">
        <v>30485698.764678538</v>
      </c>
      <c r="E8" s="7">
        <f ca="1">Weather!BO67</f>
        <v>0</v>
      </c>
      <c r="F8" s="7">
        <f ca="1">Weather!BG67</f>
        <v>189.76052631578978</v>
      </c>
      <c r="G8">
        <v>6741.1</v>
      </c>
      <c r="H8">
        <v>0</v>
      </c>
      <c r="I8">
        <v>31</v>
      </c>
      <c r="J8">
        <f>'Monthly Data'!CE8</f>
        <v>0</v>
      </c>
      <c r="K8">
        <v>0</v>
      </c>
      <c r="L8">
        <v>0</v>
      </c>
      <c r="N8" s="6">
        <f t="shared" si="3"/>
        <v>-12141897.0683104</v>
      </c>
      <c r="O8" s="6">
        <f t="shared" ca="1" si="4"/>
        <v>0</v>
      </c>
      <c r="P8" s="6">
        <f t="shared" ca="1" si="5"/>
        <v>11958459.874717372</v>
      </c>
      <c r="Q8" s="6">
        <f t="shared" si="6"/>
        <v>9444666.5757408254</v>
      </c>
      <c r="R8" s="6">
        <f t="shared" si="7"/>
        <v>0</v>
      </c>
      <c r="S8" s="6">
        <f t="shared" si="8"/>
        <v>19225004.128495038</v>
      </c>
      <c r="T8" s="6">
        <f t="shared" si="9"/>
        <v>0</v>
      </c>
      <c r="U8" s="6">
        <f t="shared" si="10"/>
        <v>0</v>
      </c>
      <c r="V8" s="6">
        <f t="shared" si="11"/>
        <v>0</v>
      </c>
      <c r="W8" s="6">
        <f t="shared" ca="1" si="12"/>
        <v>28486233.510642834</v>
      </c>
      <c r="X8" s="6"/>
      <c r="Y8" t="s">
        <v>179</v>
      </c>
      <c r="Z8" s="6">
        <v>11328.796385206901</v>
      </c>
      <c r="AA8" s="70">
        <v>533.10288471963895</v>
      </c>
      <c r="AB8" s="85">
        <v>21.250675451071199</v>
      </c>
      <c r="AC8" s="240">
        <v>5.4457486274447803E-43</v>
      </c>
    </row>
    <row r="9" spans="1:29">
      <c r="A9" s="20">
        <f>'Monthly Data'!A9</f>
        <v>41122</v>
      </c>
      <c r="B9">
        <f t="shared" si="1"/>
        <v>8</v>
      </c>
      <c r="C9">
        <f t="shared" si="2"/>
        <v>2012</v>
      </c>
      <c r="D9" s="6">
        <v>25829575.968242534</v>
      </c>
      <c r="E9" s="7">
        <f ca="1">Weather!BO68</f>
        <v>8.0000000000000071E-2</v>
      </c>
      <c r="F9" s="7">
        <f ca="1">Weather!BG68</f>
        <v>169.11894736842078</v>
      </c>
      <c r="G9">
        <v>6758.8</v>
      </c>
      <c r="H9">
        <v>0</v>
      </c>
      <c r="I9">
        <v>31</v>
      </c>
      <c r="J9">
        <f>'Monthly Data'!CE9</f>
        <v>0</v>
      </c>
      <c r="K9">
        <v>0</v>
      </c>
      <c r="L9">
        <v>0</v>
      </c>
      <c r="N9" s="6">
        <f t="shared" si="3"/>
        <v>-12141897.0683104</v>
      </c>
      <c r="O9" s="6">
        <f t="shared" ca="1" si="4"/>
        <v>906.30371081655289</v>
      </c>
      <c r="P9" s="6">
        <f t="shared" ca="1" si="5"/>
        <v>10657654.599851396</v>
      </c>
      <c r="Q9" s="6">
        <f t="shared" si="6"/>
        <v>9469465.2878783997</v>
      </c>
      <c r="R9" s="6">
        <f t="shared" si="7"/>
        <v>0</v>
      </c>
      <c r="S9" s="6">
        <f t="shared" si="8"/>
        <v>19225004.128495038</v>
      </c>
      <c r="T9" s="6">
        <f t="shared" si="9"/>
        <v>0</v>
      </c>
      <c r="U9" s="6">
        <f t="shared" si="10"/>
        <v>0</v>
      </c>
      <c r="V9" s="6">
        <f t="shared" si="11"/>
        <v>0</v>
      </c>
      <c r="W9" s="6">
        <f t="shared" ca="1" si="12"/>
        <v>27211133.251625247</v>
      </c>
      <c r="X9" s="6"/>
      <c r="Y9" t="s">
        <v>178</v>
      </c>
      <c r="Z9" s="6">
        <v>63018.690487908498</v>
      </c>
      <c r="AA9" s="70">
        <v>1878.35415724375</v>
      </c>
      <c r="AB9" s="85">
        <v>33.549951293732903</v>
      </c>
      <c r="AC9" s="240">
        <v>9.4927391094578204E-64</v>
      </c>
    </row>
    <row r="10" spans="1:29">
      <c r="A10" s="20">
        <f>'Monthly Data'!A10</f>
        <v>41153</v>
      </c>
      <c r="B10">
        <f t="shared" si="1"/>
        <v>9</v>
      </c>
      <c r="C10">
        <f t="shared" si="2"/>
        <v>2012</v>
      </c>
      <c r="D10" s="6">
        <v>19738217.869771238</v>
      </c>
      <c r="E10" s="7">
        <f ca="1">Weather!BO69</f>
        <v>12.280000000000001</v>
      </c>
      <c r="F10" s="7">
        <f ca="1">Weather!BG69</f>
        <v>77.220526315789357</v>
      </c>
      <c r="G10">
        <v>6722.8</v>
      </c>
      <c r="H10">
        <v>0</v>
      </c>
      <c r="I10">
        <v>30</v>
      </c>
      <c r="J10">
        <f>'Monthly Data'!CE10</f>
        <v>1</v>
      </c>
      <c r="K10">
        <v>0</v>
      </c>
      <c r="L10">
        <v>0</v>
      </c>
      <c r="N10" s="6">
        <f t="shared" si="3"/>
        <v>-12141897.0683104</v>
      </c>
      <c r="O10" s="6">
        <f t="shared" ca="1" si="4"/>
        <v>139117.61961034074</v>
      </c>
      <c r="P10" s="6">
        <f t="shared" ca="1" si="5"/>
        <v>4866336.4472081224</v>
      </c>
      <c r="Q10" s="6">
        <f t="shared" si="6"/>
        <v>9419027.229293501</v>
      </c>
      <c r="R10" s="6">
        <f t="shared" si="7"/>
        <v>0</v>
      </c>
      <c r="S10" s="6">
        <f t="shared" si="8"/>
        <v>18604842.7049952</v>
      </c>
      <c r="T10" s="6">
        <f t="shared" si="9"/>
        <v>-730615.53830697597</v>
      </c>
      <c r="U10" s="6">
        <f t="shared" si="10"/>
        <v>0</v>
      </c>
      <c r="V10" s="6">
        <f t="shared" si="11"/>
        <v>0</v>
      </c>
      <c r="W10" s="6">
        <f t="shared" ca="1" si="12"/>
        <v>20156811.394489788</v>
      </c>
      <c r="X10" s="6"/>
      <c r="Y10" t="s">
        <v>191</v>
      </c>
      <c r="Z10" s="6">
        <v>1401.0571829138901</v>
      </c>
      <c r="AA10" s="70">
        <v>250.60886535453099</v>
      </c>
      <c r="AB10" s="85">
        <v>5.5906130093675799</v>
      </c>
      <c r="AC10" s="240">
        <v>1.3882729311346399E-7</v>
      </c>
    </row>
    <row r="11" spans="1:29">
      <c r="A11" s="20">
        <f>'Monthly Data'!A11</f>
        <v>41183</v>
      </c>
      <c r="B11">
        <f t="shared" si="1"/>
        <v>10</v>
      </c>
      <c r="C11">
        <f t="shared" si="2"/>
        <v>2012</v>
      </c>
      <c r="D11" s="6">
        <v>18150877.194894433</v>
      </c>
      <c r="E11" s="7">
        <f ca="1">Weather!BO70</f>
        <v>111.21000000000001</v>
      </c>
      <c r="F11" s="7">
        <f ca="1">Weather!BG70</f>
        <v>16.868947368421004</v>
      </c>
      <c r="G11">
        <v>6699.2</v>
      </c>
      <c r="H11">
        <v>0</v>
      </c>
      <c r="I11">
        <v>31</v>
      </c>
      <c r="J11">
        <f>'Monthly Data'!CE11</f>
        <v>1</v>
      </c>
      <c r="K11">
        <v>0</v>
      </c>
      <c r="L11">
        <v>0</v>
      </c>
      <c r="N11" s="6">
        <f t="shared" si="3"/>
        <v>-12141897.0683104</v>
      </c>
      <c r="O11" s="6">
        <f t="shared" ca="1" si="4"/>
        <v>1259875.4459988596</v>
      </c>
      <c r="P11" s="6">
        <f t="shared" ca="1" si="5"/>
        <v>1063058.9730673418</v>
      </c>
      <c r="Q11" s="6">
        <f t="shared" si="6"/>
        <v>9385962.2797767315</v>
      </c>
      <c r="R11" s="6">
        <f t="shared" si="7"/>
        <v>0</v>
      </c>
      <c r="S11" s="6">
        <f t="shared" si="8"/>
        <v>19225004.128495038</v>
      </c>
      <c r="T11" s="6">
        <f t="shared" si="9"/>
        <v>-730615.53830697597</v>
      </c>
      <c r="U11" s="6">
        <f t="shared" si="10"/>
        <v>0</v>
      </c>
      <c r="V11" s="6">
        <f t="shared" si="11"/>
        <v>0</v>
      </c>
      <c r="W11" s="6">
        <f t="shared" ca="1" si="12"/>
        <v>18061388.220720593</v>
      </c>
      <c r="X11" s="6"/>
      <c r="Y11" t="s">
        <v>43</v>
      </c>
      <c r="Z11" s="6">
        <v>695677.72202584799</v>
      </c>
      <c r="AA11" s="70">
        <v>201899.18245292001</v>
      </c>
      <c r="AB11" s="85">
        <v>3.4456688411210901</v>
      </c>
      <c r="AC11" s="240">
        <v>7.7992994966197E-4</v>
      </c>
    </row>
    <row r="12" spans="1:29">
      <c r="A12" s="20">
        <f>'Monthly Data'!A12</f>
        <v>41214</v>
      </c>
      <c r="B12">
        <f t="shared" si="1"/>
        <v>11</v>
      </c>
      <c r="C12">
        <f t="shared" si="2"/>
        <v>2012</v>
      </c>
      <c r="D12" s="6">
        <v>19648132.137011733</v>
      </c>
      <c r="E12" s="7">
        <f ca="1">Weather!BO71</f>
        <v>297.28000000000003</v>
      </c>
      <c r="F12" s="7">
        <f ca="1">Weather!BG71</f>
        <v>1.2689473684210384</v>
      </c>
      <c r="G12">
        <v>6685.6</v>
      </c>
      <c r="H12">
        <v>0</v>
      </c>
      <c r="I12">
        <v>30</v>
      </c>
      <c r="J12">
        <f>'Monthly Data'!CE12</f>
        <v>0</v>
      </c>
      <c r="K12">
        <v>0</v>
      </c>
      <c r="L12">
        <v>0</v>
      </c>
      <c r="N12" s="6">
        <f t="shared" si="3"/>
        <v>-12141897.0683104</v>
      </c>
      <c r="O12" s="6">
        <f t="shared" ca="1" si="4"/>
        <v>3367824.5893943077</v>
      </c>
      <c r="P12" s="6">
        <f t="shared" ca="1" si="5"/>
        <v>79967.401455971412</v>
      </c>
      <c r="Q12" s="6">
        <f t="shared" si="6"/>
        <v>9366907.9020891041</v>
      </c>
      <c r="R12" s="6">
        <f t="shared" si="7"/>
        <v>0</v>
      </c>
      <c r="S12" s="6">
        <f t="shared" si="8"/>
        <v>18604842.7049952</v>
      </c>
      <c r="T12" s="6">
        <f t="shared" si="9"/>
        <v>0</v>
      </c>
      <c r="U12" s="6">
        <f t="shared" si="10"/>
        <v>0</v>
      </c>
      <c r="V12" s="6">
        <f t="shared" si="11"/>
        <v>0</v>
      </c>
      <c r="W12" s="6">
        <f t="shared" ca="1" si="12"/>
        <v>19277645.529624183</v>
      </c>
      <c r="X12" s="6"/>
      <c r="Y12" t="s">
        <v>93</v>
      </c>
      <c r="Z12" s="6">
        <v>620161.42349983996</v>
      </c>
      <c r="AA12" s="70">
        <v>66799.537695531602</v>
      </c>
      <c r="AB12" s="85">
        <v>9.2839178966552005</v>
      </c>
      <c r="AC12" s="240">
        <v>7.2372263710082304E-16</v>
      </c>
    </row>
    <row r="13" spans="1:29">
      <c r="A13" s="20">
        <f>'Monthly Data'!A13</f>
        <v>41244</v>
      </c>
      <c r="B13">
        <f t="shared" si="1"/>
        <v>12</v>
      </c>
      <c r="C13">
        <f t="shared" si="2"/>
        <v>2012</v>
      </c>
      <c r="D13" s="6">
        <v>22299512.088978134</v>
      </c>
      <c r="E13" s="7">
        <f ca="1">Weather!BO72</f>
        <v>440.25</v>
      </c>
      <c r="F13" s="7">
        <f ca="1">Weather!BG72</f>
        <v>0</v>
      </c>
      <c r="G13">
        <v>6700.5</v>
      </c>
      <c r="H13">
        <v>1</v>
      </c>
      <c r="I13">
        <v>31</v>
      </c>
      <c r="J13">
        <f>'Monthly Data'!CE13</f>
        <v>0</v>
      </c>
      <c r="K13">
        <v>0</v>
      </c>
      <c r="L13">
        <v>0</v>
      </c>
      <c r="N13" s="6">
        <f t="shared" si="3"/>
        <v>-12141897.0683104</v>
      </c>
      <c r="O13" s="6">
        <f t="shared" ca="1" si="4"/>
        <v>4987502.6085873377</v>
      </c>
      <c r="P13" s="6">
        <f t="shared" ca="1" si="5"/>
        <v>0</v>
      </c>
      <c r="Q13" s="6">
        <f t="shared" si="6"/>
        <v>9387783.6541145202</v>
      </c>
      <c r="R13" s="6">
        <f t="shared" si="7"/>
        <v>695677.72202584799</v>
      </c>
      <c r="S13" s="6">
        <f t="shared" si="8"/>
        <v>19225004.128495038</v>
      </c>
      <c r="T13" s="6">
        <f t="shared" si="9"/>
        <v>0</v>
      </c>
      <c r="U13" s="6">
        <f t="shared" si="10"/>
        <v>0</v>
      </c>
      <c r="V13" s="6">
        <f t="shared" si="11"/>
        <v>0</v>
      </c>
      <c r="W13" s="6">
        <f t="shared" ca="1" si="12"/>
        <v>22154071.044912342</v>
      </c>
      <c r="X13" s="6"/>
      <c r="Y13" t="s">
        <v>67</v>
      </c>
      <c r="Z13" s="6">
        <v>-730615.53830697597</v>
      </c>
      <c r="AA13" s="70">
        <v>163941.03183147099</v>
      </c>
      <c r="AB13" s="85">
        <v>-4.45657520966465</v>
      </c>
      <c r="AC13" s="240">
        <v>1.84990900322372E-5</v>
      </c>
    </row>
    <row r="14" spans="1:29">
      <c r="A14" s="20">
        <f>'Monthly Data'!A14</f>
        <v>41275</v>
      </c>
      <c r="B14">
        <f t="shared" si="1"/>
        <v>1</v>
      </c>
      <c r="C14">
        <f t="shared" si="2"/>
        <v>2013</v>
      </c>
      <c r="D14" s="6">
        <v>23220643.847864494</v>
      </c>
      <c r="E14" s="7">
        <f ca="1">E2</f>
        <v>564.86</v>
      </c>
      <c r="F14" s="7">
        <f ca="1">F2</f>
        <v>0</v>
      </c>
      <c r="G14">
        <v>6680.9</v>
      </c>
      <c r="H14">
        <v>0</v>
      </c>
      <c r="I14">
        <v>31</v>
      </c>
      <c r="J14">
        <f>'Monthly Data'!CE14</f>
        <v>0</v>
      </c>
      <c r="K14">
        <v>0</v>
      </c>
      <c r="L14">
        <v>0</v>
      </c>
      <c r="N14" s="6">
        <f t="shared" si="3"/>
        <v>-12141897.0683104</v>
      </c>
      <c r="O14" s="6">
        <f t="shared" ca="1" si="4"/>
        <v>6399183.9261479704</v>
      </c>
      <c r="P14" s="6">
        <f t="shared" ca="1" si="5"/>
        <v>0</v>
      </c>
      <c r="Q14" s="6">
        <f t="shared" si="6"/>
        <v>9360322.9333294071</v>
      </c>
      <c r="R14" s="6">
        <f t="shared" si="7"/>
        <v>0</v>
      </c>
      <c r="S14" s="6">
        <f t="shared" si="8"/>
        <v>19225004.128495038</v>
      </c>
      <c r="T14" s="6">
        <f t="shared" si="9"/>
        <v>0</v>
      </c>
      <c r="U14" s="6">
        <f t="shared" si="10"/>
        <v>0</v>
      </c>
      <c r="V14" s="6">
        <f t="shared" si="11"/>
        <v>0</v>
      </c>
      <c r="W14" s="6">
        <f t="shared" ca="1" si="12"/>
        <v>22842613.919662014</v>
      </c>
      <c r="X14" s="6"/>
      <c r="Y14" t="s">
        <v>331</v>
      </c>
      <c r="Z14" s="6">
        <v>3650.6619286630798</v>
      </c>
      <c r="AA14" s="70">
        <v>761.52462475032496</v>
      </c>
      <c r="AB14" s="85">
        <v>4.7938855947829602</v>
      </c>
      <c r="AC14" s="240">
        <v>4.6290151502708999E-6</v>
      </c>
    </row>
    <row r="15" spans="1:29">
      <c r="A15" s="20">
        <f>'Monthly Data'!A15</f>
        <v>41306</v>
      </c>
      <c r="B15">
        <f t="shared" si="1"/>
        <v>2</v>
      </c>
      <c r="C15">
        <f t="shared" si="2"/>
        <v>2013</v>
      </c>
      <c r="D15" s="6">
        <v>21070740.115142494</v>
      </c>
      <c r="E15" s="7">
        <f t="shared" ref="E15:F15" ca="1" si="13">E3</f>
        <v>516.43000000000006</v>
      </c>
      <c r="F15" s="7">
        <f t="shared" ca="1" si="13"/>
        <v>0</v>
      </c>
      <c r="G15">
        <v>6660.8</v>
      </c>
      <c r="H15">
        <v>0</v>
      </c>
      <c r="I15">
        <v>28</v>
      </c>
      <c r="J15">
        <f>'Monthly Data'!CE15</f>
        <v>0</v>
      </c>
      <c r="K15">
        <v>0</v>
      </c>
      <c r="L15">
        <v>0</v>
      </c>
      <c r="N15" s="6">
        <f t="shared" si="3"/>
        <v>-12141897.0683104</v>
      </c>
      <c r="O15" s="6">
        <f t="shared" ca="1" si="4"/>
        <v>5850530.3172124</v>
      </c>
      <c r="P15" s="6">
        <f t="shared" ca="1" si="5"/>
        <v>0</v>
      </c>
      <c r="Q15" s="6">
        <f t="shared" si="6"/>
        <v>9332161.68395284</v>
      </c>
      <c r="R15" s="6">
        <f t="shared" si="7"/>
        <v>0</v>
      </c>
      <c r="S15" s="6">
        <f t="shared" si="8"/>
        <v>17364519.857995518</v>
      </c>
      <c r="T15" s="6">
        <f t="shared" si="9"/>
        <v>0</v>
      </c>
      <c r="U15" s="6">
        <f t="shared" si="10"/>
        <v>0</v>
      </c>
      <c r="V15" s="6">
        <f t="shared" si="11"/>
        <v>0</v>
      </c>
      <c r="W15" s="6">
        <f t="shared" ca="1" si="12"/>
        <v>20405314.790850356</v>
      </c>
      <c r="X15" s="6"/>
      <c r="Y15" t="s">
        <v>330</v>
      </c>
      <c r="Z15" s="6">
        <v>24773.139197590601</v>
      </c>
      <c r="AA15" s="70">
        <v>2161.3720931181501</v>
      </c>
      <c r="AB15" s="85">
        <v>11.461765087311299</v>
      </c>
      <c r="AC15" s="240">
        <v>3.8831907370949601E-21</v>
      </c>
    </row>
    <row r="16" spans="1:29">
      <c r="A16" s="20">
        <f>'Monthly Data'!A16</f>
        <v>41334</v>
      </c>
      <c r="B16">
        <f t="shared" si="1"/>
        <v>3</v>
      </c>
      <c r="C16">
        <f t="shared" si="2"/>
        <v>2013</v>
      </c>
      <c r="D16" s="6">
        <v>21090139.995281495</v>
      </c>
      <c r="E16" s="7">
        <f t="shared" ref="E16:F16" ca="1" si="14">E4</f>
        <v>412.32</v>
      </c>
      <c r="F16" s="7">
        <f t="shared" ca="1" si="14"/>
        <v>0.57842105263157961</v>
      </c>
      <c r="G16">
        <v>6634.8</v>
      </c>
      <c r="H16">
        <v>0</v>
      </c>
      <c r="I16">
        <v>31</v>
      </c>
      <c r="J16">
        <f>'Monthly Data'!CE16</f>
        <v>1</v>
      </c>
      <c r="K16">
        <v>0</v>
      </c>
      <c r="L16">
        <v>0</v>
      </c>
      <c r="N16" s="6">
        <f t="shared" si="3"/>
        <v>-12141897.0683104</v>
      </c>
      <c r="O16" s="6">
        <f t="shared" ca="1" si="4"/>
        <v>4671089.3255485091</v>
      </c>
      <c r="P16" s="6">
        <f t="shared" ca="1" si="5"/>
        <v>36451.33728747975</v>
      </c>
      <c r="Q16" s="6">
        <f t="shared" si="6"/>
        <v>9295734.1971970778</v>
      </c>
      <c r="R16" s="6">
        <f t="shared" si="7"/>
        <v>0</v>
      </c>
      <c r="S16" s="6">
        <f t="shared" si="8"/>
        <v>19225004.128495038</v>
      </c>
      <c r="T16" s="6">
        <f t="shared" si="9"/>
        <v>-730615.53830697597</v>
      </c>
      <c r="U16" s="6">
        <f t="shared" si="10"/>
        <v>0</v>
      </c>
      <c r="V16" s="6">
        <f t="shared" si="11"/>
        <v>0</v>
      </c>
      <c r="W16" s="6">
        <f t="shared" ca="1" si="12"/>
        <v>20355766.381910726</v>
      </c>
      <c r="X16" s="6"/>
      <c r="AB16" s="21"/>
    </row>
    <row r="17" spans="1:28">
      <c r="A17" s="20">
        <f>'Monthly Data'!A17</f>
        <v>41365</v>
      </c>
      <c r="B17">
        <f t="shared" si="1"/>
        <v>4</v>
      </c>
      <c r="C17">
        <f t="shared" si="2"/>
        <v>2013</v>
      </c>
      <c r="D17" s="6">
        <v>18442014.413735695</v>
      </c>
      <c r="E17" s="7">
        <f t="shared" ref="E17:F17" ca="1" si="15">E5</f>
        <v>229.95</v>
      </c>
      <c r="F17" s="7">
        <f t="shared" ca="1" si="15"/>
        <v>1.3889473684210429</v>
      </c>
      <c r="G17">
        <v>6662.1</v>
      </c>
      <c r="H17">
        <v>0</v>
      </c>
      <c r="I17">
        <v>30</v>
      </c>
      <c r="J17">
        <f>'Monthly Data'!CE17</f>
        <v>1</v>
      </c>
      <c r="K17">
        <v>0</v>
      </c>
      <c r="L17">
        <v>0</v>
      </c>
      <c r="N17" s="6">
        <f t="shared" si="3"/>
        <v>-12141897.0683104</v>
      </c>
      <c r="O17" s="6">
        <f t="shared" ca="1" si="4"/>
        <v>2605056.7287783269</v>
      </c>
      <c r="P17" s="6">
        <f t="shared" ca="1" si="5"/>
        <v>87529.644314520716</v>
      </c>
      <c r="Q17" s="6">
        <f t="shared" si="6"/>
        <v>9333983.0582906269</v>
      </c>
      <c r="R17" s="6">
        <f t="shared" si="7"/>
        <v>0</v>
      </c>
      <c r="S17" s="6">
        <f t="shared" si="8"/>
        <v>18604842.7049952</v>
      </c>
      <c r="T17" s="6">
        <f t="shared" si="9"/>
        <v>-730615.53830697597</v>
      </c>
      <c r="U17" s="6">
        <f t="shared" si="10"/>
        <v>0</v>
      </c>
      <c r="V17" s="6">
        <f t="shared" si="11"/>
        <v>0</v>
      </c>
      <c r="W17" s="6">
        <f t="shared" ca="1" si="12"/>
        <v>17758899.529761296</v>
      </c>
      <c r="X17" s="6"/>
      <c r="Y17" t="s">
        <v>190</v>
      </c>
      <c r="AB17" s="21"/>
    </row>
    <row r="18" spans="1:28">
      <c r="A18" s="20">
        <f>'Monthly Data'!A18</f>
        <v>41395</v>
      </c>
      <c r="B18">
        <f t="shared" si="1"/>
        <v>5</v>
      </c>
      <c r="C18">
        <f t="shared" si="2"/>
        <v>2013</v>
      </c>
      <c r="D18" s="6">
        <v>18758766.803188898</v>
      </c>
      <c r="E18" s="7">
        <f t="shared" ref="E18:F18" ca="1" si="16">E6</f>
        <v>79.77000000000001</v>
      </c>
      <c r="F18" s="7">
        <f t="shared" ca="1" si="16"/>
        <v>52.065789473684617</v>
      </c>
      <c r="G18">
        <v>6726.6</v>
      </c>
      <c r="H18">
        <v>0</v>
      </c>
      <c r="I18">
        <v>31</v>
      </c>
      <c r="J18">
        <f>'Monthly Data'!CE18</f>
        <v>1</v>
      </c>
      <c r="K18">
        <v>0</v>
      </c>
      <c r="L18">
        <v>0</v>
      </c>
      <c r="N18" s="6">
        <f t="shared" si="3"/>
        <v>-12141897.0683104</v>
      </c>
      <c r="O18" s="6">
        <f t="shared" ca="1" si="4"/>
        <v>903698.08764795458</v>
      </c>
      <c r="P18" s="6">
        <f t="shared" ca="1" si="5"/>
        <v>3281117.871850735</v>
      </c>
      <c r="Q18" s="6">
        <f t="shared" si="6"/>
        <v>9424351.2465885729</v>
      </c>
      <c r="R18" s="6">
        <f t="shared" si="7"/>
        <v>0</v>
      </c>
      <c r="S18" s="6">
        <f t="shared" si="8"/>
        <v>19225004.128495038</v>
      </c>
      <c r="T18" s="6">
        <f t="shared" si="9"/>
        <v>-730615.53830697597</v>
      </c>
      <c r="U18" s="6">
        <f t="shared" si="10"/>
        <v>0</v>
      </c>
      <c r="V18" s="6">
        <f t="shared" si="11"/>
        <v>0</v>
      </c>
      <c r="W18" s="6">
        <f t="shared" ca="1" si="12"/>
        <v>19961658.727964919</v>
      </c>
      <c r="X18" s="6"/>
      <c r="Y18" t="s">
        <v>94</v>
      </c>
      <c r="Z18" s="6">
        <v>22319860.638132799</v>
      </c>
      <c r="AA18" t="s">
        <v>95</v>
      </c>
      <c r="AB18" s="6">
        <v>3827846.9399711802</v>
      </c>
    </row>
    <row r="19" spans="1:28">
      <c r="A19" s="20">
        <f>'Monthly Data'!A19</f>
        <v>41426</v>
      </c>
      <c r="B19">
        <f t="shared" si="1"/>
        <v>6</v>
      </c>
      <c r="C19">
        <f t="shared" si="2"/>
        <v>2013</v>
      </c>
      <c r="D19" s="6">
        <v>21531298.069024794</v>
      </c>
      <c r="E19" s="7">
        <f t="shared" ref="E19:F19" ca="1" si="17">E7</f>
        <v>5.16</v>
      </c>
      <c r="F19" s="7">
        <f t="shared" ca="1" si="17"/>
        <v>106.52421052631576</v>
      </c>
      <c r="G19">
        <v>6812.7</v>
      </c>
      <c r="H19">
        <v>0</v>
      </c>
      <c r="I19">
        <v>30</v>
      </c>
      <c r="J19">
        <f>'Monthly Data'!CE19</f>
        <v>0</v>
      </c>
      <c r="K19">
        <v>0</v>
      </c>
      <c r="L19">
        <v>0</v>
      </c>
      <c r="N19" s="6">
        <f t="shared" si="3"/>
        <v>-12141897.0683104</v>
      </c>
      <c r="O19" s="6">
        <f t="shared" ca="1" si="4"/>
        <v>58456.589347667606</v>
      </c>
      <c r="P19" s="6">
        <f t="shared" ca="1" si="5"/>
        <v>6713016.2526266966</v>
      </c>
      <c r="Q19" s="6">
        <f t="shared" si="6"/>
        <v>9544982.2700374592</v>
      </c>
      <c r="R19" s="6">
        <f t="shared" si="7"/>
        <v>0</v>
      </c>
      <c r="S19" s="6">
        <f t="shared" si="8"/>
        <v>18604842.7049952</v>
      </c>
      <c r="T19" s="6">
        <f t="shared" si="9"/>
        <v>0</v>
      </c>
      <c r="U19" s="6">
        <f t="shared" si="10"/>
        <v>0</v>
      </c>
      <c r="V19" s="6">
        <f t="shared" si="11"/>
        <v>0</v>
      </c>
      <c r="W19" s="6">
        <f t="shared" ca="1" si="12"/>
        <v>22779400.748696625</v>
      </c>
      <c r="X19" s="6"/>
      <c r="Y19" t="s">
        <v>96</v>
      </c>
      <c r="Z19" s="241">
        <v>49266378006688</v>
      </c>
      <c r="AA19" t="s">
        <v>97</v>
      </c>
      <c r="AB19" s="6">
        <v>632882.02580809605</v>
      </c>
    </row>
    <row r="20" spans="1:28">
      <c r="A20" s="20">
        <f>'Monthly Data'!A20</f>
        <v>41456</v>
      </c>
      <c r="B20">
        <f t="shared" si="1"/>
        <v>7</v>
      </c>
      <c r="C20">
        <f t="shared" si="2"/>
        <v>2013</v>
      </c>
      <c r="D20" s="6">
        <v>27101461.942128897</v>
      </c>
      <c r="E20" s="7">
        <f t="shared" ref="E20:F20" ca="1" si="18">E8</f>
        <v>0</v>
      </c>
      <c r="F20" s="7">
        <f t="shared" ca="1" si="18"/>
        <v>189.76052631578978</v>
      </c>
      <c r="G20">
        <v>6863.4</v>
      </c>
      <c r="H20">
        <v>0</v>
      </c>
      <c r="I20">
        <v>31</v>
      </c>
      <c r="J20">
        <f>'Monthly Data'!CE20</f>
        <v>0</v>
      </c>
      <c r="K20">
        <v>0</v>
      </c>
      <c r="L20">
        <v>0</v>
      </c>
      <c r="N20" s="6">
        <f t="shared" si="3"/>
        <v>-12141897.0683104</v>
      </c>
      <c r="O20" s="6">
        <f t="shared" ca="1" si="4"/>
        <v>0</v>
      </c>
      <c r="P20" s="6">
        <f t="shared" ca="1" si="5"/>
        <v>11958459.874717372</v>
      </c>
      <c r="Q20" s="6">
        <f t="shared" si="6"/>
        <v>9616015.8692111932</v>
      </c>
      <c r="R20" s="6">
        <f t="shared" si="7"/>
        <v>0</v>
      </c>
      <c r="S20" s="6">
        <f t="shared" si="8"/>
        <v>19225004.128495038</v>
      </c>
      <c r="T20" s="6">
        <f t="shared" si="9"/>
        <v>0</v>
      </c>
      <c r="U20" s="6">
        <f t="shared" si="10"/>
        <v>0</v>
      </c>
      <c r="V20" s="6">
        <f t="shared" si="11"/>
        <v>0</v>
      </c>
      <c r="W20" s="6">
        <f t="shared" ca="1" si="12"/>
        <v>28657582.804113202</v>
      </c>
      <c r="X20" s="6"/>
      <c r="Y20" t="s">
        <v>98</v>
      </c>
      <c r="Z20" s="242">
        <v>0.97462563726547202</v>
      </c>
      <c r="AA20" t="s">
        <v>99</v>
      </c>
      <c r="AB20" s="120">
        <v>0.97297527220956803</v>
      </c>
    </row>
    <row r="21" spans="1:28">
      <c r="A21" s="20">
        <f>'Monthly Data'!A21</f>
        <v>41487</v>
      </c>
      <c r="B21">
        <f t="shared" si="1"/>
        <v>8</v>
      </c>
      <c r="C21">
        <f t="shared" si="2"/>
        <v>2013</v>
      </c>
      <c r="D21" s="6">
        <v>24091301.034046695</v>
      </c>
      <c r="E21" s="7">
        <f t="shared" ref="E21:F21" ca="1" si="19">E9</f>
        <v>8.0000000000000071E-2</v>
      </c>
      <c r="F21" s="7">
        <f t="shared" ca="1" si="19"/>
        <v>169.11894736842078</v>
      </c>
      <c r="G21">
        <v>6876.4</v>
      </c>
      <c r="H21">
        <v>0</v>
      </c>
      <c r="I21">
        <v>31</v>
      </c>
      <c r="J21">
        <f>'Monthly Data'!CE21</f>
        <v>0</v>
      </c>
      <c r="K21">
        <v>0</v>
      </c>
      <c r="L21">
        <v>0</v>
      </c>
      <c r="N21" s="6">
        <f t="shared" si="3"/>
        <v>-12141897.0683104</v>
      </c>
      <c r="O21" s="6">
        <f t="shared" ca="1" si="4"/>
        <v>906.30371081655289</v>
      </c>
      <c r="P21" s="6">
        <f t="shared" ca="1" si="5"/>
        <v>10657654.599851396</v>
      </c>
      <c r="Q21" s="6">
        <f t="shared" si="6"/>
        <v>9634229.6125890724</v>
      </c>
      <c r="R21" s="6">
        <f t="shared" si="7"/>
        <v>0</v>
      </c>
      <c r="S21" s="6">
        <f t="shared" si="8"/>
        <v>19225004.128495038</v>
      </c>
      <c r="T21" s="6">
        <f t="shared" si="9"/>
        <v>0</v>
      </c>
      <c r="U21" s="6">
        <f t="shared" si="10"/>
        <v>0</v>
      </c>
      <c r="V21" s="6">
        <f t="shared" si="11"/>
        <v>0</v>
      </c>
      <c r="W21" s="6">
        <f t="shared" ca="1" si="12"/>
        <v>27375897.576335922</v>
      </c>
      <c r="X21" s="6"/>
      <c r="Y21" t="s">
        <v>370</v>
      </c>
      <c r="Z21" s="244">
        <v>456.60490530877098</v>
      </c>
      <c r="AA21" t="s">
        <v>100</v>
      </c>
      <c r="AB21" s="120">
        <v>1.3503609736259799E-87</v>
      </c>
    </row>
    <row r="22" spans="1:28">
      <c r="A22" s="20">
        <f>'Monthly Data'!A22</f>
        <v>41518</v>
      </c>
      <c r="B22">
        <f t="shared" si="1"/>
        <v>9</v>
      </c>
      <c r="C22">
        <f t="shared" si="2"/>
        <v>2013</v>
      </c>
      <c r="D22" s="6">
        <v>19743349.217510894</v>
      </c>
      <c r="E22" s="7">
        <f t="shared" ref="E22:F22" ca="1" si="20">E10</f>
        <v>12.280000000000001</v>
      </c>
      <c r="F22" s="7">
        <f t="shared" ca="1" si="20"/>
        <v>77.220526315789357</v>
      </c>
      <c r="G22">
        <v>6841.7</v>
      </c>
      <c r="H22">
        <v>0</v>
      </c>
      <c r="I22">
        <v>30</v>
      </c>
      <c r="J22">
        <f>'Monthly Data'!CE22</f>
        <v>1</v>
      </c>
      <c r="K22">
        <v>0</v>
      </c>
      <c r="L22">
        <v>0</v>
      </c>
      <c r="N22" s="6">
        <f t="shared" si="3"/>
        <v>-12141897.0683104</v>
      </c>
      <c r="O22" s="6">
        <f t="shared" ca="1" si="4"/>
        <v>139117.61961034074</v>
      </c>
      <c r="P22" s="6">
        <f t="shared" ca="1" si="5"/>
        <v>4866336.4472081224</v>
      </c>
      <c r="Q22" s="6">
        <f t="shared" si="6"/>
        <v>9585612.9283419605</v>
      </c>
      <c r="R22" s="6">
        <f t="shared" si="7"/>
        <v>0</v>
      </c>
      <c r="S22" s="6">
        <f t="shared" si="8"/>
        <v>18604842.7049952</v>
      </c>
      <c r="T22" s="6">
        <f t="shared" si="9"/>
        <v>-730615.53830697597</v>
      </c>
      <c r="U22" s="6">
        <f t="shared" si="10"/>
        <v>0</v>
      </c>
      <c r="V22" s="6">
        <f t="shared" si="11"/>
        <v>0</v>
      </c>
      <c r="W22" s="6">
        <f t="shared" ca="1" si="12"/>
        <v>20323397.093538247</v>
      </c>
      <c r="X22" s="6"/>
      <c r="Y22" t="s">
        <v>101</v>
      </c>
      <c r="Z22" s="243">
        <v>-7.9704428257436795E-3</v>
      </c>
      <c r="AA22" t="s">
        <v>102</v>
      </c>
      <c r="AB22" s="120">
        <v>1.99510685102114</v>
      </c>
    </row>
    <row r="23" spans="1:28">
      <c r="A23" s="20">
        <f>'Monthly Data'!A23</f>
        <v>41548</v>
      </c>
      <c r="B23">
        <f t="shared" si="1"/>
        <v>10</v>
      </c>
      <c r="C23">
        <f t="shared" si="2"/>
        <v>2013</v>
      </c>
      <c r="D23" s="6">
        <v>18636040.720456898</v>
      </c>
      <c r="E23" s="7">
        <f t="shared" ref="E23:F23" ca="1" si="21">E11</f>
        <v>111.21000000000001</v>
      </c>
      <c r="F23" s="7">
        <f t="shared" ca="1" si="21"/>
        <v>16.868947368421004</v>
      </c>
      <c r="G23">
        <v>6821.6</v>
      </c>
      <c r="H23">
        <v>0</v>
      </c>
      <c r="I23">
        <v>31</v>
      </c>
      <c r="J23">
        <f>'Monthly Data'!CE23</f>
        <v>1</v>
      </c>
      <c r="K23">
        <v>0</v>
      </c>
      <c r="L23">
        <v>0</v>
      </c>
      <c r="N23" s="6">
        <f t="shared" si="3"/>
        <v>-12141897.0683104</v>
      </c>
      <c r="O23" s="6">
        <f t="shared" ca="1" si="4"/>
        <v>1259875.4459988596</v>
      </c>
      <c r="P23" s="6">
        <f t="shared" ca="1" si="5"/>
        <v>1063058.9730673418</v>
      </c>
      <c r="Q23" s="6">
        <f t="shared" si="6"/>
        <v>9557451.6789653935</v>
      </c>
      <c r="R23" s="6">
        <f t="shared" si="7"/>
        <v>0</v>
      </c>
      <c r="S23" s="6">
        <f t="shared" si="8"/>
        <v>19225004.128495038</v>
      </c>
      <c r="T23" s="6">
        <f t="shared" si="9"/>
        <v>-730615.53830697597</v>
      </c>
      <c r="U23" s="6">
        <f t="shared" si="10"/>
        <v>0</v>
      </c>
      <c r="V23" s="6">
        <f t="shared" si="11"/>
        <v>0</v>
      </c>
      <c r="W23" s="6">
        <f t="shared" ca="1" si="12"/>
        <v>18232877.619909253</v>
      </c>
      <c r="X23" s="6"/>
    </row>
    <row r="24" spans="1:28">
      <c r="A24" s="20">
        <f>'Monthly Data'!A24</f>
        <v>41579</v>
      </c>
      <c r="B24">
        <f t="shared" si="1"/>
        <v>11</v>
      </c>
      <c r="C24">
        <f t="shared" si="2"/>
        <v>2013</v>
      </c>
      <c r="D24" s="6">
        <v>20299657.892608896</v>
      </c>
      <c r="E24" s="7">
        <f t="shared" ref="E24:F24" ca="1" si="22">E12</f>
        <v>297.28000000000003</v>
      </c>
      <c r="F24" s="7">
        <f t="shared" ca="1" si="22"/>
        <v>1.2689473684210384</v>
      </c>
      <c r="G24">
        <v>6794.8</v>
      </c>
      <c r="H24">
        <v>0</v>
      </c>
      <c r="I24">
        <v>30</v>
      </c>
      <c r="J24">
        <f>'Monthly Data'!CE24</f>
        <v>0</v>
      </c>
      <c r="K24">
        <v>0</v>
      </c>
      <c r="L24">
        <v>0</v>
      </c>
      <c r="N24" s="6">
        <f t="shared" si="3"/>
        <v>-12141897.0683104</v>
      </c>
      <c r="O24" s="6">
        <f t="shared" ca="1" si="4"/>
        <v>3367824.5893943077</v>
      </c>
      <c r="P24" s="6">
        <f t="shared" ca="1" si="5"/>
        <v>79967.401455971412</v>
      </c>
      <c r="Q24" s="6">
        <f t="shared" si="6"/>
        <v>9519903.3464633003</v>
      </c>
      <c r="R24" s="6">
        <f t="shared" si="7"/>
        <v>0</v>
      </c>
      <c r="S24" s="6">
        <f t="shared" si="8"/>
        <v>18604842.7049952</v>
      </c>
      <c r="T24" s="6">
        <f t="shared" si="9"/>
        <v>0</v>
      </c>
      <c r="U24" s="6">
        <f t="shared" si="10"/>
        <v>0</v>
      </c>
      <c r="V24" s="6">
        <f t="shared" si="11"/>
        <v>0</v>
      </c>
      <c r="W24" s="6">
        <f t="shared" ca="1" si="12"/>
        <v>19430640.973998379</v>
      </c>
      <c r="X24" s="6"/>
    </row>
    <row r="25" spans="1:28">
      <c r="A25" s="20">
        <f>'Monthly Data'!A25</f>
        <v>41609</v>
      </c>
      <c r="B25">
        <f t="shared" si="1"/>
        <v>12</v>
      </c>
      <c r="C25">
        <f t="shared" si="2"/>
        <v>2013</v>
      </c>
      <c r="D25" s="6">
        <v>23861647.359846197</v>
      </c>
      <c r="E25" s="7">
        <f t="shared" ref="E25:F25" ca="1" si="23">E13</f>
        <v>440.25</v>
      </c>
      <c r="F25" s="7">
        <f t="shared" ca="1" si="23"/>
        <v>0</v>
      </c>
      <c r="G25">
        <v>6783.1</v>
      </c>
      <c r="H25">
        <v>1</v>
      </c>
      <c r="I25">
        <v>31</v>
      </c>
      <c r="J25">
        <f>'Monthly Data'!CE25</f>
        <v>0</v>
      </c>
      <c r="K25">
        <v>0</v>
      </c>
      <c r="L25">
        <v>0</v>
      </c>
      <c r="N25" s="6">
        <f t="shared" si="3"/>
        <v>-12141897.0683104</v>
      </c>
      <c r="O25" s="6">
        <f t="shared" ca="1" si="4"/>
        <v>4987502.6085873377</v>
      </c>
      <c r="P25" s="6">
        <f t="shared" ca="1" si="5"/>
        <v>0</v>
      </c>
      <c r="Q25" s="6">
        <f t="shared" si="6"/>
        <v>9503510.9774232078</v>
      </c>
      <c r="R25" s="6">
        <f t="shared" si="7"/>
        <v>695677.72202584799</v>
      </c>
      <c r="S25" s="6">
        <f t="shared" si="8"/>
        <v>19225004.128495038</v>
      </c>
      <c r="T25" s="6">
        <f t="shared" si="9"/>
        <v>0</v>
      </c>
      <c r="U25" s="6">
        <f t="shared" si="10"/>
        <v>0</v>
      </c>
      <c r="V25" s="6">
        <f t="shared" si="11"/>
        <v>0</v>
      </c>
      <c r="W25" s="6">
        <f t="shared" ca="1" si="12"/>
        <v>22269798.36822103</v>
      </c>
      <c r="X25" s="6"/>
    </row>
    <row r="26" spans="1:28">
      <c r="A26" s="20">
        <f>'Monthly Data'!A26</f>
        <v>41640</v>
      </c>
      <c r="B26">
        <f t="shared" si="1"/>
        <v>1</v>
      </c>
      <c r="C26">
        <f t="shared" si="2"/>
        <v>2014</v>
      </c>
      <c r="D26" s="6">
        <v>25393202.293457907</v>
      </c>
      <c r="E26" s="7">
        <f t="shared" ref="E26:F26" ca="1" si="24">E14</f>
        <v>564.86</v>
      </c>
      <c r="F26" s="7">
        <f t="shared" ca="1" si="24"/>
        <v>0</v>
      </c>
      <c r="G26">
        <v>6741.6</v>
      </c>
      <c r="H26">
        <v>0</v>
      </c>
      <c r="I26">
        <v>31</v>
      </c>
      <c r="J26">
        <f>'Monthly Data'!CE26</f>
        <v>0</v>
      </c>
      <c r="K26">
        <v>0</v>
      </c>
      <c r="L26">
        <v>0</v>
      </c>
      <c r="N26" s="6">
        <f t="shared" si="3"/>
        <v>-12141897.0683104</v>
      </c>
      <c r="O26" s="6">
        <f t="shared" ca="1" si="4"/>
        <v>6399183.9261479704</v>
      </c>
      <c r="P26" s="6">
        <f t="shared" ca="1" si="5"/>
        <v>0</v>
      </c>
      <c r="Q26" s="6">
        <f t="shared" si="6"/>
        <v>9445367.1043322813</v>
      </c>
      <c r="R26" s="6">
        <f t="shared" si="7"/>
        <v>0</v>
      </c>
      <c r="S26" s="6">
        <f t="shared" si="8"/>
        <v>19225004.128495038</v>
      </c>
      <c r="T26" s="6">
        <f t="shared" si="9"/>
        <v>0</v>
      </c>
      <c r="U26" s="6">
        <f t="shared" si="10"/>
        <v>0</v>
      </c>
      <c r="V26" s="6">
        <f t="shared" si="11"/>
        <v>0</v>
      </c>
      <c r="W26" s="6">
        <f t="shared" ca="1" si="12"/>
        <v>22927658.09066489</v>
      </c>
      <c r="X26" s="6"/>
    </row>
    <row r="27" spans="1:28">
      <c r="A27" s="20">
        <f>'Monthly Data'!A27</f>
        <v>41671</v>
      </c>
      <c r="B27">
        <f t="shared" si="1"/>
        <v>2</v>
      </c>
      <c r="C27">
        <f t="shared" si="2"/>
        <v>2014</v>
      </c>
      <c r="D27" s="6">
        <v>21886278.818173807</v>
      </c>
      <c r="E27" s="7">
        <f t="shared" ref="E27:F27" ca="1" si="25">E15</f>
        <v>516.43000000000006</v>
      </c>
      <c r="F27" s="7">
        <f t="shared" ca="1" si="25"/>
        <v>0</v>
      </c>
      <c r="G27">
        <v>6707.8</v>
      </c>
      <c r="H27">
        <v>0</v>
      </c>
      <c r="I27">
        <v>28</v>
      </c>
      <c r="J27">
        <f>'Monthly Data'!CE27</f>
        <v>0</v>
      </c>
      <c r="K27">
        <v>0</v>
      </c>
      <c r="L27">
        <v>0</v>
      </c>
      <c r="N27" s="6">
        <f t="shared" si="3"/>
        <v>-12141897.0683104</v>
      </c>
      <c r="O27" s="6">
        <f t="shared" ca="1" si="4"/>
        <v>5850530.3172124</v>
      </c>
      <c r="P27" s="6">
        <f t="shared" ca="1" si="5"/>
        <v>0</v>
      </c>
      <c r="Q27" s="6">
        <f t="shared" si="6"/>
        <v>9398011.3715497926</v>
      </c>
      <c r="R27" s="6">
        <f t="shared" si="7"/>
        <v>0</v>
      </c>
      <c r="S27" s="6">
        <f t="shared" si="8"/>
        <v>17364519.857995518</v>
      </c>
      <c r="T27" s="6">
        <f t="shared" si="9"/>
        <v>0</v>
      </c>
      <c r="U27" s="6">
        <f t="shared" si="10"/>
        <v>0</v>
      </c>
      <c r="V27" s="6">
        <f t="shared" si="11"/>
        <v>0</v>
      </c>
      <c r="W27" s="6">
        <f t="shared" ca="1" si="12"/>
        <v>20471164.478447311</v>
      </c>
      <c r="X27" s="6"/>
    </row>
    <row r="28" spans="1:28">
      <c r="A28" s="20">
        <f>'Monthly Data'!A28</f>
        <v>41699</v>
      </c>
      <c r="B28">
        <f t="shared" si="1"/>
        <v>3</v>
      </c>
      <c r="C28">
        <f t="shared" si="2"/>
        <v>2014</v>
      </c>
      <c r="D28" s="6">
        <v>22125882.52608351</v>
      </c>
      <c r="E28" s="7">
        <f t="shared" ref="E28:F28" ca="1" si="26">E16</f>
        <v>412.32</v>
      </c>
      <c r="F28" s="7">
        <f t="shared" ca="1" si="26"/>
        <v>0.57842105263157961</v>
      </c>
      <c r="G28">
        <v>6686.4</v>
      </c>
      <c r="H28">
        <v>0</v>
      </c>
      <c r="I28">
        <v>31</v>
      </c>
      <c r="J28">
        <f>'Monthly Data'!CE28</f>
        <v>1</v>
      </c>
      <c r="K28">
        <v>0</v>
      </c>
      <c r="L28">
        <v>0</v>
      </c>
      <c r="N28" s="6">
        <f t="shared" si="3"/>
        <v>-12141897.0683104</v>
      </c>
      <c r="O28" s="6">
        <f t="shared" ca="1" si="4"/>
        <v>4671089.3255485091</v>
      </c>
      <c r="P28" s="6">
        <f t="shared" ca="1" si="5"/>
        <v>36451.33728747975</v>
      </c>
      <c r="Q28" s="6">
        <f t="shared" si="6"/>
        <v>9368028.747835435</v>
      </c>
      <c r="R28" s="6">
        <f t="shared" si="7"/>
        <v>0</v>
      </c>
      <c r="S28" s="6">
        <f t="shared" si="8"/>
        <v>19225004.128495038</v>
      </c>
      <c r="T28" s="6">
        <f t="shared" si="9"/>
        <v>-730615.53830697597</v>
      </c>
      <c r="U28" s="6">
        <f t="shared" si="10"/>
        <v>0</v>
      </c>
      <c r="V28" s="6">
        <f t="shared" si="11"/>
        <v>0</v>
      </c>
      <c r="W28" s="6">
        <f t="shared" ca="1" si="12"/>
        <v>20428060.932549085</v>
      </c>
      <c r="X28" s="6"/>
    </row>
    <row r="29" spans="1:28">
      <c r="A29" s="20">
        <f>'Monthly Data'!A29</f>
        <v>41730</v>
      </c>
      <c r="B29">
        <f t="shared" si="1"/>
        <v>4</v>
      </c>
      <c r="C29">
        <f t="shared" si="2"/>
        <v>2014</v>
      </c>
      <c r="D29" s="6">
        <v>17847693.948654607</v>
      </c>
      <c r="E29" s="7">
        <f t="shared" ref="E29:F29" ca="1" si="27">E17</f>
        <v>229.95</v>
      </c>
      <c r="F29" s="7">
        <f t="shared" ca="1" si="27"/>
        <v>1.3889473684210429</v>
      </c>
      <c r="G29">
        <v>6715.8</v>
      </c>
      <c r="H29">
        <v>0</v>
      </c>
      <c r="I29">
        <v>30</v>
      </c>
      <c r="J29">
        <f>'Monthly Data'!CE29</f>
        <v>1</v>
      </c>
      <c r="K29">
        <v>0</v>
      </c>
      <c r="L29">
        <v>0</v>
      </c>
      <c r="N29" s="6">
        <f t="shared" si="3"/>
        <v>-12141897.0683104</v>
      </c>
      <c r="O29" s="6">
        <f t="shared" ca="1" si="4"/>
        <v>2605056.7287783269</v>
      </c>
      <c r="P29" s="6">
        <f t="shared" ca="1" si="5"/>
        <v>87529.644314520716</v>
      </c>
      <c r="Q29" s="6">
        <f t="shared" si="6"/>
        <v>9409219.8290131036</v>
      </c>
      <c r="R29" s="6">
        <f t="shared" si="7"/>
        <v>0</v>
      </c>
      <c r="S29" s="6">
        <f t="shared" si="8"/>
        <v>18604842.7049952</v>
      </c>
      <c r="T29" s="6">
        <f t="shared" si="9"/>
        <v>-730615.53830697597</v>
      </c>
      <c r="U29" s="6">
        <f t="shared" si="10"/>
        <v>0</v>
      </c>
      <c r="V29" s="6">
        <f t="shared" si="11"/>
        <v>0</v>
      </c>
      <c r="W29" s="6">
        <f t="shared" ca="1" si="12"/>
        <v>17834136.300483774</v>
      </c>
      <c r="X29" s="6"/>
    </row>
    <row r="30" spans="1:28">
      <c r="A30" s="20">
        <f>'Monthly Data'!A30</f>
        <v>41760</v>
      </c>
      <c r="B30">
        <f t="shared" si="1"/>
        <v>5</v>
      </c>
      <c r="C30">
        <f t="shared" si="2"/>
        <v>2014</v>
      </c>
      <c r="D30" s="6">
        <v>17821762.58503991</v>
      </c>
      <c r="E30" s="7">
        <f t="shared" ref="E30:F30" ca="1" si="28">E18</f>
        <v>79.77000000000001</v>
      </c>
      <c r="F30" s="7">
        <f t="shared" ca="1" si="28"/>
        <v>52.065789473684617</v>
      </c>
      <c r="G30">
        <v>6770.1</v>
      </c>
      <c r="H30">
        <v>0</v>
      </c>
      <c r="I30">
        <v>31</v>
      </c>
      <c r="J30">
        <f>'Monthly Data'!CE30</f>
        <v>1</v>
      </c>
      <c r="K30">
        <v>0</v>
      </c>
      <c r="L30">
        <v>0</v>
      </c>
      <c r="N30" s="6">
        <f t="shared" si="3"/>
        <v>-12141897.0683104</v>
      </c>
      <c r="O30" s="6">
        <f t="shared" ca="1" si="4"/>
        <v>903698.08764795458</v>
      </c>
      <c r="P30" s="6">
        <f t="shared" ca="1" si="5"/>
        <v>3281117.871850735</v>
      </c>
      <c r="Q30" s="6">
        <f t="shared" si="6"/>
        <v>9485297.2340453286</v>
      </c>
      <c r="R30" s="6">
        <f t="shared" si="7"/>
        <v>0</v>
      </c>
      <c r="S30" s="6">
        <f t="shared" si="8"/>
        <v>19225004.128495038</v>
      </c>
      <c r="T30" s="6">
        <f t="shared" si="9"/>
        <v>-730615.53830697597</v>
      </c>
      <c r="U30" s="6">
        <f t="shared" si="10"/>
        <v>0</v>
      </c>
      <c r="V30" s="6">
        <f t="shared" si="11"/>
        <v>0</v>
      </c>
      <c r="W30" s="6">
        <f t="shared" ca="1" si="12"/>
        <v>20022604.715421677</v>
      </c>
      <c r="X30" s="6"/>
    </row>
    <row r="31" spans="1:28">
      <c r="A31" s="20">
        <f>'Monthly Data'!A31</f>
        <v>41791</v>
      </c>
      <c r="B31">
        <f t="shared" si="1"/>
        <v>6</v>
      </c>
      <c r="C31">
        <f t="shared" si="2"/>
        <v>2014</v>
      </c>
      <c r="D31" s="6">
        <v>20998414.369688809</v>
      </c>
      <c r="E31" s="7">
        <f t="shared" ref="E31:F31" ca="1" si="29">E19</f>
        <v>5.16</v>
      </c>
      <c r="F31" s="7">
        <f t="shared" ca="1" si="29"/>
        <v>106.52421052631576</v>
      </c>
      <c r="G31">
        <v>6837.5</v>
      </c>
      <c r="H31">
        <v>0</v>
      </c>
      <c r="I31">
        <v>30</v>
      </c>
      <c r="J31">
        <f>'Monthly Data'!CE31</f>
        <v>0</v>
      </c>
      <c r="K31">
        <v>0</v>
      </c>
      <c r="L31">
        <v>0</v>
      </c>
      <c r="N31" s="6">
        <f t="shared" si="3"/>
        <v>-12141897.0683104</v>
      </c>
      <c r="O31" s="6">
        <f t="shared" ca="1" si="4"/>
        <v>58456.589347667606</v>
      </c>
      <c r="P31" s="6">
        <f t="shared" ca="1" si="5"/>
        <v>6713016.2526266966</v>
      </c>
      <c r="Q31" s="6">
        <f t="shared" si="6"/>
        <v>9579728.4881737232</v>
      </c>
      <c r="R31" s="6">
        <f t="shared" si="7"/>
        <v>0</v>
      </c>
      <c r="S31" s="6">
        <f t="shared" si="8"/>
        <v>18604842.7049952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ca="1" si="12"/>
        <v>22814146.966832887</v>
      </c>
      <c r="X31" s="6"/>
    </row>
    <row r="32" spans="1:28">
      <c r="A32" s="20">
        <f>'Monthly Data'!A32</f>
        <v>41821</v>
      </c>
      <c r="B32">
        <f t="shared" si="1"/>
        <v>7</v>
      </c>
      <c r="C32">
        <f t="shared" si="2"/>
        <v>2014</v>
      </c>
      <c r="D32" s="6">
        <v>23086879.999604907</v>
      </c>
      <c r="E32" s="7">
        <f t="shared" ref="E32:F32" ca="1" si="30">E20</f>
        <v>0</v>
      </c>
      <c r="F32" s="7">
        <f t="shared" ca="1" si="30"/>
        <v>189.76052631578978</v>
      </c>
      <c r="G32">
        <v>6884</v>
      </c>
      <c r="H32">
        <v>0</v>
      </c>
      <c r="I32">
        <v>31</v>
      </c>
      <c r="J32">
        <f>'Monthly Data'!CE32</f>
        <v>0</v>
      </c>
      <c r="K32">
        <v>0</v>
      </c>
      <c r="L32">
        <v>0</v>
      </c>
      <c r="N32" s="6">
        <f t="shared" si="3"/>
        <v>-12141897.0683104</v>
      </c>
      <c r="O32" s="6">
        <f t="shared" ca="1" si="4"/>
        <v>0</v>
      </c>
      <c r="P32" s="6">
        <f t="shared" ca="1" si="5"/>
        <v>11958459.874717372</v>
      </c>
      <c r="Q32" s="6">
        <f t="shared" si="6"/>
        <v>9644877.6471792199</v>
      </c>
      <c r="R32" s="6">
        <f t="shared" si="7"/>
        <v>0</v>
      </c>
      <c r="S32" s="6">
        <f t="shared" si="8"/>
        <v>19225004.128495038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ca="1" si="12"/>
        <v>28686444.582081228</v>
      </c>
      <c r="X32" s="6"/>
    </row>
    <row r="33" spans="1:24">
      <c r="A33" s="20">
        <f>'Monthly Data'!A33</f>
        <v>41852</v>
      </c>
      <c r="B33">
        <f t="shared" si="1"/>
        <v>8</v>
      </c>
      <c r="C33">
        <f t="shared" si="2"/>
        <v>2014</v>
      </c>
      <c r="D33" s="6">
        <v>22898517.649519607</v>
      </c>
      <c r="E33" s="7">
        <f t="shared" ref="E33:F33" ca="1" si="31">E21</f>
        <v>8.0000000000000071E-2</v>
      </c>
      <c r="F33" s="7">
        <f t="shared" ca="1" si="31"/>
        <v>169.11894736842078</v>
      </c>
      <c r="G33">
        <v>6897.1</v>
      </c>
      <c r="H33">
        <v>0</v>
      </c>
      <c r="I33">
        <v>31</v>
      </c>
      <c r="J33">
        <f>'Monthly Data'!CE33</f>
        <v>0</v>
      </c>
      <c r="K33">
        <v>0</v>
      </c>
      <c r="L33">
        <v>0</v>
      </c>
      <c r="N33" s="6">
        <f t="shared" si="3"/>
        <v>-12141897.0683104</v>
      </c>
      <c r="O33" s="6">
        <f t="shared" ca="1" si="4"/>
        <v>906.30371081655289</v>
      </c>
      <c r="P33" s="6">
        <f t="shared" ca="1" si="5"/>
        <v>10657654.599851396</v>
      </c>
      <c r="Q33" s="6">
        <f t="shared" si="6"/>
        <v>9663231.4962753914</v>
      </c>
      <c r="R33" s="6">
        <f t="shared" si="7"/>
        <v>0</v>
      </c>
      <c r="S33" s="6">
        <f t="shared" si="8"/>
        <v>19225004.128495038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ca="1" si="12"/>
        <v>27404899.460022241</v>
      </c>
      <c r="X33" s="6"/>
    </row>
    <row r="34" spans="1:24">
      <c r="A34" s="20">
        <f>'Monthly Data'!A34</f>
        <v>41883</v>
      </c>
      <c r="B34">
        <f t="shared" si="1"/>
        <v>9</v>
      </c>
      <c r="C34">
        <f t="shared" si="2"/>
        <v>2014</v>
      </c>
      <c r="D34" s="6">
        <v>19497729.920137007</v>
      </c>
      <c r="E34" s="7">
        <f t="shared" ref="E34:F34" ca="1" si="32">E22</f>
        <v>12.280000000000001</v>
      </c>
      <c r="F34" s="7">
        <f t="shared" ca="1" si="32"/>
        <v>77.220526315789357</v>
      </c>
      <c r="G34">
        <v>6875.4</v>
      </c>
      <c r="H34">
        <v>0</v>
      </c>
      <c r="I34">
        <v>30</v>
      </c>
      <c r="J34">
        <f>'Monthly Data'!CE34</f>
        <v>1</v>
      </c>
      <c r="K34">
        <v>0</v>
      </c>
      <c r="L34">
        <v>0</v>
      </c>
      <c r="N34" s="6">
        <f t="shared" si="3"/>
        <v>-12141897.0683104</v>
      </c>
      <c r="O34" s="6">
        <f t="shared" ca="1" si="4"/>
        <v>139117.61961034074</v>
      </c>
      <c r="P34" s="6">
        <f t="shared" ca="1" si="5"/>
        <v>4866336.4472081224</v>
      </c>
      <c r="Q34" s="6">
        <f t="shared" si="6"/>
        <v>9632828.5554061588</v>
      </c>
      <c r="R34" s="6">
        <f t="shared" si="7"/>
        <v>0</v>
      </c>
      <c r="S34" s="6">
        <f t="shared" si="8"/>
        <v>18604842.7049952</v>
      </c>
      <c r="T34" s="6">
        <f t="shared" si="9"/>
        <v>-730615.53830697597</v>
      </c>
      <c r="U34" s="6">
        <f t="shared" si="10"/>
        <v>0</v>
      </c>
      <c r="V34" s="6">
        <f t="shared" si="11"/>
        <v>0</v>
      </c>
      <c r="W34" s="6">
        <f t="shared" ca="1" si="12"/>
        <v>20370612.720602445</v>
      </c>
      <c r="X34" s="6"/>
    </row>
    <row r="35" spans="1:24">
      <c r="A35" s="20">
        <f>'Monthly Data'!A35</f>
        <v>41913</v>
      </c>
      <c r="B35">
        <f t="shared" si="1"/>
        <v>10</v>
      </c>
      <c r="C35">
        <f t="shared" si="2"/>
        <v>2014</v>
      </c>
      <c r="D35" s="6">
        <v>18038933.076452006</v>
      </c>
      <c r="E35" s="7">
        <f t="shared" ref="E35:F35" ca="1" si="33">E23</f>
        <v>111.21000000000001</v>
      </c>
      <c r="F35" s="7">
        <f t="shared" ca="1" si="33"/>
        <v>16.868947368421004</v>
      </c>
      <c r="G35">
        <v>6869.1</v>
      </c>
      <c r="H35">
        <v>0</v>
      </c>
      <c r="I35">
        <v>31</v>
      </c>
      <c r="J35">
        <f>'Monthly Data'!CE35</f>
        <v>1</v>
      </c>
      <c r="K35">
        <v>0</v>
      </c>
      <c r="L35">
        <v>0</v>
      </c>
      <c r="N35" s="6">
        <f t="shared" si="3"/>
        <v>-12141897.0683104</v>
      </c>
      <c r="O35" s="6">
        <f t="shared" ca="1" si="4"/>
        <v>1259875.4459988596</v>
      </c>
      <c r="P35" s="6">
        <f t="shared" ca="1" si="5"/>
        <v>1063058.9730673418</v>
      </c>
      <c r="Q35" s="6">
        <f t="shared" si="6"/>
        <v>9624001.8951538019</v>
      </c>
      <c r="R35" s="6">
        <f t="shared" si="7"/>
        <v>0</v>
      </c>
      <c r="S35" s="6">
        <f t="shared" si="8"/>
        <v>19225004.128495038</v>
      </c>
      <c r="T35" s="6">
        <f t="shared" si="9"/>
        <v>-730615.53830697597</v>
      </c>
      <c r="U35" s="6">
        <f t="shared" si="10"/>
        <v>0</v>
      </c>
      <c r="V35" s="6">
        <f t="shared" si="11"/>
        <v>0</v>
      </c>
      <c r="W35" s="6">
        <f t="shared" ca="1" si="12"/>
        <v>18299427.836097661</v>
      </c>
      <c r="X35" s="6"/>
    </row>
    <row r="36" spans="1:24">
      <c r="A36" s="20">
        <f>'Monthly Data'!A36</f>
        <v>41944</v>
      </c>
      <c r="B36">
        <f t="shared" si="1"/>
        <v>11</v>
      </c>
      <c r="C36">
        <f t="shared" si="2"/>
        <v>2014</v>
      </c>
      <c r="D36" s="6">
        <v>20219734.067318108</v>
      </c>
      <c r="E36" s="7">
        <f t="shared" ref="E36:F36" ca="1" si="34">E24</f>
        <v>297.28000000000003</v>
      </c>
      <c r="F36" s="7">
        <f t="shared" ca="1" si="34"/>
        <v>1.2689473684210384</v>
      </c>
      <c r="G36">
        <v>6850</v>
      </c>
      <c r="H36">
        <v>0</v>
      </c>
      <c r="I36">
        <v>30</v>
      </c>
      <c r="J36">
        <f>'Monthly Data'!CE36</f>
        <v>0</v>
      </c>
      <c r="K36">
        <v>0</v>
      </c>
      <c r="L36">
        <v>0</v>
      </c>
      <c r="N36" s="6">
        <f t="shared" si="3"/>
        <v>-12141897.0683104</v>
      </c>
      <c r="O36" s="6">
        <f t="shared" ca="1" si="4"/>
        <v>3367824.5893943077</v>
      </c>
      <c r="P36" s="6">
        <f t="shared" ca="1" si="5"/>
        <v>79967.401455971412</v>
      </c>
      <c r="Q36" s="6">
        <f t="shared" si="6"/>
        <v>9597241.7029601466</v>
      </c>
      <c r="R36" s="6">
        <f t="shared" si="7"/>
        <v>0</v>
      </c>
      <c r="S36" s="6">
        <f t="shared" si="8"/>
        <v>18604842.7049952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ca="1" si="12"/>
        <v>19507979.330495223</v>
      </c>
      <c r="X36" s="6"/>
    </row>
    <row r="37" spans="1:24">
      <c r="A37" s="20">
        <f>'Monthly Data'!A37</f>
        <v>41974</v>
      </c>
      <c r="B37">
        <f t="shared" si="1"/>
        <v>12</v>
      </c>
      <c r="C37">
        <f t="shared" si="2"/>
        <v>2014</v>
      </c>
      <c r="D37" s="6">
        <v>22345974.245960809</v>
      </c>
      <c r="E37" s="7">
        <f t="shared" ref="E37:F37" ca="1" si="35">E25</f>
        <v>440.25</v>
      </c>
      <c r="F37" s="7">
        <f t="shared" ca="1" si="35"/>
        <v>0</v>
      </c>
      <c r="G37">
        <v>6837.3</v>
      </c>
      <c r="H37">
        <v>1</v>
      </c>
      <c r="I37">
        <v>31</v>
      </c>
      <c r="J37">
        <f>'Monthly Data'!CE37</f>
        <v>0</v>
      </c>
      <c r="K37">
        <v>0</v>
      </c>
      <c r="L37">
        <v>0</v>
      </c>
      <c r="N37" s="6">
        <f t="shared" si="3"/>
        <v>-12141897.0683104</v>
      </c>
      <c r="O37" s="6">
        <f t="shared" ca="1" si="4"/>
        <v>4987502.6085873377</v>
      </c>
      <c r="P37" s="6">
        <f t="shared" ca="1" si="5"/>
        <v>0</v>
      </c>
      <c r="Q37" s="6">
        <f t="shared" si="6"/>
        <v>9579448.2767371405</v>
      </c>
      <c r="R37" s="6">
        <f t="shared" si="7"/>
        <v>695677.72202584799</v>
      </c>
      <c r="S37" s="6">
        <f t="shared" si="8"/>
        <v>19225004.128495038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ca="1" si="12"/>
        <v>22345735.667534962</v>
      </c>
      <c r="X37" s="6"/>
    </row>
    <row r="38" spans="1:24">
      <c r="A38" s="20">
        <f>'Monthly Data'!A38</f>
        <v>42005</v>
      </c>
      <c r="B38">
        <f t="shared" si="1"/>
        <v>1</v>
      </c>
      <c r="C38">
        <f t="shared" si="2"/>
        <v>2015</v>
      </c>
      <c r="D38" s="6">
        <v>24367178.229805239</v>
      </c>
      <c r="E38" s="7">
        <f t="shared" ref="E38:F38" ca="1" si="36">E26</f>
        <v>564.86</v>
      </c>
      <c r="F38" s="7">
        <f t="shared" ca="1" si="36"/>
        <v>0</v>
      </c>
      <c r="G38">
        <v>6777.3</v>
      </c>
      <c r="H38">
        <v>0</v>
      </c>
      <c r="I38">
        <v>31</v>
      </c>
      <c r="J38">
        <f>'Monthly Data'!CE38</f>
        <v>0</v>
      </c>
      <c r="K38">
        <v>0</v>
      </c>
      <c r="L38">
        <v>0</v>
      </c>
      <c r="N38" s="6">
        <f t="shared" si="3"/>
        <v>-12141897.0683104</v>
      </c>
      <c r="O38" s="6">
        <f t="shared" ca="1" si="4"/>
        <v>6399183.9261479704</v>
      </c>
      <c r="P38" s="6">
        <f t="shared" ca="1" si="5"/>
        <v>0</v>
      </c>
      <c r="Q38" s="6">
        <f t="shared" si="6"/>
        <v>9495384.8457623068</v>
      </c>
      <c r="R38" s="6">
        <f t="shared" si="7"/>
        <v>0</v>
      </c>
      <c r="S38" s="6">
        <f t="shared" si="8"/>
        <v>19225004.128495038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ca="1" si="12"/>
        <v>22977675.832094915</v>
      </c>
      <c r="X38" s="6"/>
    </row>
    <row r="39" spans="1:24">
      <c r="A39" s="20">
        <f>'Monthly Data'!A39</f>
        <v>42036</v>
      </c>
      <c r="B39">
        <f t="shared" si="1"/>
        <v>2</v>
      </c>
      <c r="C39">
        <f t="shared" si="2"/>
        <v>2015</v>
      </c>
      <c r="D39" s="6">
        <v>22466482.311995439</v>
      </c>
      <c r="E39" s="7">
        <f t="shared" ref="E39:F39" ca="1" si="37">E27</f>
        <v>516.43000000000006</v>
      </c>
      <c r="F39" s="7">
        <f t="shared" ca="1" si="37"/>
        <v>0</v>
      </c>
      <c r="G39">
        <v>6740.1</v>
      </c>
      <c r="H39">
        <v>0</v>
      </c>
      <c r="I39">
        <v>28</v>
      </c>
      <c r="J39">
        <f>'Monthly Data'!CE39</f>
        <v>0</v>
      </c>
      <c r="K39">
        <v>0</v>
      </c>
      <c r="L39">
        <v>0</v>
      </c>
      <c r="N39" s="6">
        <f t="shared" si="3"/>
        <v>-12141897.0683104</v>
      </c>
      <c r="O39" s="6">
        <f t="shared" ca="1" si="4"/>
        <v>5850530.3172124</v>
      </c>
      <c r="P39" s="6">
        <f t="shared" ca="1" si="5"/>
        <v>0</v>
      </c>
      <c r="Q39" s="6">
        <f t="shared" si="6"/>
        <v>9443265.5185579117</v>
      </c>
      <c r="R39" s="6">
        <f t="shared" si="7"/>
        <v>0</v>
      </c>
      <c r="S39" s="6">
        <f t="shared" si="8"/>
        <v>17364519.857995518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ca="1" si="12"/>
        <v>20516418.625455428</v>
      </c>
      <c r="X39" s="6"/>
    </row>
    <row r="40" spans="1:24">
      <c r="A40" s="20">
        <f>'Monthly Data'!A40</f>
        <v>42064</v>
      </c>
      <c r="B40">
        <f t="shared" si="1"/>
        <v>3</v>
      </c>
      <c r="C40">
        <f t="shared" si="2"/>
        <v>2015</v>
      </c>
      <c r="D40" s="6">
        <v>21013033.88442684</v>
      </c>
      <c r="E40" s="7">
        <f t="shared" ref="E40:F40" ca="1" si="38">E28</f>
        <v>412.32</v>
      </c>
      <c r="F40" s="7">
        <f t="shared" ca="1" si="38"/>
        <v>0.57842105263157961</v>
      </c>
      <c r="G40">
        <v>6712.3</v>
      </c>
      <c r="H40">
        <v>0</v>
      </c>
      <c r="I40">
        <v>31</v>
      </c>
      <c r="J40">
        <f>'Monthly Data'!CE40</f>
        <v>1</v>
      </c>
      <c r="K40">
        <v>0</v>
      </c>
      <c r="L40">
        <v>0</v>
      </c>
      <c r="N40" s="6">
        <f t="shared" si="3"/>
        <v>-12141897.0683104</v>
      </c>
      <c r="O40" s="6">
        <f t="shared" ca="1" si="4"/>
        <v>4671089.3255485091</v>
      </c>
      <c r="P40" s="6">
        <f t="shared" ca="1" si="5"/>
        <v>36451.33728747975</v>
      </c>
      <c r="Q40" s="6">
        <f t="shared" si="6"/>
        <v>9404316.1288729049</v>
      </c>
      <c r="R40" s="6">
        <f t="shared" si="7"/>
        <v>0</v>
      </c>
      <c r="S40" s="6">
        <f t="shared" si="8"/>
        <v>19225004.128495038</v>
      </c>
      <c r="T40" s="6">
        <f t="shared" si="9"/>
        <v>-730615.53830697597</v>
      </c>
      <c r="U40" s="6">
        <f t="shared" si="10"/>
        <v>0</v>
      </c>
      <c r="V40" s="6">
        <f t="shared" si="11"/>
        <v>0</v>
      </c>
      <c r="W40" s="6">
        <f t="shared" ca="1" si="12"/>
        <v>20464348.313586552</v>
      </c>
      <c r="X40" s="6"/>
    </row>
    <row r="41" spans="1:24">
      <c r="A41" s="20">
        <f>'Monthly Data'!A41</f>
        <v>42095</v>
      </c>
      <c r="B41">
        <f t="shared" si="1"/>
        <v>4</v>
      </c>
      <c r="C41">
        <f t="shared" si="2"/>
        <v>2015</v>
      </c>
      <c r="D41" s="6">
        <v>17556188.672437936</v>
      </c>
      <c r="E41" s="7">
        <f t="shared" ref="E41:F41" ca="1" si="39">E29</f>
        <v>229.95</v>
      </c>
      <c r="F41" s="7">
        <f t="shared" ca="1" si="39"/>
        <v>1.3889473684210429</v>
      </c>
      <c r="G41">
        <v>6733.1</v>
      </c>
      <c r="H41">
        <v>0</v>
      </c>
      <c r="I41">
        <v>30</v>
      </c>
      <c r="J41">
        <f>'Monthly Data'!CE41</f>
        <v>1</v>
      </c>
      <c r="K41">
        <v>0</v>
      </c>
      <c r="L41">
        <v>0</v>
      </c>
      <c r="N41" s="6">
        <f t="shared" si="3"/>
        <v>-12141897.0683104</v>
      </c>
      <c r="O41" s="6">
        <f t="shared" ca="1" si="4"/>
        <v>2605056.7287783269</v>
      </c>
      <c r="P41" s="6">
        <f t="shared" ca="1" si="5"/>
        <v>87529.644314520716</v>
      </c>
      <c r="Q41" s="6">
        <f t="shared" si="6"/>
        <v>9433458.1182775144</v>
      </c>
      <c r="R41" s="6">
        <f t="shared" si="7"/>
        <v>0</v>
      </c>
      <c r="S41" s="6">
        <f t="shared" si="8"/>
        <v>18604842.7049952</v>
      </c>
      <c r="T41" s="6">
        <f t="shared" si="9"/>
        <v>-730615.53830697597</v>
      </c>
      <c r="U41" s="6">
        <f t="shared" si="10"/>
        <v>0</v>
      </c>
      <c r="V41" s="6">
        <f t="shared" si="11"/>
        <v>0</v>
      </c>
      <c r="W41" s="6">
        <f t="shared" ca="1" si="12"/>
        <v>17858374.589748185</v>
      </c>
      <c r="X41" s="6"/>
    </row>
    <row r="42" spans="1:24">
      <c r="A42" s="20">
        <f>'Monthly Data'!A42</f>
        <v>42125</v>
      </c>
      <c r="B42">
        <f t="shared" si="1"/>
        <v>5</v>
      </c>
      <c r="C42">
        <f t="shared" si="2"/>
        <v>2015</v>
      </c>
      <c r="D42" s="6">
        <v>18207057.629658837</v>
      </c>
      <c r="E42" s="7">
        <f t="shared" ref="E42:F42" ca="1" si="40">E30</f>
        <v>79.77000000000001</v>
      </c>
      <c r="F42" s="7">
        <f t="shared" ca="1" si="40"/>
        <v>52.065789473684617</v>
      </c>
      <c r="G42">
        <v>6793.2</v>
      </c>
      <c r="H42">
        <v>0</v>
      </c>
      <c r="I42">
        <v>31</v>
      </c>
      <c r="J42">
        <f>'Monthly Data'!CE42</f>
        <v>1</v>
      </c>
      <c r="K42">
        <v>0</v>
      </c>
      <c r="L42">
        <v>0</v>
      </c>
      <c r="N42" s="6">
        <f t="shared" si="3"/>
        <v>-12141897.0683104</v>
      </c>
      <c r="O42" s="6">
        <f t="shared" ca="1" si="4"/>
        <v>903698.08764795458</v>
      </c>
      <c r="P42" s="6">
        <f t="shared" ca="1" si="5"/>
        <v>3281117.871850735</v>
      </c>
      <c r="Q42" s="6">
        <f t="shared" si="6"/>
        <v>9517661.6549706385</v>
      </c>
      <c r="R42" s="6">
        <f t="shared" si="7"/>
        <v>0</v>
      </c>
      <c r="S42" s="6">
        <f t="shared" si="8"/>
        <v>19225004.128495038</v>
      </c>
      <c r="T42" s="6">
        <f t="shared" si="9"/>
        <v>-730615.53830697597</v>
      </c>
      <c r="U42" s="6">
        <f t="shared" si="10"/>
        <v>0</v>
      </c>
      <c r="V42" s="6">
        <f t="shared" si="11"/>
        <v>0</v>
      </c>
      <c r="W42" s="6">
        <f t="shared" ca="1" si="12"/>
        <v>20054969.136346985</v>
      </c>
      <c r="X42" s="6"/>
    </row>
    <row r="43" spans="1:24">
      <c r="A43" s="20">
        <f>'Monthly Data'!A43</f>
        <v>42156</v>
      </c>
      <c r="B43">
        <f t="shared" si="1"/>
        <v>6</v>
      </c>
      <c r="C43">
        <f t="shared" si="2"/>
        <v>2015</v>
      </c>
      <c r="D43" s="6">
        <v>19833723.178718138</v>
      </c>
      <c r="E43" s="7">
        <f t="shared" ref="E43:F43" ca="1" si="41">E31</f>
        <v>5.16</v>
      </c>
      <c r="F43" s="7">
        <f t="shared" ca="1" si="41"/>
        <v>106.52421052631576</v>
      </c>
      <c r="G43">
        <v>6885.3</v>
      </c>
      <c r="H43">
        <v>0</v>
      </c>
      <c r="I43">
        <v>30</v>
      </c>
      <c r="J43">
        <f>'Monthly Data'!CE43</f>
        <v>0</v>
      </c>
      <c r="K43">
        <v>0</v>
      </c>
      <c r="L43">
        <v>0</v>
      </c>
      <c r="N43" s="6">
        <f t="shared" si="3"/>
        <v>-12141897.0683104</v>
      </c>
      <c r="O43" s="6">
        <f t="shared" ca="1" si="4"/>
        <v>58456.589347667606</v>
      </c>
      <c r="P43" s="6">
        <f t="shared" ca="1" si="5"/>
        <v>6713016.2526266966</v>
      </c>
      <c r="Q43" s="6">
        <f t="shared" si="6"/>
        <v>9646699.0215170067</v>
      </c>
      <c r="R43" s="6">
        <f t="shared" si="7"/>
        <v>0</v>
      </c>
      <c r="S43" s="6">
        <f t="shared" si="8"/>
        <v>18604842.7049952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ca="1" si="12"/>
        <v>22881117.500176169</v>
      </c>
      <c r="X43" s="6"/>
    </row>
    <row r="44" spans="1:24">
      <c r="A44" s="20">
        <f>'Monthly Data'!A44</f>
        <v>42186</v>
      </c>
      <c r="B44">
        <f t="shared" ref="B44:B97" si="42">MONTH(A44)</f>
        <v>7</v>
      </c>
      <c r="C44">
        <f t="shared" ref="C44:C97" si="43">YEAR(A44)</f>
        <v>2015</v>
      </c>
      <c r="D44" s="6">
        <v>25552478.788773138</v>
      </c>
      <c r="E44" s="7">
        <f t="shared" ref="E44:F44" ca="1" si="44">E32</f>
        <v>0</v>
      </c>
      <c r="F44" s="7">
        <f t="shared" ca="1" si="44"/>
        <v>189.76052631578978</v>
      </c>
      <c r="G44">
        <v>6951.4</v>
      </c>
      <c r="H44">
        <v>0</v>
      </c>
      <c r="I44">
        <v>31</v>
      </c>
      <c r="J44">
        <f>'Monthly Data'!CE44</f>
        <v>0</v>
      </c>
      <c r="K44">
        <v>0</v>
      </c>
      <c r="L44">
        <v>0</v>
      </c>
      <c r="N44" s="6">
        <f t="shared" si="3"/>
        <v>-12141897.0683104</v>
      </c>
      <c r="O44" s="6">
        <f t="shared" ca="1" si="4"/>
        <v>0</v>
      </c>
      <c r="P44" s="6">
        <f t="shared" ca="1" si="5"/>
        <v>11958459.874717372</v>
      </c>
      <c r="Q44" s="6">
        <f t="shared" si="6"/>
        <v>9739308.9013076145</v>
      </c>
      <c r="R44" s="6">
        <f t="shared" si="7"/>
        <v>0</v>
      </c>
      <c r="S44" s="6">
        <f t="shared" si="8"/>
        <v>19225004.128495038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ca="1" si="12"/>
        <v>28780875.836209625</v>
      </c>
      <c r="X44" s="6"/>
    </row>
    <row r="45" spans="1:24">
      <c r="A45" s="20">
        <f>'Monthly Data'!A45</f>
        <v>42217</v>
      </c>
      <c r="B45">
        <f t="shared" si="42"/>
        <v>8</v>
      </c>
      <c r="C45">
        <f t="shared" si="43"/>
        <v>2015</v>
      </c>
      <c r="D45" s="6">
        <v>24748450.928526238</v>
      </c>
      <c r="E45" s="7">
        <f t="shared" ref="E45:F45" ca="1" si="45">E33</f>
        <v>8.0000000000000071E-2</v>
      </c>
      <c r="F45" s="7">
        <f t="shared" ca="1" si="45"/>
        <v>169.11894736842078</v>
      </c>
      <c r="G45">
        <v>6969.1</v>
      </c>
      <c r="H45">
        <v>0</v>
      </c>
      <c r="I45">
        <v>31</v>
      </c>
      <c r="J45">
        <f>'Monthly Data'!CE45</f>
        <v>0</v>
      </c>
      <c r="K45">
        <v>0</v>
      </c>
      <c r="L45">
        <v>0</v>
      </c>
      <c r="N45" s="6">
        <f t="shared" si="3"/>
        <v>-12141897.0683104</v>
      </c>
      <c r="O45" s="6">
        <f t="shared" ca="1" si="4"/>
        <v>906.30371081655289</v>
      </c>
      <c r="P45" s="6">
        <f t="shared" ca="1" si="5"/>
        <v>10657654.599851396</v>
      </c>
      <c r="Q45" s="6">
        <f t="shared" si="6"/>
        <v>9764107.6134451926</v>
      </c>
      <c r="R45" s="6">
        <f t="shared" si="7"/>
        <v>0</v>
      </c>
      <c r="S45" s="6">
        <f t="shared" si="8"/>
        <v>19225004.128495038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ca="1" si="12"/>
        <v>27505775.577192042</v>
      </c>
      <c r="X45" s="6"/>
    </row>
    <row r="46" spans="1:24">
      <c r="A46" s="20">
        <f>'Monthly Data'!A46</f>
        <v>42248</v>
      </c>
      <c r="B46">
        <f t="shared" si="42"/>
        <v>9</v>
      </c>
      <c r="C46">
        <f t="shared" si="43"/>
        <v>2015</v>
      </c>
      <c r="D46" s="6">
        <v>22156204.349748038</v>
      </c>
      <c r="E46" s="7">
        <f t="shared" ref="E46:F46" ca="1" si="46">E34</f>
        <v>12.280000000000001</v>
      </c>
      <c r="F46" s="7">
        <f t="shared" ca="1" si="46"/>
        <v>77.220526315789357</v>
      </c>
      <c r="G46">
        <v>6917.2</v>
      </c>
      <c r="H46">
        <v>0</v>
      </c>
      <c r="I46">
        <v>30</v>
      </c>
      <c r="J46">
        <f>'Monthly Data'!CE46</f>
        <v>1</v>
      </c>
      <c r="K46">
        <v>0</v>
      </c>
      <c r="L46">
        <v>0</v>
      </c>
      <c r="N46" s="6">
        <f t="shared" si="3"/>
        <v>-12141897.0683104</v>
      </c>
      <c r="O46" s="6">
        <f t="shared" ca="1" si="4"/>
        <v>139117.61961034074</v>
      </c>
      <c r="P46" s="6">
        <f t="shared" ca="1" si="5"/>
        <v>4866336.4472081224</v>
      </c>
      <c r="Q46" s="6">
        <f t="shared" si="6"/>
        <v>9691392.7456519604</v>
      </c>
      <c r="R46" s="6">
        <f t="shared" si="7"/>
        <v>0</v>
      </c>
      <c r="S46" s="6">
        <f t="shared" si="8"/>
        <v>18604842.7049952</v>
      </c>
      <c r="T46" s="6">
        <f t="shared" si="9"/>
        <v>-730615.53830697597</v>
      </c>
      <c r="U46" s="6">
        <f t="shared" si="10"/>
        <v>0</v>
      </c>
      <c r="V46" s="6">
        <f t="shared" si="11"/>
        <v>0</v>
      </c>
      <c r="W46" s="6">
        <f t="shared" ca="1" si="12"/>
        <v>20429176.910848245</v>
      </c>
      <c r="X46" s="6"/>
    </row>
    <row r="47" spans="1:24">
      <c r="A47" s="20">
        <f>'Monthly Data'!A47</f>
        <v>42278</v>
      </c>
      <c r="B47">
        <f t="shared" si="42"/>
        <v>10</v>
      </c>
      <c r="C47">
        <f t="shared" si="43"/>
        <v>2015</v>
      </c>
      <c r="D47" s="6">
        <v>17701333.681162238</v>
      </c>
      <c r="E47" s="7">
        <f t="shared" ref="E47:F47" ca="1" si="47">E35</f>
        <v>111.21000000000001</v>
      </c>
      <c r="F47" s="7">
        <f t="shared" ca="1" si="47"/>
        <v>16.868947368421004</v>
      </c>
      <c r="G47">
        <v>6887.9</v>
      </c>
      <c r="H47">
        <v>0</v>
      </c>
      <c r="I47">
        <v>31</v>
      </c>
      <c r="J47">
        <f>'Monthly Data'!CE47</f>
        <v>1</v>
      </c>
      <c r="K47">
        <v>0</v>
      </c>
      <c r="L47">
        <v>0</v>
      </c>
      <c r="N47" s="6">
        <f t="shared" si="3"/>
        <v>-12141897.0683104</v>
      </c>
      <c r="O47" s="6">
        <f t="shared" ca="1" si="4"/>
        <v>1259875.4459988596</v>
      </c>
      <c r="P47" s="6">
        <f t="shared" ca="1" si="5"/>
        <v>1063058.9730673418</v>
      </c>
      <c r="Q47" s="6">
        <f t="shared" si="6"/>
        <v>9650341.7701925822</v>
      </c>
      <c r="R47" s="6">
        <f t="shared" si="7"/>
        <v>0</v>
      </c>
      <c r="S47" s="6">
        <f t="shared" si="8"/>
        <v>19225004.128495038</v>
      </c>
      <c r="T47" s="6">
        <f t="shared" si="9"/>
        <v>-730615.53830697597</v>
      </c>
      <c r="U47" s="6">
        <f t="shared" si="10"/>
        <v>0</v>
      </c>
      <c r="V47" s="6">
        <f t="shared" si="11"/>
        <v>0</v>
      </c>
      <c r="W47" s="6">
        <f t="shared" ca="1" si="12"/>
        <v>18325767.711136442</v>
      </c>
      <c r="X47" s="6"/>
    </row>
    <row r="48" spans="1:24">
      <c r="A48" s="20">
        <f>'Monthly Data'!A48</f>
        <v>42309</v>
      </c>
      <c r="B48">
        <f t="shared" si="42"/>
        <v>11</v>
      </c>
      <c r="C48">
        <f t="shared" si="43"/>
        <v>2015</v>
      </c>
      <c r="D48" s="6">
        <v>18075477.924958337</v>
      </c>
      <c r="E48" s="7">
        <f t="shared" ref="E48:F48" ca="1" si="48">E36</f>
        <v>297.28000000000003</v>
      </c>
      <c r="F48" s="7">
        <f t="shared" ca="1" si="48"/>
        <v>1.2689473684210384</v>
      </c>
      <c r="G48">
        <v>6853.9</v>
      </c>
      <c r="H48">
        <v>0</v>
      </c>
      <c r="I48">
        <v>30</v>
      </c>
      <c r="J48">
        <f>'Monthly Data'!CE48</f>
        <v>0</v>
      </c>
      <c r="K48">
        <v>0</v>
      </c>
      <c r="L48">
        <v>0</v>
      </c>
      <c r="N48" s="6">
        <f t="shared" si="3"/>
        <v>-12141897.0683104</v>
      </c>
      <c r="O48" s="6">
        <f t="shared" ca="1" si="4"/>
        <v>3367824.5893943077</v>
      </c>
      <c r="P48" s="6">
        <f t="shared" ca="1" si="5"/>
        <v>79967.401455971412</v>
      </c>
      <c r="Q48" s="6">
        <f t="shared" si="6"/>
        <v>9602705.8259735107</v>
      </c>
      <c r="R48" s="6">
        <f t="shared" si="7"/>
        <v>0</v>
      </c>
      <c r="S48" s="6">
        <f t="shared" si="8"/>
        <v>18604842.7049952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ca="1" si="12"/>
        <v>19513443.453508589</v>
      </c>
      <c r="X48" s="6"/>
    </row>
    <row r="49" spans="1:24">
      <c r="A49" s="20">
        <f>'Monthly Data'!A49</f>
        <v>42339</v>
      </c>
      <c r="B49">
        <f t="shared" si="42"/>
        <v>12</v>
      </c>
      <c r="C49">
        <f t="shared" si="43"/>
        <v>2015</v>
      </c>
      <c r="D49" s="6">
        <v>20795330.447421238</v>
      </c>
      <c r="E49" s="7">
        <f t="shared" ref="E49:F49" ca="1" si="49">E37</f>
        <v>440.25</v>
      </c>
      <c r="F49" s="7">
        <f t="shared" ca="1" si="49"/>
        <v>0</v>
      </c>
      <c r="G49">
        <v>6866.6</v>
      </c>
      <c r="H49">
        <v>1</v>
      </c>
      <c r="I49">
        <v>31</v>
      </c>
      <c r="J49">
        <f>'Monthly Data'!CE49</f>
        <v>0</v>
      </c>
      <c r="K49">
        <v>0</v>
      </c>
      <c r="L49">
        <v>0</v>
      </c>
      <c r="N49" s="6">
        <f t="shared" si="3"/>
        <v>-12141897.0683104</v>
      </c>
      <c r="O49" s="6">
        <f t="shared" ca="1" si="4"/>
        <v>4987502.6085873377</v>
      </c>
      <c r="P49" s="6">
        <f t="shared" ca="1" si="5"/>
        <v>0</v>
      </c>
      <c r="Q49" s="6">
        <f t="shared" si="6"/>
        <v>9620499.2521965187</v>
      </c>
      <c r="R49" s="6">
        <f t="shared" si="7"/>
        <v>695677.72202584799</v>
      </c>
      <c r="S49" s="6">
        <f t="shared" si="8"/>
        <v>19225004.128495038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ca="1" si="12"/>
        <v>22386786.642994341</v>
      </c>
      <c r="X49" s="6"/>
    </row>
    <row r="50" spans="1:24">
      <c r="A50" s="20">
        <f>'Monthly Data'!A50</f>
        <v>42370</v>
      </c>
      <c r="B50">
        <f t="shared" si="42"/>
        <v>1</v>
      </c>
      <c r="C50">
        <f t="shared" si="43"/>
        <v>2016</v>
      </c>
      <c r="D50" s="6">
        <v>22568585.525682587</v>
      </c>
      <c r="E50" s="7">
        <f t="shared" ref="E50:F50" ca="1" si="50">E38</f>
        <v>564.86</v>
      </c>
      <c r="F50" s="7">
        <f t="shared" ca="1" si="50"/>
        <v>0</v>
      </c>
      <c r="G50">
        <v>6837.4</v>
      </c>
      <c r="H50">
        <v>0</v>
      </c>
      <c r="I50">
        <v>31</v>
      </c>
      <c r="J50">
        <f>'Monthly Data'!CE50</f>
        <v>0</v>
      </c>
      <c r="K50">
        <v>0</v>
      </c>
      <c r="L50">
        <v>0</v>
      </c>
      <c r="N50" s="6">
        <f t="shared" si="3"/>
        <v>-12141897.0683104</v>
      </c>
      <c r="O50" s="6">
        <f t="shared" ca="1" si="4"/>
        <v>6399183.9261479704</v>
      </c>
      <c r="P50" s="6">
        <f t="shared" ca="1" si="5"/>
        <v>0</v>
      </c>
      <c r="Q50" s="6">
        <f t="shared" si="6"/>
        <v>9579588.3824554309</v>
      </c>
      <c r="R50" s="6">
        <f t="shared" si="7"/>
        <v>0</v>
      </c>
      <c r="S50" s="6">
        <f t="shared" si="8"/>
        <v>19225004.128495038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ca="1" si="12"/>
        <v>23061879.368788037</v>
      </c>
      <c r="X50" s="6"/>
    </row>
    <row r="51" spans="1:24">
      <c r="A51" s="20">
        <f>'Monthly Data'!A51</f>
        <v>42401</v>
      </c>
      <c r="B51">
        <f t="shared" si="42"/>
        <v>2</v>
      </c>
      <c r="C51">
        <f t="shared" si="43"/>
        <v>2016</v>
      </c>
      <c r="D51" s="6">
        <v>20241380.399246987</v>
      </c>
      <c r="E51" s="7">
        <f t="shared" ref="E51:F51" ca="1" si="51">E39</f>
        <v>516.43000000000006</v>
      </c>
      <c r="F51" s="7">
        <f t="shared" ca="1" si="51"/>
        <v>0</v>
      </c>
      <c r="G51">
        <v>6815.5</v>
      </c>
      <c r="H51">
        <v>0</v>
      </c>
      <c r="I51">
        <v>29</v>
      </c>
      <c r="J51">
        <f>'Monthly Data'!CE51</f>
        <v>0</v>
      </c>
      <c r="K51">
        <v>0</v>
      </c>
      <c r="L51">
        <v>0</v>
      </c>
      <c r="N51" s="6">
        <f t="shared" si="3"/>
        <v>-12141897.0683104</v>
      </c>
      <c r="O51" s="6">
        <f t="shared" ca="1" si="4"/>
        <v>5850530.3172124</v>
      </c>
      <c r="P51" s="6">
        <f t="shared" ca="1" si="5"/>
        <v>0</v>
      </c>
      <c r="Q51" s="6">
        <f t="shared" si="6"/>
        <v>9548905.2301496174</v>
      </c>
      <c r="R51" s="6">
        <f t="shared" si="7"/>
        <v>0</v>
      </c>
      <c r="S51" s="6">
        <f t="shared" si="8"/>
        <v>17984681.281495359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ca="1" si="12"/>
        <v>21242219.760546975</v>
      </c>
      <c r="X51" s="6"/>
    </row>
    <row r="52" spans="1:24">
      <c r="A52" s="20">
        <f>'Monthly Data'!A52</f>
        <v>42430</v>
      </c>
      <c r="B52">
        <f t="shared" si="42"/>
        <v>3</v>
      </c>
      <c r="C52">
        <f t="shared" si="43"/>
        <v>2016</v>
      </c>
      <c r="D52" s="6">
        <v>19359371.986764789</v>
      </c>
      <c r="E52" s="7">
        <f t="shared" ref="E52:F52" ca="1" si="52">E40</f>
        <v>412.32</v>
      </c>
      <c r="F52" s="7">
        <f t="shared" ca="1" si="52"/>
        <v>0.57842105263157961</v>
      </c>
      <c r="G52">
        <v>6793.5</v>
      </c>
      <c r="H52">
        <v>0</v>
      </c>
      <c r="I52">
        <v>31</v>
      </c>
      <c r="J52">
        <f>'Monthly Data'!CE52</f>
        <v>1</v>
      </c>
      <c r="K52">
        <v>0</v>
      </c>
      <c r="L52">
        <v>0</v>
      </c>
      <c r="N52" s="6">
        <f t="shared" si="3"/>
        <v>-12141897.0683104</v>
      </c>
      <c r="O52" s="6">
        <f t="shared" ca="1" si="4"/>
        <v>4671089.3255485091</v>
      </c>
      <c r="P52" s="6">
        <f t="shared" ca="1" si="5"/>
        <v>36451.33728747975</v>
      </c>
      <c r="Q52" s="6">
        <f t="shared" si="6"/>
        <v>9518081.9721255116</v>
      </c>
      <c r="R52" s="6">
        <f t="shared" si="7"/>
        <v>0</v>
      </c>
      <c r="S52" s="6">
        <f t="shared" si="8"/>
        <v>19225004.128495038</v>
      </c>
      <c r="T52" s="6">
        <f t="shared" si="9"/>
        <v>-730615.53830697597</v>
      </c>
      <c r="U52" s="6">
        <f t="shared" si="10"/>
        <v>0</v>
      </c>
      <c r="V52" s="6">
        <f t="shared" si="11"/>
        <v>0</v>
      </c>
      <c r="W52" s="6">
        <f t="shared" ca="1" si="12"/>
        <v>20578114.156839158</v>
      </c>
      <c r="X52" s="6"/>
    </row>
    <row r="53" spans="1:24">
      <c r="A53" s="20">
        <f>'Monthly Data'!A53</f>
        <v>42461</v>
      </c>
      <c r="B53">
        <f t="shared" si="42"/>
        <v>4</v>
      </c>
      <c r="C53">
        <f t="shared" si="43"/>
        <v>2016</v>
      </c>
      <c r="D53" s="6">
        <v>17973519.346077684</v>
      </c>
      <c r="E53" s="7">
        <f t="shared" ref="E53:F53" ca="1" si="53">E41</f>
        <v>229.95</v>
      </c>
      <c r="F53" s="7">
        <f t="shared" ca="1" si="53"/>
        <v>1.3889473684210429</v>
      </c>
      <c r="G53">
        <v>6814.3</v>
      </c>
      <c r="H53">
        <v>0</v>
      </c>
      <c r="I53">
        <v>30</v>
      </c>
      <c r="J53">
        <f>'Monthly Data'!CE53</f>
        <v>1</v>
      </c>
      <c r="K53">
        <v>0</v>
      </c>
      <c r="L53">
        <v>0</v>
      </c>
      <c r="N53" s="6">
        <f t="shared" si="3"/>
        <v>-12141897.0683104</v>
      </c>
      <c r="O53" s="6">
        <f t="shared" ca="1" si="4"/>
        <v>2605056.7287783269</v>
      </c>
      <c r="P53" s="6">
        <f t="shared" ca="1" si="5"/>
        <v>87529.644314520716</v>
      </c>
      <c r="Q53" s="6">
        <f t="shared" si="6"/>
        <v>9547223.961530121</v>
      </c>
      <c r="R53" s="6">
        <f t="shared" si="7"/>
        <v>0</v>
      </c>
      <c r="S53" s="6">
        <f t="shared" si="8"/>
        <v>18604842.7049952</v>
      </c>
      <c r="T53" s="6">
        <f t="shared" si="9"/>
        <v>-730615.53830697597</v>
      </c>
      <c r="U53" s="6">
        <f t="shared" si="10"/>
        <v>0</v>
      </c>
      <c r="V53" s="6">
        <f t="shared" si="11"/>
        <v>0</v>
      </c>
      <c r="W53" s="6">
        <f t="shared" ca="1" si="12"/>
        <v>17972140.433000792</v>
      </c>
      <c r="X53" s="6"/>
    </row>
    <row r="54" spans="1:24">
      <c r="A54" s="20">
        <f>'Monthly Data'!A54</f>
        <v>42491</v>
      </c>
      <c r="B54">
        <f t="shared" si="42"/>
        <v>5</v>
      </c>
      <c r="C54">
        <f t="shared" si="43"/>
        <v>2016</v>
      </c>
      <c r="D54" s="6">
        <v>19047091.269166984</v>
      </c>
      <c r="E54" s="7">
        <f t="shared" ref="E54:F54" ca="1" si="54">E42</f>
        <v>79.77000000000001</v>
      </c>
      <c r="F54" s="7">
        <f t="shared" ca="1" si="54"/>
        <v>52.065789473684617</v>
      </c>
      <c r="G54">
        <v>6884.3</v>
      </c>
      <c r="H54">
        <v>0</v>
      </c>
      <c r="I54">
        <v>31</v>
      </c>
      <c r="J54">
        <f>'Monthly Data'!CE54</f>
        <v>1</v>
      </c>
      <c r="K54">
        <v>0</v>
      </c>
      <c r="L54">
        <v>0</v>
      </c>
      <c r="N54" s="6">
        <f t="shared" si="3"/>
        <v>-12141897.0683104</v>
      </c>
      <c r="O54" s="6">
        <f t="shared" ca="1" si="4"/>
        <v>903698.08764795458</v>
      </c>
      <c r="P54" s="6">
        <f t="shared" ca="1" si="5"/>
        <v>3281117.871850735</v>
      </c>
      <c r="Q54" s="6">
        <f t="shared" si="6"/>
        <v>9645297.964334093</v>
      </c>
      <c r="R54" s="6">
        <f t="shared" si="7"/>
        <v>0</v>
      </c>
      <c r="S54" s="6">
        <f t="shared" si="8"/>
        <v>19225004.128495038</v>
      </c>
      <c r="T54" s="6">
        <f t="shared" si="9"/>
        <v>-730615.53830697597</v>
      </c>
      <c r="U54" s="6">
        <f t="shared" si="10"/>
        <v>0</v>
      </c>
      <c r="V54" s="6">
        <f t="shared" si="11"/>
        <v>0</v>
      </c>
      <c r="W54" s="6">
        <f t="shared" ca="1" si="12"/>
        <v>20182605.445710439</v>
      </c>
      <c r="X54" s="6"/>
    </row>
    <row r="55" spans="1:24">
      <c r="A55" s="20">
        <f>'Monthly Data'!A55</f>
        <v>42522</v>
      </c>
      <c r="B55">
        <f t="shared" si="42"/>
        <v>6</v>
      </c>
      <c r="C55">
        <f t="shared" si="43"/>
        <v>2016</v>
      </c>
      <c r="D55" s="6">
        <v>22125504.150112487</v>
      </c>
      <c r="E55" s="7">
        <f t="shared" ref="E55:F55" ca="1" si="55">E43</f>
        <v>5.16</v>
      </c>
      <c r="F55" s="7">
        <f t="shared" ca="1" si="55"/>
        <v>106.52421052631576</v>
      </c>
      <c r="G55">
        <v>6966.5</v>
      </c>
      <c r="H55">
        <v>0</v>
      </c>
      <c r="I55">
        <v>30</v>
      </c>
      <c r="J55">
        <f>'Monthly Data'!CE55</f>
        <v>0</v>
      </c>
      <c r="K55">
        <v>0</v>
      </c>
      <c r="L55">
        <v>0</v>
      </c>
      <c r="N55" s="6">
        <f t="shared" si="3"/>
        <v>-12141897.0683104</v>
      </c>
      <c r="O55" s="6">
        <f t="shared" ca="1" si="4"/>
        <v>58456.589347667606</v>
      </c>
      <c r="P55" s="6">
        <f t="shared" ca="1" si="5"/>
        <v>6713016.2526266966</v>
      </c>
      <c r="Q55" s="6">
        <f t="shared" si="6"/>
        <v>9760464.8647696152</v>
      </c>
      <c r="R55" s="6">
        <f t="shared" si="7"/>
        <v>0</v>
      </c>
      <c r="S55" s="6">
        <f t="shared" si="8"/>
        <v>18604842.7049952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ca="1" si="12"/>
        <v>22994883.343428779</v>
      </c>
      <c r="X55" s="6"/>
    </row>
    <row r="56" spans="1:24">
      <c r="A56" s="20">
        <f>'Monthly Data'!A56</f>
        <v>42552</v>
      </c>
      <c r="B56">
        <f t="shared" si="42"/>
        <v>7</v>
      </c>
      <c r="C56">
        <f t="shared" si="43"/>
        <v>2016</v>
      </c>
      <c r="D56" s="6">
        <v>29450116.707977187</v>
      </c>
      <c r="E56" s="7">
        <f t="shared" ref="E56:F56" ca="1" si="56">E44</f>
        <v>0</v>
      </c>
      <c r="F56" s="7">
        <f t="shared" ca="1" si="56"/>
        <v>189.76052631578978</v>
      </c>
      <c r="G56">
        <v>7011.7</v>
      </c>
      <c r="H56">
        <v>0</v>
      </c>
      <c r="I56">
        <v>31</v>
      </c>
      <c r="J56">
        <f>'Monthly Data'!CE56</f>
        <v>0</v>
      </c>
      <c r="K56">
        <v>0</v>
      </c>
      <c r="L56">
        <v>0</v>
      </c>
      <c r="N56" s="6">
        <f t="shared" si="3"/>
        <v>-12141897.0683104</v>
      </c>
      <c r="O56" s="6">
        <f t="shared" ca="1" si="4"/>
        <v>0</v>
      </c>
      <c r="P56" s="6">
        <f t="shared" ca="1" si="5"/>
        <v>11958459.874717372</v>
      </c>
      <c r="Q56" s="6">
        <f t="shared" si="6"/>
        <v>9823792.6494373232</v>
      </c>
      <c r="R56" s="6">
        <f t="shared" si="7"/>
        <v>0</v>
      </c>
      <c r="S56" s="6">
        <f t="shared" si="8"/>
        <v>19225004.128495038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ca="1" si="12"/>
        <v>28865359.584339332</v>
      </c>
      <c r="X56" s="6"/>
    </row>
    <row r="57" spans="1:24">
      <c r="A57" s="20">
        <f>'Monthly Data'!A57</f>
        <v>42583</v>
      </c>
      <c r="B57">
        <f t="shared" si="42"/>
        <v>8</v>
      </c>
      <c r="C57">
        <f t="shared" si="43"/>
        <v>2016</v>
      </c>
      <c r="D57" s="6">
        <v>30777988.889747586</v>
      </c>
      <c r="E57" s="7">
        <f t="shared" ref="E57:F57" ca="1" si="57">E45</f>
        <v>8.0000000000000071E-2</v>
      </c>
      <c r="F57" s="7">
        <f t="shared" ca="1" si="57"/>
        <v>169.11894736842078</v>
      </c>
      <c r="G57">
        <v>7009.1</v>
      </c>
      <c r="H57">
        <v>0</v>
      </c>
      <c r="I57">
        <v>31</v>
      </c>
      <c r="J57">
        <f>'Monthly Data'!CE57</f>
        <v>0</v>
      </c>
      <c r="K57">
        <v>0</v>
      </c>
      <c r="L57">
        <v>0</v>
      </c>
      <c r="N57" s="6">
        <f t="shared" si="3"/>
        <v>-12141897.0683104</v>
      </c>
      <c r="O57" s="6">
        <f t="shared" ca="1" si="4"/>
        <v>906.30371081655289</v>
      </c>
      <c r="P57" s="6">
        <f t="shared" ca="1" si="5"/>
        <v>10657654.599851396</v>
      </c>
      <c r="Q57" s="6">
        <f t="shared" si="6"/>
        <v>9820149.9007617477</v>
      </c>
      <c r="R57" s="6">
        <f t="shared" si="7"/>
        <v>0</v>
      </c>
      <c r="S57" s="6">
        <f t="shared" si="8"/>
        <v>19225004.128495038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ca="1" si="12"/>
        <v>27561817.864508599</v>
      </c>
      <c r="X57" s="6"/>
    </row>
    <row r="58" spans="1:24">
      <c r="A58" s="20">
        <f>'Monthly Data'!A58</f>
        <v>42614</v>
      </c>
      <c r="B58">
        <f t="shared" si="42"/>
        <v>9</v>
      </c>
      <c r="C58">
        <f t="shared" si="43"/>
        <v>2016</v>
      </c>
      <c r="D58" s="6">
        <v>21927063.701074887</v>
      </c>
      <c r="E58" s="7">
        <f t="shared" ref="E58:F58" ca="1" si="58">E46</f>
        <v>12.280000000000001</v>
      </c>
      <c r="F58" s="7">
        <f t="shared" ca="1" si="58"/>
        <v>77.220526315789357</v>
      </c>
      <c r="G58">
        <v>6963.5</v>
      </c>
      <c r="H58">
        <v>0</v>
      </c>
      <c r="I58">
        <v>30</v>
      </c>
      <c r="J58">
        <f>'Monthly Data'!CE58</f>
        <v>1</v>
      </c>
      <c r="K58">
        <v>0</v>
      </c>
      <c r="L58">
        <v>0</v>
      </c>
      <c r="N58" s="6">
        <f t="shared" si="3"/>
        <v>-12141897.0683104</v>
      </c>
      <c r="O58" s="6">
        <f t="shared" ca="1" si="4"/>
        <v>139117.61961034074</v>
      </c>
      <c r="P58" s="6">
        <f t="shared" ca="1" si="5"/>
        <v>4866336.4472081224</v>
      </c>
      <c r="Q58" s="6">
        <f t="shared" si="6"/>
        <v>9756261.6932208743</v>
      </c>
      <c r="R58" s="6">
        <f t="shared" si="7"/>
        <v>0</v>
      </c>
      <c r="S58" s="6">
        <f t="shared" si="8"/>
        <v>18604842.7049952</v>
      </c>
      <c r="T58" s="6">
        <f t="shared" si="9"/>
        <v>-730615.53830697597</v>
      </c>
      <c r="U58" s="6">
        <f t="shared" si="10"/>
        <v>0</v>
      </c>
      <c r="V58" s="6">
        <f t="shared" si="11"/>
        <v>0</v>
      </c>
      <c r="W58" s="6">
        <f t="shared" ca="1" si="12"/>
        <v>20494045.858417161</v>
      </c>
      <c r="X58" s="6"/>
    </row>
    <row r="59" spans="1:24">
      <c r="A59" s="20">
        <f>'Monthly Data'!A59</f>
        <v>42644</v>
      </c>
      <c r="B59">
        <f t="shared" si="42"/>
        <v>10</v>
      </c>
      <c r="C59">
        <f t="shared" si="43"/>
        <v>2016</v>
      </c>
      <c r="D59" s="6">
        <v>17955354.765489686</v>
      </c>
      <c r="E59" s="7">
        <f t="shared" ref="E59:F59" ca="1" si="59">E47</f>
        <v>111.21000000000001</v>
      </c>
      <c r="F59" s="7">
        <f t="shared" ca="1" si="59"/>
        <v>16.868947368421004</v>
      </c>
      <c r="G59">
        <v>6956.2</v>
      </c>
      <c r="H59">
        <v>0</v>
      </c>
      <c r="I59">
        <v>31</v>
      </c>
      <c r="J59">
        <f>'Monthly Data'!CE59</f>
        <v>1</v>
      </c>
      <c r="K59">
        <v>0</v>
      </c>
      <c r="L59">
        <v>0</v>
      </c>
      <c r="N59" s="6">
        <f t="shared" si="3"/>
        <v>-12141897.0683104</v>
      </c>
      <c r="O59" s="6">
        <f t="shared" ca="1" si="4"/>
        <v>1259875.4459988596</v>
      </c>
      <c r="P59" s="6">
        <f t="shared" ca="1" si="5"/>
        <v>1063058.9730673418</v>
      </c>
      <c r="Q59" s="6">
        <f t="shared" si="6"/>
        <v>9746033.9757856019</v>
      </c>
      <c r="R59" s="6">
        <f t="shared" si="7"/>
        <v>0</v>
      </c>
      <c r="S59" s="6">
        <f t="shared" si="8"/>
        <v>19225004.128495038</v>
      </c>
      <c r="T59" s="6">
        <f t="shared" si="9"/>
        <v>-730615.53830697597</v>
      </c>
      <c r="U59" s="6">
        <f t="shared" si="10"/>
        <v>0</v>
      </c>
      <c r="V59" s="6">
        <f t="shared" si="11"/>
        <v>0</v>
      </c>
      <c r="W59" s="6">
        <f t="shared" ca="1" si="12"/>
        <v>18421459.916729461</v>
      </c>
      <c r="X59" s="6"/>
    </row>
    <row r="60" spans="1:24">
      <c r="A60" s="20">
        <f>'Monthly Data'!A60</f>
        <v>42675</v>
      </c>
      <c r="B60">
        <f t="shared" si="42"/>
        <v>11</v>
      </c>
      <c r="C60">
        <f t="shared" si="43"/>
        <v>2016</v>
      </c>
      <c r="D60" s="6">
        <v>18188501.195161484</v>
      </c>
      <c r="E60" s="7">
        <f t="shared" ref="E60:F60" ca="1" si="60">E48</f>
        <v>297.28000000000003</v>
      </c>
      <c r="F60" s="7">
        <f t="shared" ca="1" si="60"/>
        <v>1.2689473684210384</v>
      </c>
      <c r="G60">
        <v>6946.2</v>
      </c>
      <c r="H60">
        <v>0</v>
      </c>
      <c r="I60">
        <v>30</v>
      </c>
      <c r="J60">
        <f>'Monthly Data'!CE60</f>
        <v>0</v>
      </c>
      <c r="K60">
        <v>0</v>
      </c>
      <c r="L60">
        <v>0</v>
      </c>
      <c r="N60" s="6">
        <f t="shared" si="3"/>
        <v>-12141897.0683104</v>
      </c>
      <c r="O60" s="6">
        <f t="shared" ca="1" si="4"/>
        <v>3367824.5893943077</v>
      </c>
      <c r="P60" s="6">
        <f t="shared" ca="1" si="5"/>
        <v>79967.401455971412</v>
      </c>
      <c r="Q60" s="6">
        <f t="shared" si="6"/>
        <v>9732023.4039564636</v>
      </c>
      <c r="R60" s="6">
        <f t="shared" si="7"/>
        <v>0</v>
      </c>
      <c r="S60" s="6">
        <f t="shared" si="8"/>
        <v>18604842.7049952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ca="1" si="12"/>
        <v>19642761.03149154</v>
      </c>
      <c r="X60" s="6"/>
    </row>
    <row r="61" spans="1:24">
      <c r="A61" s="20">
        <f>'Monthly Data'!A61</f>
        <v>42705</v>
      </c>
      <c r="B61">
        <f t="shared" si="42"/>
        <v>12</v>
      </c>
      <c r="C61">
        <f t="shared" si="43"/>
        <v>2016</v>
      </c>
      <c r="D61" s="6">
        <v>22264829.558209386</v>
      </c>
      <c r="E61" s="7">
        <f t="shared" ref="E61:F61" ca="1" si="61">E49</f>
        <v>440.25</v>
      </c>
      <c r="F61" s="7">
        <f t="shared" ca="1" si="61"/>
        <v>0</v>
      </c>
      <c r="G61">
        <v>6962</v>
      </c>
      <c r="H61">
        <v>1</v>
      </c>
      <c r="I61">
        <v>31</v>
      </c>
      <c r="J61">
        <f>'Monthly Data'!CE61</f>
        <v>0</v>
      </c>
      <c r="K61">
        <v>0</v>
      </c>
      <c r="L61">
        <v>0</v>
      </c>
      <c r="N61" s="6">
        <f t="shared" si="3"/>
        <v>-12141897.0683104</v>
      </c>
      <c r="O61" s="6">
        <f t="shared" ca="1" si="4"/>
        <v>4987502.6085873377</v>
      </c>
      <c r="P61" s="6">
        <f t="shared" ca="1" si="5"/>
        <v>0</v>
      </c>
      <c r="Q61" s="6">
        <f t="shared" si="6"/>
        <v>9754160.1074465029</v>
      </c>
      <c r="R61" s="6">
        <f t="shared" si="7"/>
        <v>695677.72202584799</v>
      </c>
      <c r="S61" s="6">
        <f t="shared" si="8"/>
        <v>19225004.128495038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ca="1" si="12"/>
        <v>22520447.498244327</v>
      </c>
      <c r="X61" s="6"/>
    </row>
    <row r="62" spans="1:24">
      <c r="A62" s="20">
        <f>'Monthly Data'!A62</f>
        <v>42736</v>
      </c>
      <c r="B62">
        <f t="shared" si="42"/>
        <v>1</v>
      </c>
      <c r="C62">
        <f t="shared" si="43"/>
        <v>2017</v>
      </c>
      <c r="D62" s="6">
        <v>22162065.014167484</v>
      </c>
      <c r="E62" s="7">
        <f t="shared" ref="E62:F62" ca="1" si="62">E50</f>
        <v>564.86</v>
      </c>
      <c r="F62" s="7">
        <f t="shared" ca="1" si="62"/>
        <v>0</v>
      </c>
      <c r="G62">
        <v>6942.1</v>
      </c>
      <c r="H62">
        <v>0</v>
      </c>
      <c r="I62">
        <v>31</v>
      </c>
      <c r="J62">
        <f>'Monthly Data'!CE62</f>
        <v>0</v>
      </c>
      <c r="K62">
        <v>0</v>
      </c>
      <c r="L62">
        <v>0</v>
      </c>
      <c r="N62" s="6">
        <f t="shared" si="3"/>
        <v>-12141897.0683104</v>
      </c>
      <c r="O62" s="6">
        <f t="shared" ca="1" si="4"/>
        <v>6399183.9261479704</v>
      </c>
      <c r="P62" s="6">
        <f t="shared" ca="1" si="5"/>
        <v>0</v>
      </c>
      <c r="Q62" s="6">
        <f t="shared" si="6"/>
        <v>9726279.0695065167</v>
      </c>
      <c r="R62" s="6">
        <f t="shared" si="7"/>
        <v>0</v>
      </c>
      <c r="S62" s="6">
        <f t="shared" si="8"/>
        <v>19225004.128495038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ca="1" si="12"/>
        <v>23208570.055839125</v>
      </c>
      <c r="X62" s="6"/>
    </row>
    <row r="63" spans="1:24">
      <c r="A63" s="20">
        <f>'Monthly Data'!A63</f>
        <v>42767</v>
      </c>
      <c r="B63">
        <f t="shared" si="42"/>
        <v>2</v>
      </c>
      <c r="C63">
        <f t="shared" si="43"/>
        <v>2017</v>
      </c>
      <c r="D63" s="6">
        <v>18637570.22163086</v>
      </c>
      <c r="E63" s="7">
        <f t="shared" ref="E63:F63" ca="1" si="63">E51</f>
        <v>516.43000000000006</v>
      </c>
      <c r="F63" s="7">
        <f t="shared" ca="1" si="63"/>
        <v>0</v>
      </c>
      <c r="G63">
        <v>6920.9</v>
      </c>
      <c r="H63">
        <v>0</v>
      </c>
      <c r="I63">
        <v>28</v>
      </c>
      <c r="J63">
        <f>'Monthly Data'!CE63</f>
        <v>0</v>
      </c>
      <c r="K63">
        <v>0</v>
      </c>
      <c r="L63">
        <v>0</v>
      </c>
      <c r="N63" s="6">
        <f t="shared" si="3"/>
        <v>-12141897.0683104</v>
      </c>
      <c r="O63" s="6">
        <f t="shared" ca="1" si="4"/>
        <v>5850530.3172124</v>
      </c>
      <c r="P63" s="6">
        <f t="shared" ca="1" si="5"/>
        <v>0</v>
      </c>
      <c r="Q63" s="6">
        <f t="shared" si="6"/>
        <v>9696576.6572287418</v>
      </c>
      <c r="R63" s="6">
        <f t="shared" si="7"/>
        <v>0</v>
      </c>
      <c r="S63" s="6">
        <f t="shared" si="8"/>
        <v>17364519.857995518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ca="1" si="12"/>
        <v>20769729.76412626</v>
      </c>
      <c r="X63" s="6"/>
    </row>
    <row r="64" spans="1:24">
      <c r="A64" s="20">
        <f>'Monthly Data'!A64</f>
        <v>42795</v>
      </c>
      <c r="B64">
        <f t="shared" si="42"/>
        <v>3</v>
      </c>
      <c r="C64">
        <f t="shared" si="43"/>
        <v>2017</v>
      </c>
      <c r="D64" s="6">
        <v>20024303.984491248</v>
      </c>
      <c r="E64" s="7">
        <f t="shared" ref="E64:F64" ca="1" si="64">E52</f>
        <v>412.32</v>
      </c>
      <c r="F64" s="7">
        <f t="shared" ca="1" si="64"/>
        <v>0.57842105263157961</v>
      </c>
      <c r="G64">
        <v>6896.8</v>
      </c>
      <c r="H64">
        <v>0</v>
      </c>
      <c r="I64">
        <v>31</v>
      </c>
      <c r="J64">
        <f>'Monthly Data'!CE64</f>
        <v>1</v>
      </c>
      <c r="K64">
        <v>0</v>
      </c>
      <c r="L64">
        <v>0</v>
      </c>
      <c r="N64" s="6">
        <f t="shared" si="3"/>
        <v>-12141897.0683104</v>
      </c>
      <c r="O64" s="6">
        <f t="shared" ca="1" si="4"/>
        <v>4671089.3255485091</v>
      </c>
      <c r="P64" s="6">
        <f t="shared" ca="1" si="5"/>
        <v>36451.33728747975</v>
      </c>
      <c r="Q64" s="6">
        <f t="shared" si="6"/>
        <v>9662811.1791205164</v>
      </c>
      <c r="R64" s="6">
        <f t="shared" si="7"/>
        <v>0</v>
      </c>
      <c r="S64" s="6">
        <f t="shared" si="8"/>
        <v>19225004.128495038</v>
      </c>
      <c r="T64" s="6">
        <f t="shared" si="9"/>
        <v>-730615.53830697597</v>
      </c>
      <c r="U64" s="6">
        <f t="shared" si="10"/>
        <v>0</v>
      </c>
      <c r="V64" s="6">
        <f t="shared" si="11"/>
        <v>0</v>
      </c>
      <c r="W64" s="6">
        <f t="shared" ca="1" si="12"/>
        <v>20722843.363834165</v>
      </c>
      <c r="X64" s="6"/>
    </row>
    <row r="65" spans="1:24">
      <c r="A65" s="20">
        <f>'Monthly Data'!A65</f>
        <v>42826</v>
      </c>
      <c r="B65">
        <f t="shared" si="42"/>
        <v>4</v>
      </c>
      <c r="C65">
        <f t="shared" si="43"/>
        <v>2017</v>
      </c>
      <c r="D65" s="6">
        <v>17052034.049426168</v>
      </c>
      <c r="E65" s="7">
        <f t="shared" ref="E65:F65" ca="1" si="65">E53</f>
        <v>229.95</v>
      </c>
      <c r="F65" s="7">
        <f t="shared" ca="1" si="65"/>
        <v>1.3889473684210429</v>
      </c>
      <c r="G65">
        <v>6905.1</v>
      </c>
      <c r="H65">
        <v>0</v>
      </c>
      <c r="I65">
        <v>30</v>
      </c>
      <c r="J65">
        <f>'Monthly Data'!CE65</f>
        <v>1</v>
      </c>
      <c r="K65">
        <v>0</v>
      </c>
      <c r="L65">
        <v>0</v>
      </c>
      <c r="N65" s="6">
        <f t="shared" si="3"/>
        <v>-12141897.0683104</v>
      </c>
      <c r="O65" s="6">
        <f t="shared" ca="1" si="4"/>
        <v>2605056.7287783269</v>
      </c>
      <c r="P65" s="6">
        <f t="shared" ca="1" si="5"/>
        <v>87529.644314520716</v>
      </c>
      <c r="Q65" s="6">
        <f t="shared" si="6"/>
        <v>9674439.9537387025</v>
      </c>
      <c r="R65" s="6">
        <f t="shared" si="7"/>
        <v>0</v>
      </c>
      <c r="S65" s="6">
        <f t="shared" si="8"/>
        <v>18604842.7049952</v>
      </c>
      <c r="T65" s="6">
        <f t="shared" si="9"/>
        <v>-730615.53830697597</v>
      </c>
      <c r="U65" s="6">
        <f t="shared" si="10"/>
        <v>0</v>
      </c>
      <c r="V65" s="6">
        <f t="shared" si="11"/>
        <v>0</v>
      </c>
      <c r="W65" s="6">
        <f t="shared" ca="1" si="12"/>
        <v>18099356.42520937</v>
      </c>
      <c r="X65" s="6"/>
    </row>
    <row r="66" spans="1:24">
      <c r="A66" s="20">
        <f>'Monthly Data'!A66</f>
        <v>42856</v>
      </c>
      <c r="B66">
        <f t="shared" si="42"/>
        <v>5</v>
      </c>
      <c r="C66">
        <f t="shared" si="43"/>
        <v>2017</v>
      </c>
      <c r="D66" s="6">
        <v>19096905.725095563</v>
      </c>
      <c r="E66" s="7">
        <f t="shared" ref="E66:F66" ca="1" si="66">E54</f>
        <v>79.77000000000001</v>
      </c>
      <c r="F66" s="7">
        <f t="shared" ca="1" si="66"/>
        <v>52.065789473684617</v>
      </c>
      <c r="G66">
        <v>6969.8</v>
      </c>
      <c r="H66">
        <v>0</v>
      </c>
      <c r="I66">
        <v>31</v>
      </c>
      <c r="J66">
        <f>'Monthly Data'!CE66</f>
        <v>1</v>
      </c>
      <c r="K66">
        <v>0</v>
      </c>
      <c r="L66">
        <v>0</v>
      </c>
      <c r="N66" s="6">
        <f t="shared" si="3"/>
        <v>-12141897.0683104</v>
      </c>
      <c r="O66" s="6">
        <f t="shared" ca="1" si="4"/>
        <v>903698.08764795458</v>
      </c>
      <c r="P66" s="6">
        <f t="shared" ca="1" si="5"/>
        <v>3281117.871850735</v>
      </c>
      <c r="Q66" s="6">
        <f t="shared" si="6"/>
        <v>9765088.3534732312</v>
      </c>
      <c r="R66" s="6">
        <f t="shared" si="7"/>
        <v>0</v>
      </c>
      <c r="S66" s="6">
        <f t="shared" si="8"/>
        <v>19225004.128495038</v>
      </c>
      <c r="T66" s="6">
        <f t="shared" si="9"/>
        <v>-730615.53830697597</v>
      </c>
      <c r="U66" s="6">
        <f t="shared" si="10"/>
        <v>0</v>
      </c>
      <c r="V66" s="6">
        <f t="shared" si="11"/>
        <v>0</v>
      </c>
      <c r="W66" s="6">
        <f t="shared" ca="1" si="12"/>
        <v>20302395.834849577</v>
      </c>
      <c r="X66" s="6"/>
    </row>
    <row r="67" spans="1:24">
      <c r="A67" s="20">
        <f>'Monthly Data'!A67</f>
        <v>42887</v>
      </c>
      <c r="B67">
        <f t="shared" si="42"/>
        <v>6</v>
      </c>
      <c r="C67">
        <f t="shared" si="43"/>
        <v>2017</v>
      </c>
      <c r="D67" s="6">
        <v>23026861.29899263</v>
      </c>
      <c r="E67" s="7">
        <f t="shared" ref="E67:F67" ca="1" si="67">E55</f>
        <v>5.16</v>
      </c>
      <c r="F67" s="7">
        <f t="shared" ca="1" si="67"/>
        <v>106.52421052631576</v>
      </c>
      <c r="G67">
        <v>7051.6</v>
      </c>
      <c r="H67">
        <v>0</v>
      </c>
      <c r="I67">
        <v>30</v>
      </c>
      <c r="J67">
        <f>'Monthly Data'!CE67</f>
        <v>0</v>
      </c>
      <c r="K67">
        <v>0</v>
      </c>
      <c r="L67">
        <v>0</v>
      </c>
      <c r="N67" s="6">
        <f t="shared" ref="N67:N130" si="68">$Z$7</f>
        <v>-12141897.0683104</v>
      </c>
      <c r="O67" s="6">
        <f t="shared" ref="O67:O130" ca="1" si="69">E67*$Z$8</f>
        <v>58456.589347667606</v>
      </c>
      <c r="P67" s="6">
        <f t="shared" ref="P67:P130" ca="1" si="70">F67*$Z$9</f>
        <v>6713016.2526266966</v>
      </c>
      <c r="Q67" s="6">
        <f t="shared" ref="Q67:Q130" si="71">G67*$Z$10</f>
        <v>9879694.8310355879</v>
      </c>
      <c r="R67" s="6">
        <f t="shared" ref="R67:R130" si="72">H67*$Z$11</f>
        <v>0</v>
      </c>
      <c r="S67" s="6">
        <f t="shared" ref="S67:S130" si="73">I67*$Z$12</f>
        <v>18604842.7049952</v>
      </c>
      <c r="T67" s="6">
        <f t="shared" ref="T67:T130" si="74">J67*$Z$13</f>
        <v>0</v>
      </c>
      <c r="U67" s="6">
        <f t="shared" ref="U67:U130" si="75">K67*$Z$14</f>
        <v>0</v>
      </c>
      <c r="V67" s="6">
        <f t="shared" ref="V67:V130" si="76">L67*$Z$15</f>
        <v>0</v>
      </c>
      <c r="W67" s="6">
        <f t="shared" ref="W67:W130" ca="1" si="77">SUM(N67:V67)</f>
        <v>23114113.309694752</v>
      </c>
      <c r="X67" s="6"/>
    </row>
    <row r="68" spans="1:24">
      <c r="A68" s="20">
        <f>'Monthly Data'!A68</f>
        <v>42917</v>
      </c>
      <c r="B68">
        <f t="shared" si="42"/>
        <v>7</v>
      </c>
      <c r="C68">
        <f t="shared" si="43"/>
        <v>2017</v>
      </c>
      <c r="D68" s="6">
        <v>27674827.997007251</v>
      </c>
      <c r="E68" s="7">
        <f t="shared" ref="E68:F68" ca="1" si="78">E56</f>
        <v>0</v>
      </c>
      <c r="F68" s="7">
        <f t="shared" ca="1" si="78"/>
        <v>189.76052631578978</v>
      </c>
      <c r="G68">
        <v>7118.5</v>
      </c>
      <c r="H68">
        <v>0</v>
      </c>
      <c r="I68">
        <v>31</v>
      </c>
      <c r="J68">
        <f>'Monthly Data'!CE68</f>
        <v>0</v>
      </c>
      <c r="K68">
        <v>0</v>
      </c>
      <c r="L68">
        <v>0</v>
      </c>
      <c r="N68" s="6">
        <f t="shared" si="68"/>
        <v>-12141897.0683104</v>
      </c>
      <c r="O68" s="6">
        <f t="shared" ca="1" si="69"/>
        <v>0</v>
      </c>
      <c r="P68" s="6">
        <f t="shared" ca="1" si="70"/>
        <v>11958459.874717372</v>
      </c>
      <c r="Q68" s="6">
        <f t="shared" si="71"/>
        <v>9973425.5565725267</v>
      </c>
      <c r="R68" s="6">
        <f t="shared" si="72"/>
        <v>0</v>
      </c>
      <c r="S68" s="6">
        <f t="shared" si="73"/>
        <v>19225004.128495038</v>
      </c>
      <c r="T68" s="6">
        <f t="shared" si="74"/>
        <v>0</v>
      </c>
      <c r="U68" s="6">
        <f t="shared" si="75"/>
        <v>0</v>
      </c>
      <c r="V68" s="6">
        <f t="shared" si="76"/>
        <v>0</v>
      </c>
      <c r="W68" s="6">
        <f t="shared" ca="1" si="77"/>
        <v>29014992.491474535</v>
      </c>
      <c r="X68" s="6"/>
    </row>
    <row r="69" spans="1:24">
      <c r="A69" s="20">
        <f>'Monthly Data'!A69</f>
        <v>42948</v>
      </c>
      <c r="B69">
        <f t="shared" si="42"/>
        <v>8</v>
      </c>
      <c r="C69">
        <f t="shared" si="43"/>
        <v>2017</v>
      </c>
      <c r="D69" s="6">
        <v>25730368.855385121</v>
      </c>
      <c r="E69" s="7">
        <f t="shared" ref="E69:F69" ca="1" si="79">E57</f>
        <v>8.0000000000000071E-2</v>
      </c>
      <c r="F69" s="7">
        <f t="shared" ca="1" si="79"/>
        <v>169.11894736842078</v>
      </c>
      <c r="G69">
        <v>7139</v>
      </c>
      <c r="H69">
        <v>0</v>
      </c>
      <c r="I69">
        <v>31</v>
      </c>
      <c r="J69">
        <f>'Monthly Data'!CE69</f>
        <v>0</v>
      </c>
      <c r="K69">
        <v>0</v>
      </c>
      <c r="L69">
        <v>0</v>
      </c>
      <c r="N69" s="6">
        <f t="shared" si="68"/>
        <v>-12141897.0683104</v>
      </c>
      <c r="O69" s="6">
        <f t="shared" ca="1" si="69"/>
        <v>906.30371081655289</v>
      </c>
      <c r="P69" s="6">
        <f t="shared" ca="1" si="70"/>
        <v>10657654.599851396</v>
      </c>
      <c r="Q69" s="6">
        <f t="shared" si="71"/>
        <v>10002147.228822261</v>
      </c>
      <c r="R69" s="6">
        <f t="shared" si="72"/>
        <v>0</v>
      </c>
      <c r="S69" s="6">
        <f t="shared" si="73"/>
        <v>19225004.128495038</v>
      </c>
      <c r="T69" s="6">
        <f t="shared" si="74"/>
        <v>0</v>
      </c>
      <c r="U69" s="6">
        <f t="shared" si="75"/>
        <v>0</v>
      </c>
      <c r="V69" s="6">
        <f t="shared" si="76"/>
        <v>0</v>
      </c>
      <c r="W69" s="6">
        <f t="shared" ca="1" si="77"/>
        <v>27743815.192569111</v>
      </c>
      <c r="X69" s="6"/>
    </row>
    <row r="70" spans="1:24">
      <c r="A70" s="20">
        <f>'Monthly Data'!A70</f>
        <v>42979</v>
      </c>
      <c r="B70">
        <f t="shared" si="42"/>
        <v>9</v>
      </c>
      <c r="C70">
        <f t="shared" si="43"/>
        <v>2017</v>
      </c>
      <c r="D70" s="6">
        <v>21065018.835421018</v>
      </c>
      <c r="E70" s="7">
        <f t="shared" ref="E70:F70" ca="1" si="80">E58</f>
        <v>12.280000000000001</v>
      </c>
      <c r="F70" s="7">
        <f t="shared" ca="1" si="80"/>
        <v>77.220526315789357</v>
      </c>
      <c r="G70">
        <v>7121.5</v>
      </c>
      <c r="H70">
        <v>0</v>
      </c>
      <c r="I70">
        <v>30</v>
      </c>
      <c r="J70">
        <f>'Monthly Data'!CE70</f>
        <v>1</v>
      </c>
      <c r="K70">
        <v>0</v>
      </c>
      <c r="L70">
        <v>0</v>
      </c>
      <c r="N70" s="6">
        <f t="shared" si="68"/>
        <v>-12141897.0683104</v>
      </c>
      <c r="O70" s="6">
        <f t="shared" ca="1" si="69"/>
        <v>139117.61961034074</v>
      </c>
      <c r="P70" s="6">
        <f t="shared" ca="1" si="70"/>
        <v>4866336.4472081224</v>
      </c>
      <c r="Q70" s="6">
        <f t="shared" si="71"/>
        <v>9977628.7281212676</v>
      </c>
      <c r="R70" s="6">
        <f t="shared" si="72"/>
        <v>0</v>
      </c>
      <c r="S70" s="6">
        <f t="shared" si="73"/>
        <v>18604842.7049952</v>
      </c>
      <c r="T70" s="6">
        <f t="shared" si="74"/>
        <v>-730615.53830697597</v>
      </c>
      <c r="U70" s="6">
        <f t="shared" si="75"/>
        <v>0</v>
      </c>
      <c r="V70" s="6">
        <f t="shared" si="76"/>
        <v>0</v>
      </c>
      <c r="W70" s="6">
        <f t="shared" ca="1" si="77"/>
        <v>20715412.893317554</v>
      </c>
      <c r="X70" s="6"/>
    </row>
    <row r="71" spans="1:24">
      <c r="A71" s="20">
        <f>'Monthly Data'!A71</f>
        <v>43009</v>
      </c>
      <c r="B71">
        <f t="shared" si="42"/>
        <v>10</v>
      </c>
      <c r="C71">
        <f t="shared" si="43"/>
        <v>2017</v>
      </c>
      <c r="D71" s="6">
        <v>18231593.113756634</v>
      </c>
      <c r="E71" s="7">
        <f t="shared" ref="E71:F71" ca="1" si="81">E59</f>
        <v>111.21000000000001</v>
      </c>
      <c r="F71" s="7">
        <f t="shared" ca="1" si="81"/>
        <v>16.868947368421004</v>
      </c>
      <c r="G71">
        <v>7117.9</v>
      </c>
      <c r="H71">
        <v>0</v>
      </c>
      <c r="I71">
        <v>31</v>
      </c>
      <c r="J71">
        <f>'Monthly Data'!CE71</f>
        <v>1</v>
      </c>
      <c r="K71">
        <v>0</v>
      </c>
      <c r="L71">
        <v>0</v>
      </c>
      <c r="N71" s="6">
        <f t="shared" si="68"/>
        <v>-12141897.0683104</v>
      </c>
      <c r="O71" s="6">
        <f t="shared" ca="1" si="69"/>
        <v>1259875.4459988596</v>
      </c>
      <c r="P71" s="6">
        <f t="shared" ca="1" si="70"/>
        <v>1063058.9730673418</v>
      </c>
      <c r="Q71" s="6">
        <f t="shared" si="71"/>
        <v>9972584.9222627785</v>
      </c>
      <c r="R71" s="6">
        <f t="shared" si="72"/>
        <v>0</v>
      </c>
      <c r="S71" s="6">
        <f t="shared" si="73"/>
        <v>19225004.128495038</v>
      </c>
      <c r="T71" s="6">
        <f t="shared" si="74"/>
        <v>-730615.53830697597</v>
      </c>
      <c r="U71" s="6">
        <f t="shared" si="75"/>
        <v>0</v>
      </c>
      <c r="V71" s="6">
        <f t="shared" si="76"/>
        <v>0</v>
      </c>
      <c r="W71" s="6">
        <f t="shared" ca="1" si="77"/>
        <v>18648010.86320664</v>
      </c>
      <c r="X71" s="6"/>
    </row>
    <row r="72" spans="1:24">
      <c r="A72" s="20">
        <f>'Monthly Data'!A72</f>
        <v>43040</v>
      </c>
      <c r="B72">
        <f t="shared" si="42"/>
        <v>11</v>
      </c>
      <c r="C72">
        <f t="shared" si="43"/>
        <v>2017</v>
      </c>
      <c r="D72" s="6">
        <v>19491896.410775527</v>
      </c>
      <c r="E72" s="7">
        <f t="shared" ref="E72:F72" ca="1" si="82">E60</f>
        <v>297.28000000000003</v>
      </c>
      <c r="F72" s="7">
        <f t="shared" ca="1" si="82"/>
        <v>1.2689473684210384</v>
      </c>
      <c r="G72">
        <v>7117.8</v>
      </c>
      <c r="H72">
        <v>0</v>
      </c>
      <c r="I72">
        <v>30</v>
      </c>
      <c r="J72">
        <f>'Monthly Data'!CE72</f>
        <v>0</v>
      </c>
      <c r="K72">
        <v>0</v>
      </c>
      <c r="L72">
        <v>0</v>
      </c>
      <c r="N72" s="6">
        <f t="shared" si="68"/>
        <v>-12141897.0683104</v>
      </c>
      <c r="O72" s="6">
        <f t="shared" ca="1" si="69"/>
        <v>3367824.5893943077</v>
      </c>
      <c r="P72" s="6">
        <f t="shared" ca="1" si="70"/>
        <v>79967.401455971412</v>
      </c>
      <c r="Q72" s="6">
        <f t="shared" si="71"/>
        <v>9972444.8165444862</v>
      </c>
      <c r="R72" s="6">
        <f t="shared" si="72"/>
        <v>0</v>
      </c>
      <c r="S72" s="6">
        <f t="shared" si="73"/>
        <v>18604842.7049952</v>
      </c>
      <c r="T72" s="6">
        <f t="shared" si="74"/>
        <v>0</v>
      </c>
      <c r="U72" s="6">
        <f t="shared" si="75"/>
        <v>0</v>
      </c>
      <c r="V72" s="6">
        <f t="shared" si="76"/>
        <v>0</v>
      </c>
      <c r="W72" s="6">
        <f t="shared" ca="1" si="77"/>
        <v>19883182.444079563</v>
      </c>
      <c r="X72" s="6"/>
    </row>
    <row r="73" spans="1:24">
      <c r="A73" s="20">
        <f>'Monthly Data'!A73</f>
        <v>43070</v>
      </c>
      <c r="B73">
        <f t="shared" si="42"/>
        <v>12</v>
      </c>
      <c r="C73">
        <f t="shared" si="43"/>
        <v>2017</v>
      </c>
      <c r="D73" s="6">
        <v>23724231.163749639</v>
      </c>
      <c r="E73" s="7">
        <f t="shared" ref="E73:F73" ca="1" si="83">E61</f>
        <v>440.25</v>
      </c>
      <c r="F73" s="7">
        <f t="shared" ca="1" si="83"/>
        <v>0</v>
      </c>
      <c r="G73">
        <v>7140.2</v>
      </c>
      <c r="H73">
        <v>1</v>
      </c>
      <c r="I73">
        <v>31</v>
      </c>
      <c r="J73">
        <f>'Monthly Data'!CE73</f>
        <v>0</v>
      </c>
      <c r="K73">
        <v>0</v>
      </c>
      <c r="L73">
        <v>0</v>
      </c>
      <c r="N73" s="6">
        <f t="shared" si="68"/>
        <v>-12141897.0683104</v>
      </c>
      <c r="O73" s="6">
        <f t="shared" ca="1" si="69"/>
        <v>4987502.6085873377</v>
      </c>
      <c r="P73" s="6">
        <f t="shared" ca="1" si="70"/>
        <v>0</v>
      </c>
      <c r="Q73" s="6">
        <f t="shared" si="71"/>
        <v>10003828.497441757</v>
      </c>
      <c r="R73" s="6">
        <f t="shared" si="72"/>
        <v>695677.72202584799</v>
      </c>
      <c r="S73" s="6">
        <f t="shared" si="73"/>
        <v>19225004.128495038</v>
      </c>
      <c r="T73" s="6">
        <f t="shared" si="74"/>
        <v>0</v>
      </c>
      <c r="U73" s="6">
        <f t="shared" si="75"/>
        <v>0</v>
      </c>
      <c r="V73" s="6">
        <f t="shared" si="76"/>
        <v>0</v>
      </c>
      <c r="W73" s="6">
        <f t="shared" ca="1" si="77"/>
        <v>22770115.888239581</v>
      </c>
      <c r="X73" s="6"/>
    </row>
    <row r="74" spans="1:24">
      <c r="A74" s="20">
        <f>'Monthly Data'!A74</f>
        <v>43101</v>
      </c>
      <c r="B74">
        <f t="shared" si="42"/>
        <v>1</v>
      </c>
      <c r="C74">
        <f t="shared" si="43"/>
        <v>2018</v>
      </c>
      <c r="D74" s="6">
        <v>24073659.566567264</v>
      </c>
      <c r="E74" s="7">
        <f t="shared" ref="E74:F74" ca="1" si="84">E62</f>
        <v>564.86</v>
      </c>
      <c r="F74" s="7">
        <f t="shared" ca="1" si="84"/>
        <v>0</v>
      </c>
      <c r="G74">
        <v>7100.3</v>
      </c>
      <c r="H74">
        <v>0</v>
      </c>
      <c r="I74">
        <v>31</v>
      </c>
      <c r="J74">
        <f>'Monthly Data'!CE74</f>
        <v>0</v>
      </c>
      <c r="K74">
        <v>0</v>
      </c>
      <c r="L74">
        <v>0</v>
      </c>
      <c r="N74" s="6">
        <f t="shared" si="68"/>
        <v>-12141897.0683104</v>
      </c>
      <c r="O74" s="6">
        <f t="shared" ca="1" si="69"/>
        <v>6399183.9261479704</v>
      </c>
      <c r="P74" s="6">
        <f t="shared" ca="1" si="70"/>
        <v>0</v>
      </c>
      <c r="Q74" s="6">
        <f t="shared" si="71"/>
        <v>9947926.3158434946</v>
      </c>
      <c r="R74" s="6">
        <f t="shared" si="72"/>
        <v>0</v>
      </c>
      <c r="S74" s="6">
        <f t="shared" si="73"/>
        <v>19225004.128495038</v>
      </c>
      <c r="T74" s="6">
        <f t="shared" si="74"/>
        <v>0</v>
      </c>
      <c r="U74" s="6">
        <f t="shared" si="75"/>
        <v>0</v>
      </c>
      <c r="V74" s="6">
        <f t="shared" si="76"/>
        <v>0</v>
      </c>
      <c r="W74" s="6">
        <f t="shared" ca="1" si="77"/>
        <v>23430217.302176103</v>
      </c>
      <c r="X74" s="6"/>
    </row>
    <row r="75" spans="1:24">
      <c r="A75" s="20">
        <f>'Monthly Data'!A75</f>
        <v>43132</v>
      </c>
      <c r="B75">
        <f t="shared" si="42"/>
        <v>2</v>
      </c>
      <c r="C75">
        <f t="shared" si="43"/>
        <v>2018</v>
      </c>
      <c r="D75" s="6">
        <v>20162044.327167265</v>
      </c>
      <c r="E75" s="7">
        <f t="shared" ref="E75:F75" ca="1" si="85">E63</f>
        <v>516.43000000000006</v>
      </c>
      <c r="F75" s="7">
        <f t="shared" ca="1" si="85"/>
        <v>0</v>
      </c>
      <c r="G75">
        <v>7053.7</v>
      </c>
      <c r="H75">
        <v>0</v>
      </c>
      <c r="I75">
        <v>28</v>
      </c>
      <c r="J75">
        <f>'Monthly Data'!CE75</f>
        <v>0</v>
      </c>
      <c r="K75">
        <v>0</v>
      </c>
      <c r="L75">
        <v>0</v>
      </c>
      <c r="N75" s="6">
        <f t="shared" si="68"/>
        <v>-12141897.0683104</v>
      </c>
      <c r="O75" s="6">
        <f t="shared" ca="1" si="69"/>
        <v>5850530.3172124</v>
      </c>
      <c r="P75" s="6">
        <f t="shared" ca="1" si="70"/>
        <v>0</v>
      </c>
      <c r="Q75" s="6">
        <f t="shared" si="71"/>
        <v>9882637.0511197057</v>
      </c>
      <c r="R75" s="6">
        <f t="shared" si="72"/>
        <v>0</v>
      </c>
      <c r="S75" s="6">
        <f t="shared" si="73"/>
        <v>17364519.857995518</v>
      </c>
      <c r="T75" s="6">
        <f t="shared" si="74"/>
        <v>0</v>
      </c>
      <c r="U75" s="6">
        <f t="shared" si="75"/>
        <v>0</v>
      </c>
      <c r="V75" s="6">
        <f t="shared" si="76"/>
        <v>0</v>
      </c>
      <c r="W75" s="6">
        <f t="shared" ca="1" si="77"/>
        <v>20955790.158017222</v>
      </c>
      <c r="X75" s="6"/>
    </row>
    <row r="76" spans="1:24">
      <c r="A76" s="20">
        <f>'Monthly Data'!A76</f>
        <v>43160</v>
      </c>
      <c r="B76">
        <f t="shared" si="42"/>
        <v>3</v>
      </c>
      <c r="C76">
        <f t="shared" si="43"/>
        <v>2018</v>
      </c>
      <c r="D76" s="6">
        <v>20947649.553467266</v>
      </c>
      <c r="E76" s="7">
        <f t="shared" ref="E76:F76" ca="1" si="86">E64</f>
        <v>412.32</v>
      </c>
      <c r="F76" s="7">
        <f t="shared" ca="1" si="86"/>
        <v>0.57842105263157961</v>
      </c>
      <c r="G76">
        <v>7013.3</v>
      </c>
      <c r="H76">
        <v>0</v>
      </c>
      <c r="I76">
        <v>31</v>
      </c>
      <c r="J76">
        <f>'Monthly Data'!CE76</f>
        <v>1</v>
      </c>
      <c r="K76">
        <v>0</v>
      </c>
      <c r="L76">
        <v>0</v>
      </c>
      <c r="N76" s="6">
        <f t="shared" si="68"/>
        <v>-12141897.0683104</v>
      </c>
      <c r="O76" s="6">
        <f t="shared" ca="1" si="69"/>
        <v>4671089.3255485091</v>
      </c>
      <c r="P76" s="6">
        <f t="shared" ca="1" si="70"/>
        <v>36451.33728747975</v>
      </c>
      <c r="Q76" s="6">
        <f t="shared" si="71"/>
        <v>9826034.340929985</v>
      </c>
      <c r="R76" s="6">
        <f t="shared" si="72"/>
        <v>0</v>
      </c>
      <c r="S76" s="6">
        <f t="shared" si="73"/>
        <v>19225004.128495038</v>
      </c>
      <c r="T76" s="6">
        <f t="shared" si="74"/>
        <v>-730615.53830697597</v>
      </c>
      <c r="U76" s="6">
        <f t="shared" si="75"/>
        <v>0</v>
      </c>
      <c r="V76" s="6">
        <f t="shared" si="76"/>
        <v>0</v>
      </c>
      <c r="W76" s="6">
        <f t="shared" ca="1" si="77"/>
        <v>20886066.525643636</v>
      </c>
      <c r="X76" s="6"/>
    </row>
    <row r="77" spans="1:24">
      <c r="A77" s="20">
        <f>'Monthly Data'!A77</f>
        <v>43191</v>
      </c>
      <c r="B77">
        <f t="shared" si="42"/>
        <v>4</v>
      </c>
      <c r="C77">
        <f t="shared" si="43"/>
        <v>2018</v>
      </c>
      <c r="D77" s="6">
        <v>19139295.462167267</v>
      </c>
      <c r="E77" s="7">
        <f t="shared" ref="E77:F77" ca="1" si="87">E65</f>
        <v>229.95</v>
      </c>
      <c r="F77" s="7">
        <f t="shared" ca="1" si="87"/>
        <v>1.3889473684210429</v>
      </c>
      <c r="G77">
        <v>7043.4</v>
      </c>
      <c r="H77">
        <v>0</v>
      </c>
      <c r="I77">
        <v>30</v>
      </c>
      <c r="J77">
        <f>'Monthly Data'!CE77</f>
        <v>1</v>
      </c>
      <c r="K77">
        <v>0</v>
      </c>
      <c r="L77">
        <v>0</v>
      </c>
      <c r="N77" s="6">
        <f t="shared" si="68"/>
        <v>-12141897.0683104</v>
      </c>
      <c r="O77" s="6">
        <f t="shared" ca="1" si="69"/>
        <v>2605056.7287783269</v>
      </c>
      <c r="P77" s="6">
        <f t="shared" ca="1" si="70"/>
        <v>87529.644314520716</v>
      </c>
      <c r="Q77" s="6">
        <f t="shared" si="71"/>
        <v>9868206.1621356923</v>
      </c>
      <c r="R77" s="6">
        <f t="shared" si="72"/>
        <v>0</v>
      </c>
      <c r="S77" s="6">
        <f t="shared" si="73"/>
        <v>18604842.7049952</v>
      </c>
      <c r="T77" s="6">
        <f t="shared" si="74"/>
        <v>-730615.53830697597</v>
      </c>
      <c r="U77" s="6">
        <f t="shared" si="75"/>
        <v>0</v>
      </c>
      <c r="V77" s="6">
        <f t="shared" si="76"/>
        <v>0</v>
      </c>
      <c r="W77" s="6">
        <f t="shared" ca="1" si="77"/>
        <v>18293122.633606363</v>
      </c>
      <c r="X77" s="6"/>
    </row>
    <row r="78" spans="1:24">
      <c r="A78" s="20">
        <f>'Monthly Data'!A78</f>
        <v>43221</v>
      </c>
      <c r="B78">
        <f t="shared" si="42"/>
        <v>5</v>
      </c>
      <c r="C78">
        <f t="shared" si="43"/>
        <v>2018</v>
      </c>
      <c r="D78" s="6">
        <v>20041747.692667268</v>
      </c>
      <c r="E78" s="7">
        <f t="shared" ref="E78:F78" ca="1" si="88">E66</f>
        <v>79.77000000000001</v>
      </c>
      <c r="F78" s="7">
        <f t="shared" ca="1" si="88"/>
        <v>52.065789473684617</v>
      </c>
      <c r="G78">
        <v>7111</v>
      </c>
      <c r="H78">
        <v>0</v>
      </c>
      <c r="I78">
        <v>31</v>
      </c>
      <c r="J78">
        <f>'Monthly Data'!CE78</f>
        <v>1</v>
      </c>
      <c r="K78">
        <v>0</v>
      </c>
      <c r="L78">
        <v>0</v>
      </c>
      <c r="N78" s="6">
        <f t="shared" si="68"/>
        <v>-12141897.0683104</v>
      </c>
      <c r="O78" s="6">
        <f t="shared" ca="1" si="69"/>
        <v>903698.08764795458</v>
      </c>
      <c r="P78" s="6">
        <f t="shared" ca="1" si="70"/>
        <v>3281117.871850735</v>
      </c>
      <c r="Q78" s="6">
        <f t="shared" si="71"/>
        <v>9962917.6277006716</v>
      </c>
      <c r="R78" s="6">
        <f t="shared" si="72"/>
        <v>0</v>
      </c>
      <c r="S78" s="6">
        <f t="shared" si="73"/>
        <v>19225004.128495038</v>
      </c>
      <c r="T78" s="6">
        <f t="shared" si="74"/>
        <v>-730615.53830697597</v>
      </c>
      <c r="U78" s="6">
        <f t="shared" si="75"/>
        <v>0</v>
      </c>
      <c r="V78" s="6">
        <f t="shared" si="76"/>
        <v>0</v>
      </c>
      <c r="W78" s="6">
        <f t="shared" ca="1" si="77"/>
        <v>20500225.109077018</v>
      </c>
      <c r="X78" s="6"/>
    </row>
    <row r="79" spans="1:24">
      <c r="A79" s="20">
        <f>'Monthly Data'!A79</f>
        <v>43252</v>
      </c>
      <c r="B79">
        <f t="shared" si="42"/>
        <v>6</v>
      </c>
      <c r="C79">
        <f t="shared" si="43"/>
        <v>2018</v>
      </c>
      <c r="D79" s="6">
        <v>22588013.119067267</v>
      </c>
      <c r="E79" s="7">
        <f t="shared" ref="E79:F79" ca="1" si="89">E67</f>
        <v>5.16</v>
      </c>
      <c r="F79" s="7">
        <f t="shared" ca="1" si="89"/>
        <v>106.52421052631576</v>
      </c>
      <c r="G79">
        <v>7203.7</v>
      </c>
      <c r="H79">
        <v>0</v>
      </c>
      <c r="I79">
        <v>30</v>
      </c>
      <c r="J79">
        <f>'Monthly Data'!CE79</f>
        <v>0</v>
      </c>
      <c r="K79">
        <v>0</v>
      </c>
      <c r="L79">
        <v>0</v>
      </c>
      <c r="N79" s="6">
        <f t="shared" si="68"/>
        <v>-12141897.0683104</v>
      </c>
      <c r="O79" s="6">
        <f t="shared" ca="1" si="69"/>
        <v>58456.589347667606</v>
      </c>
      <c r="P79" s="6">
        <f t="shared" ca="1" si="70"/>
        <v>6713016.2526266966</v>
      </c>
      <c r="Q79" s="6">
        <f t="shared" si="71"/>
        <v>10092795.62855679</v>
      </c>
      <c r="R79" s="6">
        <f t="shared" si="72"/>
        <v>0</v>
      </c>
      <c r="S79" s="6">
        <f t="shared" si="73"/>
        <v>18604842.7049952</v>
      </c>
      <c r="T79" s="6">
        <f t="shared" si="74"/>
        <v>0</v>
      </c>
      <c r="U79" s="6">
        <f t="shared" si="75"/>
        <v>0</v>
      </c>
      <c r="V79" s="6">
        <f t="shared" si="76"/>
        <v>0</v>
      </c>
      <c r="W79" s="6">
        <f t="shared" ca="1" si="77"/>
        <v>23327214.107215956</v>
      </c>
      <c r="X79" s="6"/>
    </row>
    <row r="80" spans="1:24">
      <c r="A80" s="20">
        <f>'Monthly Data'!A80</f>
        <v>43282</v>
      </c>
      <c r="B80">
        <f t="shared" si="42"/>
        <v>7</v>
      </c>
      <c r="C80">
        <f t="shared" si="43"/>
        <v>2018</v>
      </c>
      <c r="D80" s="6">
        <v>30017017.307167266</v>
      </c>
      <c r="E80" s="7">
        <f t="shared" ref="E80:F80" ca="1" si="90">E68</f>
        <v>0</v>
      </c>
      <c r="F80" s="7">
        <f t="shared" ca="1" si="90"/>
        <v>189.76052631578978</v>
      </c>
      <c r="G80">
        <v>7285.2</v>
      </c>
      <c r="H80">
        <v>0</v>
      </c>
      <c r="I80">
        <v>31</v>
      </c>
      <c r="J80">
        <f>'Monthly Data'!CE80</f>
        <v>0</v>
      </c>
      <c r="K80">
        <v>0</v>
      </c>
      <c r="L80">
        <v>0</v>
      </c>
      <c r="N80" s="6">
        <f t="shared" si="68"/>
        <v>-12141897.0683104</v>
      </c>
      <c r="O80" s="6">
        <f t="shared" ca="1" si="69"/>
        <v>0</v>
      </c>
      <c r="P80" s="6">
        <f t="shared" ca="1" si="70"/>
        <v>11958459.874717372</v>
      </c>
      <c r="Q80" s="6">
        <f t="shared" si="71"/>
        <v>10206981.788964272</v>
      </c>
      <c r="R80" s="6">
        <f t="shared" si="72"/>
        <v>0</v>
      </c>
      <c r="S80" s="6">
        <f t="shared" si="73"/>
        <v>19225004.128495038</v>
      </c>
      <c r="T80" s="6">
        <f t="shared" si="74"/>
        <v>0</v>
      </c>
      <c r="U80" s="6">
        <f t="shared" si="75"/>
        <v>0</v>
      </c>
      <c r="V80" s="6">
        <f t="shared" si="76"/>
        <v>0</v>
      </c>
      <c r="W80" s="6">
        <f t="shared" ca="1" si="77"/>
        <v>29248548.72386628</v>
      </c>
      <c r="X80" s="6"/>
    </row>
    <row r="81" spans="1:24">
      <c r="A81" s="20">
        <f>'Monthly Data'!A81</f>
        <v>43313</v>
      </c>
      <c r="B81">
        <f t="shared" si="42"/>
        <v>8</v>
      </c>
      <c r="C81">
        <f t="shared" si="43"/>
        <v>2018</v>
      </c>
      <c r="D81" s="6">
        <v>30650726.001667269</v>
      </c>
      <c r="E81" s="7">
        <f t="shared" ref="E81:F81" ca="1" si="91">E69</f>
        <v>8.0000000000000071E-2</v>
      </c>
      <c r="F81" s="7">
        <f t="shared" ca="1" si="91"/>
        <v>169.11894736842078</v>
      </c>
      <c r="G81">
        <v>7290.7</v>
      </c>
      <c r="H81">
        <v>0</v>
      </c>
      <c r="I81">
        <v>31</v>
      </c>
      <c r="J81">
        <f>'Monthly Data'!CE81</f>
        <v>0</v>
      </c>
      <c r="K81">
        <v>0</v>
      </c>
      <c r="L81">
        <v>0</v>
      </c>
      <c r="N81" s="6">
        <f t="shared" si="68"/>
        <v>-12141897.0683104</v>
      </c>
      <c r="O81" s="6">
        <f t="shared" ca="1" si="69"/>
        <v>906.30371081655289</v>
      </c>
      <c r="P81" s="6">
        <f t="shared" ca="1" si="70"/>
        <v>10657654.599851396</v>
      </c>
      <c r="Q81" s="6">
        <f t="shared" si="71"/>
        <v>10214687.603470298</v>
      </c>
      <c r="R81" s="6">
        <f t="shared" si="72"/>
        <v>0</v>
      </c>
      <c r="S81" s="6">
        <f t="shared" si="73"/>
        <v>19225004.128495038</v>
      </c>
      <c r="T81" s="6">
        <f t="shared" si="74"/>
        <v>0</v>
      </c>
      <c r="U81" s="6">
        <f t="shared" si="75"/>
        <v>0</v>
      </c>
      <c r="V81" s="6">
        <f t="shared" si="76"/>
        <v>0</v>
      </c>
      <c r="W81" s="6">
        <f t="shared" ca="1" si="77"/>
        <v>27956355.567217149</v>
      </c>
      <c r="X81" s="6"/>
    </row>
    <row r="82" spans="1:24">
      <c r="A82" s="20">
        <f>'Monthly Data'!A82</f>
        <v>43344</v>
      </c>
      <c r="B82">
        <f t="shared" si="42"/>
        <v>9</v>
      </c>
      <c r="C82">
        <f t="shared" si="43"/>
        <v>2018</v>
      </c>
      <c r="D82" s="6">
        <v>23280752.545567263</v>
      </c>
      <c r="E82" s="7">
        <f t="shared" ref="E82:F82" ca="1" si="92">E70</f>
        <v>12.280000000000001</v>
      </c>
      <c r="F82" s="7">
        <f t="shared" ca="1" si="92"/>
        <v>77.220526315789357</v>
      </c>
      <c r="G82">
        <v>7249.1</v>
      </c>
      <c r="H82">
        <v>0</v>
      </c>
      <c r="I82">
        <v>30</v>
      </c>
      <c r="J82">
        <f>'Monthly Data'!CE82</f>
        <v>1</v>
      </c>
      <c r="K82">
        <v>0</v>
      </c>
      <c r="L82">
        <v>0</v>
      </c>
      <c r="N82" s="6">
        <f t="shared" si="68"/>
        <v>-12141897.0683104</v>
      </c>
      <c r="O82" s="6">
        <f t="shared" ca="1" si="69"/>
        <v>139117.61961034074</v>
      </c>
      <c r="P82" s="6">
        <f t="shared" ca="1" si="70"/>
        <v>4866336.4472081224</v>
      </c>
      <c r="Q82" s="6">
        <f t="shared" si="71"/>
        <v>10156403.624661081</v>
      </c>
      <c r="R82" s="6">
        <f t="shared" si="72"/>
        <v>0</v>
      </c>
      <c r="S82" s="6">
        <f t="shared" si="73"/>
        <v>18604842.7049952</v>
      </c>
      <c r="T82" s="6">
        <f t="shared" si="74"/>
        <v>-730615.53830697597</v>
      </c>
      <c r="U82" s="6">
        <f t="shared" si="75"/>
        <v>0</v>
      </c>
      <c r="V82" s="6">
        <f t="shared" si="76"/>
        <v>0</v>
      </c>
      <c r="W82" s="6">
        <f t="shared" ca="1" si="77"/>
        <v>20894187.789857365</v>
      </c>
      <c r="X82" s="6"/>
    </row>
    <row r="83" spans="1:24">
      <c r="A83" s="20">
        <f>'Monthly Data'!A83</f>
        <v>43374</v>
      </c>
      <c r="B83">
        <f t="shared" si="42"/>
        <v>10</v>
      </c>
      <c r="C83">
        <f t="shared" si="43"/>
        <v>2018</v>
      </c>
      <c r="D83" s="6">
        <v>19430725.728867266</v>
      </c>
      <c r="E83" s="7">
        <f t="shared" ref="E83:F83" ca="1" si="93">E71</f>
        <v>111.21000000000001</v>
      </c>
      <c r="F83" s="7">
        <f t="shared" ca="1" si="93"/>
        <v>16.868947368421004</v>
      </c>
      <c r="G83">
        <v>7206.5</v>
      </c>
      <c r="H83">
        <v>0</v>
      </c>
      <c r="I83">
        <v>31</v>
      </c>
      <c r="J83">
        <f>'Monthly Data'!CE83</f>
        <v>1</v>
      </c>
      <c r="K83">
        <v>0</v>
      </c>
      <c r="L83">
        <v>0</v>
      </c>
      <c r="N83" s="6">
        <f t="shared" si="68"/>
        <v>-12141897.0683104</v>
      </c>
      <c r="O83" s="6">
        <f t="shared" ca="1" si="69"/>
        <v>1259875.4459988596</v>
      </c>
      <c r="P83" s="6">
        <f t="shared" ca="1" si="70"/>
        <v>1063058.9730673418</v>
      </c>
      <c r="Q83" s="6">
        <f t="shared" si="71"/>
        <v>10096718.588668948</v>
      </c>
      <c r="R83" s="6">
        <f t="shared" si="72"/>
        <v>0</v>
      </c>
      <c r="S83" s="6">
        <f t="shared" si="73"/>
        <v>19225004.128495038</v>
      </c>
      <c r="T83" s="6">
        <f t="shared" si="74"/>
        <v>-730615.53830697597</v>
      </c>
      <c r="U83" s="6">
        <f t="shared" si="75"/>
        <v>0</v>
      </c>
      <c r="V83" s="6">
        <f t="shared" si="76"/>
        <v>0</v>
      </c>
      <c r="W83" s="6">
        <f t="shared" ca="1" si="77"/>
        <v>18772144.529612809</v>
      </c>
      <c r="X83" s="6"/>
    </row>
    <row r="84" spans="1:24">
      <c r="A84" s="20">
        <f>'Monthly Data'!A84</f>
        <v>43405</v>
      </c>
      <c r="B84">
        <f t="shared" si="42"/>
        <v>11</v>
      </c>
      <c r="C84">
        <f t="shared" si="43"/>
        <v>2018</v>
      </c>
      <c r="D84" s="6">
        <v>20674343.852967266</v>
      </c>
      <c r="E84" s="7">
        <f t="shared" ref="E84:F84" ca="1" si="94">E72</f>
        <v>297.28000000000003</v>
      </c>
      <c r="F84" s="7">
        <f t="shared" ca="1" si="94"/>
        <v>1.2689473684210384</v>
      </c>
      <c r="G84">
        <v>7207.4</v>
      </c>
      <c r="H84">
        <v>0</v>
      </c>
      <c r="I84">
        <v>30</v>
      </c>
      <c r="J84">
        <f>'Monthly Data'!CE84</f>
        <v>0</v>
      </c>
      <c r="K84">
        <v>0</v>
      </c>
      <c r="L84">
        <v>0</v>
      </c>
      <c r="N84" s="6">
        <f t="shared" si="68"/>
        <v>-12141897.0683104</v>
      </c>
      <c r="O84" s="6">
        <f t="shared" ca="1" si="69"/>
        <v>3367824.5893943077</v>
      </c>
      <c r="P84" s="6">
        <f t="shared" ca="1" si="70"/>
        <v>79967.401455971412</v>
      </c>
      <c r="Q84" s="6">
        <f t="shared" si="71"/>
        <v>10097979.540133571</v>
      </c>
      <c r="R84" s="6">
        <f t="shared" si="72"/>
        <v>0</v>
      </c>
      <c r="S84" s="6">
        <f t="shared" si="73"/>
        <v>18604842.7049952</v>
      </c>
      <c r="T84" s="6">
        <f t="shared" si="74"/>
        <v>0</v>
      </c>
      <c r="U84" s="6">
        <f t="shared" si="75"/>
        <v>0</v>
      </c>
      <c r="V84" s="6">
        <f t="shared" si="76"/>
        <v>0</v>
      </c>
      <c r="W84" s="6">
        <f t="shared" ca="1" si="77"/>
        <v>20008717.167668648</v>
      </c>
      <c r="X84" s="6"/>
    </row>
    <row r="85" spans="1:24">
      <c r="A85" s="20">
        <f>'Monthly Data'!A85</f>
        <v>43435</v>
      </c>
      <c r="B85">
        <f t="shared" si="42"/>
        <v>12</v>
      </c>
      <c r="C85">
        <f t="shared" si="43"/>
        <v>2018</v>
      </c>
      <c r="D85" s="6">
        <v>23150505.742267266</v>
      </c>
      <c r="E85" s="7">
        <f t="shared" ref="E85:F85" ca="1" si="95">E73</f>
        <v>440.25</v>
      </c>
      <c r="F85" s="7">
        <f t="shared" ca="1" si="95"/>
        <v>0</v>
      </c>
      <c r="G85">
        <v>7227.2</v>
      </c>
      <c r="H85">
        <v>1</v>
      </c>
      <c r="I85">
        <v>31</v>
      </c>
      <c r="J85">
        <f>'Monthly Data'!CE85</f>
        <v>0</v>
      </c>
      <c r="K85">
        <v>0</v>
      </c>
      <c r="L85">
        <v>0</v>
      </c>
      <c r="N85" s="6">
        <f t="shared" si="68"/>
        <v>-12141897.0683104</v>
      </c>
      <c r="O85" s="6">
        <f t="shared" ca="1" si="69"/>
        <v>4987502.6085873377</v>
      </c>
      <c r="P85" s="6">
        <f t="shared" ca="1" si="70"/>
        <v>0</v>
      </c>
      <c r="Q85" s="6">
        <f t="shared" si="71"/>
        <v>10125720.472355265</v>
      </c>
      <c r="R85" s="6">
        <f t="shared" si="72"/>
        <v>695677.72202584799</v>
      </c>
      <c r="S85" s="6">
        <f t="shared" si="73"/>
        <v>19225004.128495038</v>
      </c>
      <c r="T85" s="6">
        <f t="shared" si="74"/>
        <v>0</v>
      </c>
      <c r="U85" s="6">
        <f t="shared" si="75"/>
        <v>0</v>
      </c>
      <c r="V85" s="6">
        <f t="shared" si="76"/>
        <v>0</v>
      </c>
      <c r="W85" s="6">
        <f t="shared" ca="1" si="77"/>
        <v>22892007.863153089</v>
      </c>
      <c r="X85" s="6"/>
    </row>
    <row r="86" spans="1:24">
      <c r="A86" s="20">
        <f>'Monthly Data'!A86</f>
        <v>43466</v>
      </c>
      <c r="B86">
        <f t="shared" si="42"/>
        <v>1</v>
      </c>
      <c r="C86">
        <f t="shared" si="43"/>
        <v>2019</v>
      </c>
      <c r="D86" s="6">
        <v>24270749.622478835</v>
      </c>
      <c r="E86" s="7">
        <f t="shared" ref="E86:F86" ca="1" si="96">E74</f>
        <v>564.86</v>
      </c>
      <c r="F86" s="7">
        <f t="shared" ca="1" si="96"/>
        <v>0</v>
      </c>
      <c r="G86">
        <v>7214.9</v>
      </c>
      <c r="H86">
        <v>0</v>
      </c>
      <c r="I86">
        <v>31</v>
      </c>
      <c r="J86">
        <f>'Monthly Data'!CE86</f>
        <v>0</v>
      </c>
      <c r="K86">
        <v>0</v>
      </c>
      <c r="L86">
        <v>0</v>
      </c>
      <c r="N86" s="6">
        <f t="shared" si="68"/>
        <v>-12141897.0683104</v>
      </c>
      <c r="O86" s="6">
        <f t="shared" ca="1" si="69"/>
        <v>6399183.9261479704</v>
      </c>
      <c r="P86" s="6">
        <f t="shared" ca="1" si="70"/>
        <v>0</v>
      </c>
      <c r="Q86" s="6">
        <f t="shared" si="71"/>
        <v>10108487.469005425</v>
      </c>
      <c r="R86" s="6">
        <f t="shared" si="72"/>
        <v>0</v>
      </c>
      <c r="S86" s="6">
        <f t="shared" si="73"/>
        <v>19225004.128495038</v>
      </c>
      <c r="T86" s="6">
        <f t="shared" si="74"/>
        <v>0</v>
      </c>
      <c r="U86" s="6">
        <f t="shared" si="75"/>
        <v>0</v>
      </c>
      <c r="V86" s="6">
        <f t="shared" si="76"/>
        <v>0</v>
      </c>
      <c r="W86" s="6">
        <f t="shared" ca="1" si="77"/>
        <v>23590778.455338031</v>
      </c>
      <c r="X86" s="6"/>
    </row>
    <row r="87" spans="1:24">
      <c r="A87" s="20">
        <f>'Monthly Data'!A87</f>
        <v>43497</v>
      </c>
      <c r="B87">
        <f t="shared" si="42"/>
        <v>2</v>
      </c>
      <c r="C87">
        <f t="shared" si="43"/>
        <v>2019</v>
      </c>
      <c r="D87" s="6">
        <v>21700393.622478835</v>
      </c>
      <c r="E87" s="7">
        <f t="shared" ref="E87:F87" ca="1" si="97">E75</f>
        <v>516.43000000000006</v>
      </c>
      <c r="F87" s="7">
        <f t="shared" ca="1" si="97"/>
        <v>0</v>
      </c>
      <c r="G87">
        <v>7205</v>
      </c>
      <c r="H87">
        <v>0</v>
      </c>
      <c r="I87">
        <v>28</v>
      </c>
      <c r="J87">
        <f>'Monthly Data'!CE87</f>
        <v>0</v>
      </c>
      <c r="K87">
        <v>0</v>
      </c>
      <c r="L87">
        <v>0</v>
      </c>
      <c r="N87" s="6">
        <f t="shared" si="68"/>
        <v>-12141897.0683104</v>
      </c>
      <c r="O87" s="6">
        <f t="shared" ca="1" si="69"/>
        <v>5850530.3172124</v>
      </c>
      <c r="P87" s="6">
        <f t="shared" ca="1" si="70"/>
        <v>0</v>
      </c>
      <c r="Q87" s="6">
        <f t="shared" si="71"/>
        <v>10094617.002894579</v>
      </c>
      <c r="R87" s="6">
        <f t="shared" si="72"/>
        <v>0</v>
      </c>
      <c r="S87" s="6">
        <f t="shared" si="73"/>
        <v>17364519.857995518</v>
      </c>
      <c r="T87" s="6">
        <f t="shared" si="74"/>
        <v>0</v>
      </c>
      <c r="U87" s="6">
        <f t="shared" si="75"/>
        <v>0</v>
      </c>
      <c r="V87" s="6">
        <f t="shared" si="76"/>
        <v>0</v>
      </c>
      <c r="W87" s="6">
        <f t="shared" ca="1" si="77"/>
        <v>21167770.109792095</v>
      </c>
      <c r="X87" s="6"/>
    </row>
    <row r="88" spans="1:24">
      <c r="A88" s="20">
        <f>'Monthly Data'!A88</f>
        <v>43525</v>
      </c>
      <c r="B88">
        <f t="shared" si="42"/>
        <v>3</v>
      </c>
      <c r="C88">
        <f t="shared" si="43"/>
        <v>2019</v>
      </c>
      <c r="D88" s="6">
        <v>20849772.622478835</v>
      </c>
      <c r="E88" s="7">
        <f t="shared" ref="E88:F88" ca="1" si="98">E76</f>
        <v>412.32</v>
      </c>
      <c r="F88" s="7">
        <f t="shared" ca="1" si="98"/>
        <v>0.57842105263157961</v>
      </c>
      <c r="G88">
        <v>7185</v>
      </c>
      <c r="H88">
        <v>0</v>
      </c>
      <c r="I88">
        <v>31</v>
      </c>
      <c r="J88">
        <f>'Monthly Data'!CE88</f>
        <v>1</v>
      </c>
      <c r="K88">
        <v>0</v>
      </c>
      <c r="L88">
        <v>0</v>
      </c>
      <c r="N88" s="6">
        <f t="shared" si="68"/>
        <v>-12141897.0683104</v>
      </c>
      <c r="O88" s="6">
        <f t="shared" ca="1" si="69"/>
        <v>4671089.3255485091</v>
      </c>
      <c r="P88" s="6">
        <f t="shared" ca="1" si="70"/>
        <v>36451.33728747975</v>
      </c>
      <c r="Q88" s="6">
        <f t="shared" si="71"/>
        <v>10066595.8592363</v>
      </c>
      <c r="R88" s="6">
        <f t="shared" si="72"/>
        <v>0</v>
      </c>
      <c r="S88" s="6">
        <f t="shared" si="73"/>
        <v>19225004.128495038</v>
      </c>
      <c r="T88" s="6">
        <f t="shared" si="74"/>
        <v>-730615.53830697597</v>
      </c>
      <c r="U88" s="6">
        <f t="shared" si="75"/>
        <v>0</v>
      </c>
      <c r="V88" s="6">
        <f t="shared" si="76"/>
        <v>0</v>
      </c>
      <c r="W88" s="6">
        <f t="shared" ca="1" si="77"/>
        <v>21126628.04394995</v>
      </c>
      <c r="X88" s="6"/>
    </row>
    <row r="89" spans="1:24">
      <c r="A89" s="20">
        <f>'Monthly Data'!A89</f>
        <v>43556</v>
      </c>
      <c r="B89">
        <f t="shared" si="42"/>
        <v>4</v>
      </c>
      <c r="C89">
        <f t="shared" si="43"/>
        <v>2019</v>
      </c>
      <c r="D89" s="6">
        <v>18417882.622478835</v>
      </c>
      <c r="E89" s="7">
        <f t="shared" ref="E89:F89" ca="1" si="99">E77</f>
        <v>229.95</v>
      </c>
      <c r="F89" s="7">
        <f t="shared" ca="1" si="99"/>
        <v>1.3889473684210429</v>
      </c>
      <c r="G89">
        <v>7222.7</v>
      </c>
      <c r="H89">
        <v>0</v>
      </c>
      <c r="I89">
        <v>30</v>
      </c>
      <c r="J89">
        <f>'Monthly Data'!CE89</f>
        <v>1</v>
      </c>
      <c r="K89">
        <v>0</v>
      </c>
      <c r="L89">
        <v>0</v>
      </c>
      <c r="N89" s="6">
        <f t="shared" si="68"/>
        <v>-12141897.0683104</v>
      </c>
      <c r="O89" s="6">
        <f t="shared" ca="1" si="69"/>
        <v>2605056.7287783269</v>
      </c>
      <c r="P89" s="6">
        <f t="shared" ca="1" si="70"/>
        <v>87529.644314520716</v>
      </c>
      <c r="Q89" s="6">
        <f t="shared" si="71"/>
        <v>10119415.715032153</v>
      </c>
      <c r="R89" s="6">
        <f t="shared" si="72"/>
        <v>0</v>
      </c>
      <c r="S89" s="6">
        <f t="shared" si="73"/>
        <v>18604842.7049952</v>
      </c>
      <c r="T89" s="6">
        <f t="shared" si="74"/>
        <v>-730615.53830697597</v>
      </c>
      <c r="U89" s="6">
        <f t="shared" si="75"/>
        <v>0</v>
      </c>
      <c r="V89" s="6">
        <f t="shared" si="76"/>
        <v>0</v>
      </c>
      <c r="W89" s="6">
        <f t="shared" ca="1" si="77"/>
        <v>18544332.186502822</v>
      </c>
      <c r="X89" s="6"/>
    </row>
    <row r="90" spans="1:24">
      <c r="A90" s="20">
        <f>'Monthly Data'!A90</f>
        <v>43586</v>
      </c>
      <c r="B90">
        <f t="shared" si="42"/>
        <v>5</v>
      </c>
      <c r="C90">
        <f t="shared" si="43"/>
        <v>2019</v>
      </c>
      <c r="D90" s="6">
        <v>18171409.622478835</v>
      </c>
      <c r="E90" s="7">
        <f t="shared" ref="E90:F90" ca="1" si="100">E78</f>
        <v>79.77000000000001</v>
      </c>
      <c r="F90" s="7">
        <f t="shared" ca="1" si="100"/>
        <v>52.065789473684617</v>
      </c>
      <c r="G90">
        <v>7297.7</v>
      </c>
      <c r="H90">
        <v>0</v>
      </c>
      <c r="I90">
        <v>31</v>
      </c>
      <c r="J90">
        <f>'Monthly Data'!CE90</f>
        <v>1</v>
      </c>
      <c r="K90">
        <v>0</v>
      </c>
      <c r="L90">
        <v>0</v>
      </c>
      <c r="N90" s="6">
        <f t="shared" si="68"/>
        <v>-12141897.0683104</v>
      </c>
      <c r="O90" s="6">
        <f t="shared" ca="1" si="69"/>
        <v>903698.08764795458</v>
      </c>
      <c r="P90" s="6">
        <f t="shared" ca="1" si="70"/>
        <v>3281117.871850735</v>
      </c>
      <c r="Q90" s="6">
        <f t="shared" si="71"/>
        <v>10224495.003750695</v>
      </c>
      <c r="R90" s="6">
        <f t="shared" si="72"/>
        <v>0</v>
      </c>
      <c r="S90" s="6">
        <f t="shared" si="73"/>
        <v>19225004.128495038</v>
      </c>
      <c r="T90" s="6">
        <f t="shared" si="74"/>
        <v>-730615.53830697597</v>
      </c>
      <c r="U90" s="6">
        <f t="shared" si="75"/>
        <v>0</v>
      </c>
      <c r="V90" s="6">
        <f t="shared" si="76"/>
        <v>0</v>
      </c>
      <c r="W90" s="6">
        <f t="shared" ca="1" si="77"/>
        <v>20761802.485127043</v>
      </c>
      <c r="X90" s="6"/>
    </row>
    <row r="91" spans="1:24">
      <c r="A91" s="20">
        <f>'Monthly Data'!A91</f>
        <v>43617</v>
      </c>
      <c r="B91">
        <f t="shared" si="42"/>
        <v>6</v>
      </c>
      <c r="C91">
        <f t="shared" si="43"/>
        <v>2019</v>
      </c>
      <c r="D91" s="6">
        <v>20767283.622478835</v>
      </c>
      <c r="E91" s="7">
        <f t="shared" ref="E91:F91" ca="1" si="101">E79</f>
        <v>5.16</v>
      </c>
      <c r="F91" s="7">
        <f t="shared" ca="1" si="101"/>
        <v>106.52421052631576</v>
      </c>
      <c r="G91">
        <v>7398.9</v>
      </c>
      <c r="H91">
        <v>0</v>
      </c>
      <c r="I91">
        <v>30</v>
      </c>
      <c r="J91">
        <f>'Monthly Data'!CE91</f>
        <v>0</v>
      </c>
      <c r="K91">
        <v>0</v>
      </c>
      <c r="L91">
        <v>0</v>
      </c>
      <c r="N91" s="6">
        <f t="shared" si="68"/>
        <v>-12141897.0683104</v>
      </c>
      <c r="O91" s="6">
        <f t="shared" ca="1" si="69"/>
        <v>58456.589347667606</v>
      </c>
      <c r="P91" s="6">
        <f t="shared" ca="1" si="70"/>
        <v>6713016.2526266966</v>
      </c>
      <c r="Q91" s="6">
        <f t="shared" si="71"/>
        <v>10366281.99066158</v>
      </c>
      <c r="R91" s="6">
        <f t="shared" si="72"/>
        <v>0</v>
      </c>
      <c r="S91" s="6">
        <f t="shared" si="73"/>
        <v>18604842.7049952</v>
      </c>
      <c r="T91" s="6">
        <f t="shared" si="74"/>
        <v>0</v>
      </c>
      <c r="U91" s="6">
        <f t="shared" si="75"/>
        <v>0</v>
      </c>
      <c r="V91" s="6">
        <f t="shared" si="76"/>
        <v>0</v>
      </c>
      <c r="W91" s="6">
        <f t="shared" ca="1" si="77"/>
        <v>23600700.469320744</v>
      </c>
      <c r="X91" s="6"/>
    </row>
    <row r="92" spans="1:24">
      <c r="A92" s="20">
        <f>'Monthly Data'!A92</f>
        <v>43647</v>
      </c>
      <c r="B92">
        <f t="shared" si="42"/>
        <v>7</v>
      </c>
      <c r="C92">
        <f t="shared" si="43"/>
        <v>2019</v>
      </c>
      <c r="D92" s="6">
        <v>31342776.622478835</v>
      </c>
      <c r="E92" s="7">
        <f t="shared" ref="E92:F92" ca="1" si="102">E80</f>
        <v>0</v>
      </c>
      <c r="F92" s="7">
        <f t="shared" ca="1" si="102"/>
        <v>189.76052631578978</v>
      </c>
      <c r="G92">
        <v>7452.4</v>
      </c>
      <c r="H92">
        <v>0</v>
      </c>
      <c r="I92">
        <v>31</v>
      </c>
      <c r="J92">
        <f>'Monthly Data'!CE92</f>
        <v>0</v>
      </c>
      <c r="K92">
        <v>0</v>
      </c>
      <c r="L92">
        <v>0</v>
      </c>
      <c r="N92" s="6">
        <f t="shared" si="68"/>
        <v>-12141897.0683104</v>
      </c>
      <c r="O92" s="6">
        <f t="shared" ca="1" si="69"/>
        <v>0</v>
      </c>
      <c r="P92" s="6">
        <f t="shared" ca="1" si="70"/>
        <v>11958459.874717372</v>
      </c>
      <c r="Q92" s="6">
        <f t="shared" si="71"/>
        <v>10441238.549947474</v>
      </c>
      <c r="R92" s="6">
        <f t="shared" si="72"/>
        <v>0</v>
      </c>
      <c r="S92" s="6">
        <f t="shared" si="73"/>
        <v>19225004.128495038</v>
      </c>
      <c r="T92" s="6">
        <f t="shared" si="74"/>
        <v>0</v>
      </c>
      <c r="U92" s="6">
        <f t="shared" si="75"/>
        <v>0</v>
      </c>
      <c r="V92" s="6">
        <f t="shared" si="76"/>
        <v>0</v>
      </c>
      <c r="W92" s="6">
        <f t="shared" ca="1" si="77"/>
        <v>29482805.484849483</v>
      </c>
      <c r="X92" s="6"/>
    </row>
    <row r="93" spans="1:24">
      <c r="A93" s="20">
        <f>'Monthly Data'!A93</f>
        <v>43678</v>
      </c>
      <c r="B93">
        <f t="shared" si="42"/>
        <v>8</v>
      </c>
      <c r="C93">
        <f t="shared" si="43"/>
        <v>2019</v>
      </c>
      <c r="D93" s="6">
        <v>27700006.622478835</v>
      </c>
      <c r="E93" s="7">
        <f t="shared" ref="E93:F93" ca="1" si="103">E81</f>
        <v>8.0000000000000071E-2</v>
      </c>
      <c r="F93" s="7">
        <f t="shared" ca="1" si="103"/>
        <v>169.11894736842078</v>
      </c>
      <c r="G93">
        <v>7472.4</v>
      </c>
      <c r="H93">
        <v>0</v>
      </c>
      <c r="I93">
        <v>31</v>
      </c>
      <c r="J93">
        <f>'Monthly Data'!CE93</f>
        <v>0</v>
      </c>
      <c r="K93">
        <v>0</v>
      </c>
      <c r="L93">
        <v>0</v>
      </c>
      <c r="N93" s="6">
        <f t="shared" si="68"/>
        <v>-12141897.0683104</v>
      </c>
      <c r="O93" s="6">
        <f t="shared" ca="1" si="69"/>
        <v>906.30371081655289</v>
      </c>
      <c r="P93" s="6">
        <f t="shared" ca="1" si="70"/>
        <v>10657654.599851396</v>
      </c>
      <c r="Q93" s="6">
        <f t="shared" si="71"/>
        <v>10469259.693605751</v>
      </c>
      <c r="R93" s="6">
        <f t="shared" si="72"/>
        <v>0</v>
      </c>
      <c r="S93" s="6">
        <f t="shared" si="73"/>
        <v>19225004.128495038</v>
      </c>
      <c r="T93" s="6">
        <f t="shared" si="74"/>
        <v>0</v>
      </c>
      <c r="U93" s="6">
        <f t="shared" si="75"/>
        <v>0</v>
      </c>
      <c r="V93" s="6">
        <f t="shared" si="76"/>
        <v>0</v>
      </c>
      <c r="W93" s="6">
        <f t="shared" ca="1" si="77"/>
        <v>28210927.6573526</v>
      </c>
      <c r="X93" s="6"/>
    </row>
    <row r="94" spans="1:24">
      <c r="A94" s="20">
        <f>'Monthly Data'!A94</f>
        <v>43709</v>
      </c>
      <c r="B94">
        <f t="shared" si="42"/>
        <v>9</v>
      </c>
      <c r="C94">
        <f t="shared" si="43"/>
        <v>2019</v>
      </c>
      <c r="D94" s="6">
        <v>21219806.622478835</v>
      </c>
      <c r="E94" s="7">
        <f t="shared" ref="E94:F94" ca="1" si="104">E82</f>
        <v>12.280000000000001</v>
      </c>
      <c r="F94" s="7">
        <f t="shared" ca="1" si="104"/>
        <v>77.220526315789357</v>
      </c>
      <c r="G94">
        <v>7464.3</v>
      </c>
      <c r="H94">
        <v>0</v>
      </c>
      <c r="I94">
        <v>30</v>
      </c>
      <c r="J94">
        <f>'Monthly Data'!CE94</f>
        <v>1</v>
      </c>
      <c r="K94">
        <v>0</v>
      </c>
      <c r="L94">
        <v>0</v>
      </c>
      <c r="N94" s="6">
        <f t="shared" si="68"/>
        <v>-12141897.0683104</v>
      </c>
      <c r="O94" s="6">
        <f t="shared" ca="1" si="69"/>
        <v>139117.61961034074</v>
      </c>
      <c r="P94" s="6">
        <f t="shared" ca="1" si="70"/>
        <v>4866336.4472081224</v>
      </c>
      <c r="Q94" s="6">
        <f t="shared" si="71"/>
        <v>10457911.130424149</v>
      </c>
      <c r="R94" s="6">
        <f t="shared" si="72"/>
        <v>0</v>
      </c>
      <c r="S94" s="6">
        <f t="shared" si="73"/>
        <v>18604842.7049952</v>
      </c>
      <c r="T94" s="6">
        <f t="shared" si="74"/>
        <v>-730615.53830697597</v>
      </c>
      <c r="U94" s="6">
        <f t="shared" si="75"/>
        <v>0</v>
      </c>
      <c r="V94" s="6">
        <f t="shared" si="76"/>
        <v>0</v>
      </c>
      <c r="W94" s="6">
        <f t="shared" ca="1" si="77"/>
        <v>21195695.295620434</v>
      </c>
      <c r="X94" s="6"/>
    </row>
    <row r="95" spans="1:24">
      <c r="A95" s="20">
        <f>'Monthly Data'!A95</f>
        <v>43739</v>
      </c>
      <c r="B95">
        <f t="shared" si="42"/>
        <v>10</v>
      </c>
      <c r="C95">
        <f t="shared" si="43"/>
        <v>2019</v>
      </c>
      <c r="D95" s="6">
        <v>18904138.622478835</v>
      </c>
      <c r="E95" s="7">
        <f t="shared" ref="E95:F95" ca="1" si="105">E83</f>
        <v>111.21000000000001</v>
      </c>
      <c r="F95" s="7">
        <f t="shared" ca="1" si="105"/>
        <v>16.868947368421004</v>
      </c>
      <c r="G95">
        <v>7466.9</v>
      </c>
      <c r="H95">
        <v>0</v>
      </c>
      <c r="I95">
        <v>31</v>
      </c>
      <c r="J95">
        <f>'Monthly Data'!CE95</f>
        <v>1</v>
      </c>
      <c r="K95">
        <v>0</v>
      </c>
      <c r="L95">
        <v>0</v>
      </c>
      <c r="N95" s="6">
        <f t="shared" si="68"/>
        <v>-12141897.0683104</v>
      </c>
      <c r="O95" s="6">
        <f t="shared" ca="1" si="69"/>
        <v>1259875.4459988596</v>
      </c>
      <c r="P95" s="6">
        <f t="shared" ca="1" si="70"/>
        <v>1063058.9730673418</v>
      </c>
      <c r="Q95" s="6">
        <f t="shared" si="71"/>
        <v>10461553.879099725</v>
      </c>
      <c r="R95" s="6">
        <f t="shared" si="72"/>
        <v>0</v>
      </c>
      <c r="S95" s="6">
        <f t="shared" si="73"/>
        <v>19225004.128495038</v>
      </c>
      <c r="T95" s="6">
        <f t="shared" si="74"/>
        <v>-730615.53830697597</v>
      </c>
      <c r="U95" s="6">
        <f t="shared" si="75"/>
        <v>0</v>
      </c>
      <c r="V95" s="6">
        <f t="shared" si="76"/>
        <v>0</v>
      </c>
      <c r="W95" s="6">
        <f t="shared" ca="1" si="77"/>
        <v>19136979.820043586</v>
      </c>
      <c r="X95" s="6"/>
    </row>
    <row r="96" spans="1:24">
      <c r="A96" s="20">
        <f>'Monthly Data'!A96</f>
        <v>43770</v>
      </c>
      <c r="B96">
        <f t="shared" si="42"/>
        <v>11</v>
      </c>
      <c r="C96">
        <f t="shared" si="43"/>
        <v>2019</v>
      </c>
      <c r="D96" s="6">
        <v>20808997.622478835</v>
      </c>
      <c r="E96" s="7">
        <f t="shared" ref="E96:F96" ca="1" si="106">E84</f>
        <v>297.28000000000003</v>
      </c>
      <c r="F96" s="7">
        <f t="shared" ca="1" si="106"/>
        <v>1.2689473684210384</v>
      </c>
      <c r="G96">
        <v>7455</v>
      </c>
      <c r="H96">
        <v>0</v>
      </c>
      <c r="I96">
        <v>30</v>
      </c>
      <c r="J96">
        <f>'Monthly Data'!CE96</f>
        <v>0</v>
      </c>
      <c r="K96">
        <v>0</v>
      </c>
      <c r="L96">
        <v>0</v>
      </c>
      <c r="N96" s="6">
        <f t="shared" si="68"/>
        <v>-12141897.0683104</v>
      </c>
      <c r="O96" s="6">
        <f t="shared" ca="1" si="69"/>
        <v>3367824.5893943077</v>
      </c>
      <c r="P96" s="6">
        <f t="shared" ca="1" si="70"/>
        <v>79967.401455971412</v>
      </c>
      <c r="Q96" s="6">
        <f t="shared" si="71"/>
        <v>10444881.29862305</v>
      </c>
      <c r="R96" s="6">
        <f t="shared" si="72"/>
        <v>0</v>
      </c>
      <c r="S96" s="6">
        <f t="shared" si="73"/>
        <v>18604842.7049952</v>
      </c>
      <c r="T96" s="6">
        <f t="shared" si="74"/>
        <v>0</v>
      </c>
      <c r="U96" s="6">
        <f t="shared" si="75"/>
        <v>0</v>
      </c>
      <c r="V96" s="6">
        <f t="shared" si="76"/>
        <v>0</v>
      </c>
      <c r="W96" s="6">
        <f t="shared" ca="1" si="77"/>
        <v>20355618.92615813</v>
      </c>
      <c r="X96" s="6"/>
    </row>
    <row r="97" spans="1:24">
      <c r="A97" s="20">
        <f>'Monthly Data'!A97</f>
        <v>43800</v>
      </c>
      <c r="B97">
        <f t="shared" si="42"/>
        <v>12</v>
      </c>
      <c r="C97">
        <f t="shared" si="43"/>
        <v>2019</v>
      </c>
      <c r="D97" s="6">
        <v>22994714.622478835</v>
      </c>
      <c r="E97" s="7">
        <f t="shared" ref="E97:F97" ca="1" si="107">E85</f>
        <v>440.25</v>
      </c>
      <c r="F97" s="7">
        <f t="shared" ca="1" si="107"/>
        <v>0</v>
      </c>
      <c r="G97">
        <v>7459.6</v>
      </c>
      <c r="H97">
        <v>1</v>
      </c>
      <c r="I97">
        <v>31</v>
      </c>
      <c r="J97">
        <f>'Monthly Data'!CE97</f>
        <v>0</v>
      </c>
      <c r="K97">
        <v>0</v>
      </c>
      <c r="L97">
        <v>0</v>
      </c>
      <c r="N97" s="6">
        <f t="shared" si="68"/>
        <v>-12141897.0683104</v>
      </c>
      <c r="O97" s="6">
        <f t="shared" ca="1" si="69"/>
        <v>4987502.6085873377</v>
      </c>
      <c r="P97" s="6">
        <f t="shared" ca="1" si="70"/>
        <v>0</v>
      </c>
      <c r="Q97" s="6">
        <f t="shared" si="71"/>
        <v>10451326.161664454</v>
      </c>
      <c r="R97" s="6">
        <f t="shared" si="72"/>
        <v>695677.72202584799</v>
      </c>
      <c r="S97" s="6">
        <f t="shared" si="73"/>
        <v>19225004.128495038</v>
      </c>
      <c r="T97" s="6">
        <f t="shared" si="74"/>
        <v>0</v>
      </c>
      <c r="U97" s="6">
        <f t="shared" si="75"/>
        <v>0</v>
      </c>
      <c r="V97" s="6">
        <f t="shared" si="76"/>
        <v>0</v>
      </c>
      <c r="W97" s="6">
        <f t="shared" ca="1" si="77"/>
        <v>23217613.552462276</v>
      </c>
      <c r="X97" s="6"/>
    </row>
    <row r="98" spans="1:24">
      <c r="A98" s="20">
        <f>'Monthly Data'!A98</f>
        <v>43831</v>
      </c>
      <c r="B98">
        <f t="shared" ref="B98:B121" si="108">MONTH(A98)</f>
        <v>1</v>
      </c>
      <c r="C98">
        <f t="shared" ref="C98:C121" si="109">YEAR(A98)</f>
        <v>2020</v>
      </c>
      <c r="D98" s="6">
        <v>22586037.165346839</v>
      </c>
      <c r="E98" s="7">
        <f t="shared" ref="E98:F98" ca="1" si="110">E86</f>
        <v>564.86</v>
      </c>
      <c r="F98" s="7">
        <f t="shared" ca="1" si="110"/>
        <v>0</v>
      </c>
      <c r="G98">
        <v>7437.3</v>
      </c>
      <c r="H98">
        <v>0</v>
      </c>
      <c r="I98">
        <v>31</v>
      </c>
      <c r="J98">
        <f>'Monthly Data'!CE98</f>
        <v>0</v>
      </c>
      <c r="K98">
        <v>0</v>
      </c>
      <c r="L98">
        <v>0</v>
      </c>
      <c r="N98" s="6">
        <f t="shared" si="68"/>
        <v>-12141897.0683104</v>
      </c>
      <c r="O98" s="6">
        <f t="shared" ca="1" si="69"/>
        <v>6399183.9261479704</v>
      </c>
      <c r="P98" s="6">
        <f t="shared" ca="1" si="70"/>
        <v>0</v>
      </c>
      <c r="Q98" s="6">
        <f t="shared" si="71"/>
        <v>10420082.586485475</v>
      </c>
      <c r="R98" s="6">
        <f t="shared" si="72"/>
        <v>0</v>
      </c>
      <c r="S98" s="6">
        <f t="shared" si="73"/>
        <v>19225004.128495038</v>
      </c>
      <c r="T98" s="6">
        <f t="shared" si="74"/>
        <v>0</v>
      </c>
      <c r="U98" s="6">
        <f t="shared" si="75"/>
        <v>0</v>
      </c>
      <c r="V98" s="6">
        <f t="shared" si="76"/>
        <v>0</v>
      </c>
      <c r="W98" s="6">
        <f t="shared" ca="1" si="77"/>
        <v>23902373.572818082</v>
      </c>
      <c r="X98" s="6"/>
    </row>
    <row r="99" spans="1:24">
      <c r="A99" s="20">
        <f>'Monthly Data'!A99</f>
        <v>43862</v>
      </c>
      <c r="B99">
        <f t="shared" si="108"/>
        <v>2</v>
      </c>
      <c r="C99">
        <f t="shared" si="109"/>
        <v>2020</v>
      </c>
      <c r="D99" s="6">
        <v>21191611.165346839</v>
      </c>
      <c r="E99" s="7">
        <f t="shared" ref="E99:F99" ca="1" si="111">E87</f>
        <v>516.43000000000006</v>
      </c>
      <c r="F99" s="7">
        <f t="shared" ca="1" si="111"/>
        <v>0</v>
      </c>
      <c r="G99">
        <v>7414.9</v>
      </c>
      <c r="H99">
        <v>0</v>
      </c>
      <c r="I99">
        <v>29</v>
      </c>
      <c r="J99">
        <f>'Monthly Data'!CE99</f>
        <v>0</v>
      </c>
      <c r="K99">
        <v>0</v>
      </c>
      <c r="L99">
        <v>0</v>
      </c>
      <c r="N99" s="6">
        <f t="shared" si="68"/>
        <v>-12141897.0683104</v>
      </c>
      <c r="O99" s="6">
        <f t="shared" ca="1" si="69"/>
        <v>5850530.3172124</v>
      </c>
      <c r="P99" s="6">
        <f t="shared" ca="1" si="70"/>
        <v>0</v>
      </c>
      <c r="Q99" s="6">
        <f t="shared" si="71"/>
        <v>10388698.905588202</v>
      </c>
      <c r="R99" s="6">
        <f t="shared" si="72"/>
        <v>0</v>
      </c>
      <c r="S99" s="6">
        <f t="shared" si="73"/>
        <v>17984681.281495359</v>
      </c>
      <c r="T99" s="6">
        <f t="shared" si="74"/>
        <v>0</v>
      </c>
      <c r="U99" s="6">
        <f t="shared" si="75"/>
        <v>0</v>
      </c>
      <c r="V99" s="6">
        <f t="shared" si="76"/>
        <v>0</v>
      </c>
      <c r="W99" s="6">
        <f t="shared" ca="1" si="77"/>
        <v>22082013.435985561</v>
      </c>
      <c r="X99" s="6"/>
    </row>
    <row r="100" spans="1:24">
      <c r="A100" s="20">
        <f>'Monthly Data'!A100</f>
        <v>43891</v>
      </c>
      <c r="B100">
        <f t="shared" si="108"/>
        <v>3</v>
      </c>
      <c r="C100">
        <f t="shared" si="109"/>
        <v>2020</v>
      </c>
      <c r="D100" s="6">
        <v>21271519.165346839</v>
      </c>
      <c r="E100" s="7">
        <f t="shared" ref="E100:F100" ca="1" si="112">E88</f>
        <v>412.32</v>
      </c>
      <c r="F100" s="7">
        <f t="shared" ca="1" si="112"/>
        <v>0.57842105263157961</v>
      </c>
      <c r="G100">
        <v>7246.6</v>
      </c>
      <c r="H100">
        <v>0</v>
      </c>
      <c r="I100">
        <v>31</v>
      </c>
      <c r="J100">
        <f>'Monthly Data'!CE100</f>
        <v>1</v>
      </c>
      <c r="K100" s="7">
        <f ca="1">E100</f>
        <v>412.32</v>
      </c>
      <c r="L100" s="7">
        <f ca="1">F100</f>
        <v>0.57842105263157961</v>
      </c>
      <c r="N100" s="6">
        <f t="shared" si="68"/>
        <v>-12141897.0683104</v>
      </c>
      <c r="O100" s="6">
        <f t="shared" ca="1" si="69"/>
        <v>4671089.3255485091</v>
      </c>
      <c r="P100" s="6">
        <f t="shared" ca="1" si="70"/>
        <v>36451.33728747975</v>
      </c>
      <c r="Q100" s="6">
        <f t="shared" si="71"/>
        <v>10152900.981703795</v>
      </c>
      <c r="R100" s="6">
        <f t="shared" si="72"/>
        <v>0</v>
      </c>
      <c r="S100" s="6">
        <f t="shared" si="73"/>
        <v>19225004.128495038</v>
      </c>
      <c r="T100" s="6">
        <f t="shared" si="74"/>
        <v>-730615.53830697597</v>
      </c>
      <c r="U100" s="6">
        <f t="shared" ca="1" si="75"/>
        <v>1505240.9264263611</v>
      </c>
      <c r="V100" s="6">
        <f t="shared" ca="1" si="76"/>
        <v>14329.305251659001</v>
      </c>
      <c r="W100" s="6">
        <f t="shared" ca="1" si="77"/>
        <v>22732503.398095466</v>
      </c>
      <c r="X100" s="6"/>
    </row>
    <row r="101" spans="1:24">
      <c r="A101" s="20">
        <f>'Monthly Data'!A101</f>
        <v>43922</v>
      </c>
      <c r="B101">
        <f t="shared" si="108"/>
        <v>4</v>
      </c>
      <c r="C101">
        <f t="shared" si="109"/>
        <v>2020</v>
      </c>
      <c r="D101" s="6">
        <v>20194288.165346839</v>
      </c>
      <c r="E101" s="7">
        <f t="shared" ref="E101:F101" ca="1" si="113">E89</f>
        <v>229.95</v>
      </c>
      <c r="F101" s="7">
        <f t="shared" ca="1" si="113"/>
        <v>1.3889473684210429</v>
      </c>
      <c r="G101">
        <v>6905.7</v>
      </c>
      <c r="H101">
        <v>0</v>
      </c>
      <c r="I101">
        <v>30</v>
      </c>
      <c r="J101">
        <f>'Monthly Data'!CE101</f>
        <v>1</v>
      </c>
      <c r="K101" s="7">
        <f t="shared" ref="K101:K121" ca="1" si="114">E101</f>
        <v>229.95</v>
      </c>
      <c r="L101" s="7">
        <f t="shared" ref="L101:L121" ca="1" si="115">F101</f>
        <v>1.3889473684210429</v>
      </c>
      <c r="N101" s="6">
        <f t="shared" si="68"/>
        <v>-12141897.0683104</v>
      </c>
      <c r="O101" s="6">
        <f t="shared" ca="1" si="69"/>
        <v>2605056.7287783269</v>
      </c>
      <c r="P101" s="6">
        <f t="shared" ca="1" si="70"/>
        <v>87529.644314520716</v>
      </c>
      <c r="Q101" s="6">
        <f t="shared" si="71"/>
        <v>9675280.5880484506</v>
      </c>
      <c r="R101" s="6">
        <f t="shared" si="72"/>
        <v>0</v>
      </c>
      <c r="S101" s="6">
        <f t="shared" si="73"/>
        <v>18604842.7049952</v>
      </c>
      <c r="T101" s="6">
        <f t="shared" si="74"/>
        <v>-730615.53830697597</v>
      </c>
      <c r="U101" s="6">
        <f t="shared" ca="1" si="75"/>
        <v>839469.71049607522</v>
      </c>
      <c r="V101" s="6">
        <f t="shared" ca="1" si="76"/>
        <v>34408.58649602165</v>
      </c>
      <c r="W101" s="6">
        <f t="shared" ca="1" si="77"/>
        <v>18974075.356511217</v>
      </c>
      <c r="X101" s="6"/>
    </row>
    <row r="102" spans="1:24">
      <c r="A102" s="20">
        <f>'Monthly Data'!A102</f>
        <v>43952</v>
      </c>
      <c r="B102">
        <f t="shared" si="108"/>
        <v>5</v>
      </c>
      <c r="C102">
        <f t="shared" si="109"/>
        <v>2020</v>
      </c>
      <c r="D102" s="6">
        <v>22093692.165346839</v>
      </c>
      <c r="E102" s="7">
        <f t="shared" ref="E102:F102" ca="1" si="116">E90</f>
        <v>79.77000000000001</v>
      </c>
      <c r="F102" s="7">
        <f t="shared" ca="1" si="116"/>
        <v>52.065789473684617</v>
      </c>
      <c r="G102">
        <v>6577.9</v>
      </c>
      <c r="H102">
        <v>0</v>
      </c>
      <c r="I102">
        <v>31</v>
      </c>
      <c r="J102">
        <f>'Monthly Data'!CE102</f>
        <v>1</v>
      </c>
      <c r="K102" s="7">
        <f t="shared" ca="1" si="114"/>
        <v>79.77000000000001</v>
      </c>
      <c r="L102" s="7">
        <f t="shared" ca="1" si="115"/>
        <v>52.065789473684617</v>
      </c>
      <c r="N102" s="6">
        <f t="shared" si="68"/>
        <v>-12141897.0683104</v>
      </c>
      <c r="O102" s="6">
        <f t="shared" ca="1" si="69"/>
        <v>903698.08764795458</v>
      </c>
      <c r="P102" s="6">
        <f t="shared" ca="1" si="70"/>
        <v>3281117.871850735</v>
      </c>
      <c r="Q102" s="6">
        <f t="shared" si="71"/>
        <v>9216014.0434892774</v>
      </c>
      <c r="R102" s="6">
        <f t="shared" si="72"/>
        <v>0</v>
      </c>
      <c r="S102" s="6">
        <f t="shared" si="73"/>
        <v>19225004.128495038</v>
      </c>
      <c r="T102" s="6">
        <f t="shared" si="74"/>
        <v>-730615.53830697597</v>
      </c>
      <c r="U102" s="6">
        <f t="shared" ca="1" si="75"/>
        <v>291213.30204945389</v>
      </c>
      <c r="V102" s="6">
        <f t="shared" ca="1" si="76"/>
        <v>1289833.0500640364</v>
      </c>
      <c r="W102" s="6">
        <f t="shared" ca="1" si="77"/>
        <v>21334367.876979113</v>
      </c>
      <c r="X102" s="6"/>
    </row>
    <row r="103" spans="1:24">
      <c r="A103" s="20">
        <f>'Monthly Data'!A103</f>
        <v>43983</v>
      </c>
      <c r="B103">
        <f t="shared" si="108"/>
        <v>6</v>
      </c>
      <c r="C103">
        <f t="shared" si="109"/>
        <v>2020</v>
      </c>
      <c r="D103" s="6">
        <v>26755921.165346839</v>
      </c>
      <c r="E103" s="7">
        <f t="shared" ref="E103:F103" ca="1" si="117">E91</f>
        <v>5.16</v>
      </c>
      <c r="F103" s="7">
        <f t="shared" ca="1" si="117"/>
        <v>106.52421052631576</v>
      </c>
      <c r="G103">
        <v>6533.5</v>
      </c>
      <c r="H103">
        <v>0</v>
      </c>
      <c r="I103">
        <v>30</v>
      </c>
      <c r="J103">
        <f>'Monthly Data'!CE103</f>
        <v>0</v>
      </c>
      <c r="K103" s="7">
        <f t="shared" ca="1" si="114"/>
        <v>5.16</v>
      </c>
      <c r="L103" s="7">
        <f t="shared" ca="1" si="115"/>
        <v>106.52421052631576</v>
      </c>
      <c r="N103" s="6">
        <f t="shared" si="68"/>
        <v>-12141897.0683104</v>
      </c>
      <c r="O103" s="6">
        <f t="shared" ca="1" si="69"/>
        <v>58456.589347667606</v>
      </c>
      <c r="P103" s="6">
        <f t="shared" ca="1" si="70"/>
        <v>6713016.2526266966</v>
      </c>
      <c r="Q103" s="6">
        <f t="shared" si="71"/>
        <v>9153807.1045679003</v>
      </c>
      <c r="R103" s="6">
        <f t="shared" si="72"/>
        <v>0</v>
      </c>
      <c r="S103" s="6">
        <f t="shared" si="73"/>
        <v>18604842.7049952</v>
      </c>
      <c r="T103" s="6">
        <f t="shared" si="74"/>
        <v>0</v>
      </c>
      <c r="U103" s="6">
        <f t="shared" ca="1" si="75"/>
        <v>18837.415551901493</v>
      </c>
      <c r="V103" s="6">
        <f t="shared" ca="1" si="76"/>
        <v>2638939.0952818659</v>
      </c>
      <c r="W103" s="6">
        <f t="shared" ca="1" si="77"/>
        <v>25046002.094060831</v>
      </c>
      <c r="X103" s="6"/>
    </row>
    <row r="104" spans="1:24">
      <c r="A104" s="20">
        <f>'Monthly Data'!A104</f>
        <v>44013</v>
      </c>
      <c r="B104">
        <f t="shared" si="108"/>
        <v>7</v>
      </c>
      <c r="C104">
        <f t="shared" si="109"/>
        <v>2020</v>
      </c>
      <c r="D104" s="6">
        <v>35902228.165346839</v>
      </c>
      <c r="E104" s="7">
        <f t="shared" ref="E104:F104" ca="1" si="118">E92</f>
        <v>0</v>
      </c>
      <c r="F104" s="7">
        <f t="shared" ca="1" si="118"/>
        <v>189.76052631578978</v>
      </c>
      <c r="G104">
        <v>6731.6</v>
      </c>
      <c r="H104">
        <v>0</v>
      </c>
      <c r="I104">
        <v>31</v>
      </c>
      <c r="J104">
        <f>'Monthly Data'!CE104</f>
        <v>0</v>
      </c>
      <c r="K104" s="7">
        <f t="shared" ca="1" si="114"/>
        <v>0</v>
      </c>
      <c r="L104" s="7">
        <f t="shared" ca="1" si="115"/>
        <v>189.76052631578978</v>
      </c>
      <c r="N104" s="6">
        <f t="shared" si="68"/>
        <v>-12141897.0683104</v>
      </c>
      <c r="O104" s="6">
        <f t="shared" ca="1" si="69"/>
        <v>0</v>
      </c>
      <c r="P104" s="6">
        <f t="shared" ca="1" si="70"/>
        <v>11958459.874717372</v>
      </c>
      <c r="Q104" s="6">
        <f t="shared" si="71"/>
        <v>9431356.532503143</v>
      </c>
      <c r="R104" s="6">
        <f t="shared" si="72"/>
        <v>0</v>
      </c>
      <c r="S104" s="6">
        <f t="shared" si="73"/>
        <v>19225004.128495038</v>
      </c>
      <c r="T104" s="6">
        <f t="shared" si="74"/>
        <v>0</v>
      </c>
      <c r="U104" s="6">
        <f t="shared" ca="1" si="75"/>
        <v>0</v>
      </c>
      <c r="V104" s="6">
        <f t="shared" ca="1" si="76"/>
        <v>4700963.932629114</v>
      </c>
      <c r="W104" s="6">
        <f t="shared" ca="1" si="77"/>
        <v>33173887.400034264</v>
      </c>
      <c r="X104" s="6"/>
    </row>
    <row r="105" spans="1:24">
      <c r="A105" s="20">
        <f>'Monthly Data'!A105</f>
        <v>44044</v>
      </c>
      <c r="B105">
        <f t="shared" si="108"/>
        <v>8</v>
      </c>
      <c r="C105">
        <f t="shared" si="109"/>
        <v>2020</v>
      </c>
      <c r="D105" s="6">
        <v>30894493.165346839</v>
      </c>
      <c r="E105" s="7">
        <f t="shared" ref="E105:F105" ca="1" si="119">E93</f>
        <v>8.0000000000000071E-2</v>
      </c>
      <c r="F105" s="7">
        <f t="shared" ca="1" si="119"/>
        <v>169.11894736842078</v>
      </c>
      <c r="G105">
        <v>6953.8</v>
      </c>
      <c r="H105">
        <v>0</v>
      </c>
      <c r="I105">
        <v>31</v>
      </c>
      <c r="J105">
        <f>'Monthly Data'!CE105</f>
        <v>0</v>
      </c>
      <c r="K105" s="7">
        <f t="shared" ca="1" si="114"/>
        <v>8.0000000000000071E-2</v>
      </c>
      <c r="L105" s="7">
        <f t="shared" ca="1" si="115"/>
        <v>169.11894736842078</v>
      </c>
      <c r="N105" s="6">
        <f t="shared" si="68"/>
        <v>-12141897.0683104</v>
      </c>
      <c r="O105" s="6">
        <f t="shared" ca="1" si="69"/>
        <v>906.30371081655289</v>
      </c>
      <c r="P105" s="6">
        <f t="shared" ca="1" si="70"/>
        <v>10657654.599851396</v>
      </c>
      <c r="Q105" s="6">
        <f t="shared" si="71"/>
        <v>9742671.4385466091</v>
      </c>
      <c r="R105" s="6">
        <f t="shared" si="72"/>
        <v>0</v>
      </c>
      <c r="S105" s="6">
        <f t="shared" si="73"/>
        <v>19225004.128495038</v>
      </c>
      <c r="T105" s="6">
        <f t="shared" si="74"/>
        <v>0</v>
      </c>
      <c r="U105" s="6">
        <f t="shared" ca="1" si="75"/>
        <v>292.05295429304664</v>
      </c>
      <c r="V105" s="6">
        <f t="shared" ca="1" si="76"/>
        <v>4189607.2241078867</v>
      </c>
      <c r="W105" s="6">
        <f t="shared" ca="1" si="77"/>
        <v>31674238.67935564</v>
      </c>
      <c r="X105" s="6"/>
    </row>
    <row r="106" spans="1:24">
      <c r="A106" s="20">
        <f>'Monthly Data'!A106</f>
        <v>44075</v>
      </c>
      <c r="B106">
        <f t="shared" si="108"/>
        <v>9</v>
      </c>
      <c r="C106">
        <f t="shared" si="109"/>
        <v>2020</v>
      </c>
      <c r="D106" s="6">
        <v>21056188.165346839</v>
      </c>
      <c r="E106" s="7">
        <f t="shared" ref="E106:F106" ca="1" si="120">E94</f>
        <v>12.280000000000001</v>
      </c>
      <c r="F106" s="7">
        <f t="shared" ca="1" si="120"/>
        <v>77.220526315789357</v>
      </c>
      <c r="G106">
        <v>7070.2</v>
      </c>
      <c r="H106">
        <v>0</v>
      </c>
      <c r="I106">
        <v>30</v>
      </c>
      <c r="J106">
        <f>'Monthly Data'!CE106</f>
        <v>1</v>
      </c>
      <c r="K106" s="7">
        <f t="shared" ca="1" si="114"/>
        <v>12.280000000000001</v>
      </c>
      <c r="L106" s="7">
        <f t="shared" ca="1" si="115"/>
        <v>77.220526315789357</v>
      </c>
      <c r="N106" s="6">
        <f t="shared" si="68"/>
        <v>-12141897.0683104</v>
      </c>
      <c r="O106" s="6">
        <f t="shared" ca="1" si="69"/>
        <v>139117.61961034074</v>
      </c>
      <c r="P106" s="6">
        <f t="shared" ca="1" si="70"/>
        <v>4866336.4472081224</v>
      </c>
      <c r="Q106" s="6">
        <f t="shared" si="71"/>
        <v>9905754.4946377855</v>
      </c>
      <c r="R106" s="6">
        <f t="shared" si="72"/>
        <v>0</v>
      </c>
      <c r="S106" s="6">
        <f t="shared" si="73"/>
        <v>18604842.7049952</v>
      </c>
      <c r="T106" s="6">
        <f t="shared" si="74"/>
        <v>-730615.53830697597</v>
      </c>
      <c r="U106" s="6">
        <f t="shared" ca="1" si="75"/>
        <v>44830.128483982626</v>
      </c>
      <c r="V106" s="6">
        <f t="shared" ca="1" si="76"/>
        <v>1912994.8473322578</v>
      </c>
      <c r="W106" s="6">
        <f t="shared" ca="1" si="77"/>
        <v>22601363.635650311</v>
      </c>
      <c r="X106" s="6"/>
    </row>
    <row r="107" spans="1:24">
      <c r="A107" s="20">
        <f>'Monthly Data'!A107</f>
        <v>44105</v>
      </c>
      <c r="B107">
        <f t="shared" si="108"/>
        <v>10</v>
      </c>
      <c r="C107">
        <f t="shared" si="109"/>
        <v>2020</v>
      </c>
      <c r="D107" s="6">
        <v>19613548.165346839</v>
      </c>
      <c r="E107" s="7">
        <f t="shared" ref="E107:F107" ca="1" si="121">E95</f>
        <v>111.21000000000001</v>
      </c>
      <c r="F107" s="7">
        <f t="shared" ca="1" si="121"/>
        <v>16.868947368421004</v>
      </c>
      <c r="G107">
        <v>7157.8</v>
      </c>
      <c r="H107">
        <v>0</v>
      </c>
      <c r="I107">
        <v>31</v>
      </c>
      <c r="J107">
        <f>'Monthly Data'!CE107</f>
        <v>1</v>
      </c>
      <c r="K107" s="7">
        <f t="shared" ca="1" si="114"/>
        <v>111.21000000000001</v>
      </c>
      <c r="L107" s="7">
        <f t="shared" ca="1" si="115"/>
        <v>16.868947368421004</v>
      </c>
      <c r="N107" s="6">
        <f t="shared" si="68"/>
        <v>-12141897.0683104</v>
      </c>
      <c r="O107" s="6">
        <f t="shared" ca="1" si="69"/>
        <v>1259875.4459988596</v>
      </c>
      <c r="P107" s="6">
        <f t="shared" ca="1" si="70"/>
        <v>1063058.9730673418</v>
      </c>
      <c r="Q107" s="6">
        <f t="shared" si="71"/>
        <v>10028487.103861043</v>
      </c>
      <c r="R107" s="6">
        <f t="shared" si="72"/>
        <v>0</v>
      </c>
      <c r="S107" s="6">
        <f t="shared" si="73"/>
        <v>19225004.128495038</v>
      </c>
      <c r="T107" s="6">
        <f t="shared" si="74"/>
        <v>-730615.53830697597</v>
      </c>
      <c r="U107" s="6">
        <f t="shared" ca="1" si="75"/>
        <v>405990.11308662116</v>
      </c>
      <c r="V107" s="6">
        <f t="shared" ca="1" si="76"/>
        <v>417896.78127472318</v>
      </c>
      <c r="W107" s="6">
        <f t="shared" ca="1" si="77"/>
        <v>19527799.939166252</v>
      </c>
      <c r="X107" s="6"/>
    </row>
    <row r="108" spans="1:24">
      <c r="A108" s="20">
        <f>'Monthly Data'!A108</f>
        <v>44136</v>
      </c>
      <c r="B108">
        <f t="shared" si="108"/>
        <v>11</v>
      </c>
      <c r="C108">
        <f t="shared" si="109"/>
        <v>2020</v>
      </c>
      <c r="D108" s="6">
        <v>20096630.165346839</v>
      </c>
      <c r="E108" s="7">
        <f t="shared" ref="E108:F108" ca="1" si="122">E96</f>
        <v>297.28000000000003</v>
      </c>
      <c r="F108" s="7">
        <f t="shared" ca="1" si="122"/>
        <v>1.2689473684210384</v>
      </c>
      <c r="G108">
        <v>7216.9</v>
      </c>
      <c r="H108">
        <v>0</v>
      </c>
      <c r="I108">
        <v>30</v>
      </c>
      <c r="J108">
        <f>'Monthly Data'!CE108</f>
        <v>0</v>
      </c>
      <c r="K108" s="7">
        <f t="shared" ca="1" si="114"/>
        <v>297.28000000000003</v>
      </c>
      <c r="L108" s="7">
        <f t="shared" ca="1" si="115"/>
        <v>1.2689473684210384</v>
      </c>
      <c r="N108" s="6">
        <f t="shared" si="68"/>
        <v>-12141897.0683104</v>
      </c>
      <c r="O108" s="6">
        <f t="shared" ca="1" si="69"/>
        <v>3367824.5893943077</v>
      </c>
      <c r="P108" s="6">
        <f t="shared" ca="1" si="70"/>
        <v>79967.401455971412</v>
      </c>
      <c r="Q108" s="6">
        <f t="shared" si="71"/>
        <v>10111289.583371254</v>
      </c>
      <c r="R108" s="6">
        <f t="shared" si="72"/>
        <v>0</v>
      </c>
      <c r="S108" s="6">
        <f t="shared" si="73"/>
        <v>18604842.7049952</v>
      </c>
      <c r="T108" s="6">
        <f t="shared" si="74"/>
        <v>0</v>
      </c>
      <c r="U108" s="6">
        <f t="shared" ca="1" si="75"/>
        <v>1085268.7781529606</v>
      </c>
      <c r="V108" s="6">
        <f t="shared" ca="1" si="76"/>
        <v>31435.809792310669</v>
      </c>
      <c r="W108" s="6">
        <f t="shared" ca="1" si="77"/>
        <v>21138731.798851606</v>
      </c>
      <c r="X108" s="6"/>
    </row>
    <row r="109" spans="1:24">
      <c r="A109" s="20">
        <f>'Monthly Data'!A109</f>
        <v>44166</v>
      </c>
      <c r="B109">
        <f t="shared" si="108"/>
        <v>12</v>
      </c>
      <c r="C109">
        <f t="shared" si="109"/>
        <v>2020</v>
      </c>
      <c r="D109" s="6">
        <v>24485595.165346839</v>
      </c>
      <c r="E109" s="7">
        <f t="shared" ref="E109:F109" ca="1" si="123">E97</f>
        <v>440.25</v>
      </c>
      <c r="F109" s="7">
        <f t="shared" ca="1" si="123"/>
        <v>0</v>
      </c>
      <c r="G109">
        <v>7236.4</v>
      </c>
      <c r="H109">
        <v>1</v>
      </c>
      <c r="I109">
        <v>31</v>
      </c>
      <c r="J109">
        <f>'Monthly Data'!CE109</f>
        <v>0</v>
      </c>
      <c r="K109" s="7">
        <f t="shared" ca="1" si="114"/>
        <v>440.25</v>
      </c>
      <c r="L109" s="7">
        <f t="shared" ca="1" si="115"/>
        <v>0</v>
      </c>
      <c r="N109" s="6">
        <f t="shared" si="68"/>
        <v>-12141897.0683104</v>
      </c>
      <c r="O109" s="6">
        <f t="shared" ca="1" si="69"/>
        <v>4987502.6085873377</v>
      </c>
      <c r="P109" s="6">
        <f t="shared" ca="1" si="70"/>
        <v>0</v>
      </c>
      <c r="Q109" s="6">
        <f t="shared" si="71"/>
        <v>10138610.198438074</v>
      </c>
      <c r="R109" s="6">
        <f t="shared" si="72"/>
        <v>695677.72202584799</v>
      </c>
      <c r="S109" s="6">
        <f t="shared" si="73"/>
        <v>19225004.128495038</v>
      </c>
      <c r="T109" s="6">
        <f t="shared" si="74"/>
        <v>0</v>
      </c>
      <c r="U109" s="6">
        <f t="shared" ca="1" si="75"/>
        <v>1607203.914093921</v>
      </c>
      <c r="V109" s="6">
        <f t="shared" ca="1" si="76"/>
        <v>0</v>
      </c>
      <c r="W109" s="6">
        <f t="shared" ca="1" si="77"/>
        <v>24512101.503329821</v>
      </c>
      <c r="X109" s="6"/>
    </row>
    <row r="110" spans="1:24">
      <c r="A110" s="20">
        <f>'Monthly Data'!A110</f>
        <v>44197</v>
      </c>
      <c r="B110">
        <f t="shared" si="108"/>
        <v>1</v>
      </c>
      <c r="C110">
        <f t="shared" si="109"/>
        <v>2021</v>
      </c>
      <c r="D110" s="6">
        <v>24559547.349920601</v>
      </c>
      <c r="E110" s="7">
        <f t="shared" ref="E110:F110" ca="1" si="124">E98</f>
        <v>564.86</v>
      </c>
      <c r="F110" s="7">
        <f t="shared" ca="1" si="124"/>
        <v>0</v>
      </c>
      <c r="G110">
        <v>7159</v>
      </c>
      <c r="H110">
        <v>0</v>
      </c>
      <c r="I110">
        <v>31</v>
      </c>
      <c r="J110">
        <f>'Monthly Data'!CE110</f>
        <v>0</v>
      </c>
      <c r="K110" s="7">
        <f t="shared" ca="1" si="114"/>
        <v>564.86</v>
      </c>
      <c r="L110" s="7">
        <f t="shared" ca="1" si="115"/>
        <v>0</v>
      </c>
      <c r="N110" s="6">
        <f t="shared" si="68"/>
        <v>-12141897.0683104</v>
      </c>
      <c r="O110" s="6">
        <f t="shared" ca="1" si="69"/>
        <v>6399183.9261479704</v>
      </c>
      <c r="P110" s="6">
        <f t="shared" ca="1" si="70"/>
        <v>0</v>
      </c>
      <c r="Q110" s="6">
        <f t="shared" si="71"/>
        <v>10030168.37248054</v>
      </c>
      <c r="R110" s="6">
        <f t="shared" si="72"/>
        <v>0</v>
      </c>
      <c r="S110" s="6">
        <f t="shared" si="73"/>
        <v>19225004.128495038</v>
      </c>
      <c r="T110" s="6">
        <f t="shared" si="74"/>
        <v>0</v>
      </c>
      <c r="U110" s="6">
        <f t="shared" ca="1" si="75"/>
        <v>2062112.8970246273</v>
      </c>
      <c r="V110" s="6">
        <f t="shared" ca="1" si="76"/>
        <v>0</v>
      </c>
      <c r="W110" s="6">
        <f t="shared" ca="1" si="77"/>
        <v>25574572.255837776</v>
      </c>
      <c r="X110" s="6"/>
    </row>
    <row r="111" spans="1:24">
      <c r="A111" s="20">
        <f>'Monthly Data'!A111</f>
        <v>44228</v>
      </c>
      <c r="B111">
        <f t="shared" si="108"/>
        <v>2</v>
      </c>
      <c r="C111">
        <f t="shared" si="109"/>
        <v>2021</v>
      </c>
      <c r="D111" s="6">
        <v>22858652.194690637</v>
      </c>
      <c r="E111" s="7">
        <f t="shared" ref="E111:F111" ca="1" si="125">E99</f>
        <v>516.43000000000006</v>
      </c>
      <c r="F111" s="7">
        <f t="shared" ca="1" si="125"/>
        <v>0</v>
      </c>
      <c r="G111">
        <v>7107.3</v>
      </c>
      <c r="H111">
        <v>0</v>
      </c>
      <c r="I111">
        <v>28</v>
      </c>
      <c r="J111">
        <f>'Monthly Data'!CE111</f>
        <v>0</v>
      </c>
      <c r="K111" s="7">
        <f t="shared" ca="1" si="114"/>
        <v>516.43000000000006</v>
      </c>
      <c r="L111" s="7">
        <f t="shared" ca="1" si="115"/>
        <v>0</v>
      </c>
      <c r="N111" s="6">
        <f t="shared" si="68"/>
        <v>-12141897.0683104</v>
      </c>
      <c r="O111" s="6">
        <f t="shared" ca="1" si="69"/>
        <v>5850530.3172124</v>
      </c>
      <c r="P111" s="6">
        <f t="shared" ca="1" si="70"/>
        <v>0</v>
      </c>
      <c r="Q111" s="6">
        <f t="shared" si="71"/>
        <v>9957733.716123892</v>
      </c>
      <c r="R111" s="6">
        <f t="shared" si="72"/>
        <v>0</v>
      </c>
      <c r="S111" s="6">
        <f t="shared" si="73"/>
        <v>17364519.857995518</v>
      </c>
      <c r="T111" s="6">
        <f t="shared" si="74"/>
        <v>0</v>
      </c>
      <c r="U111" s="6">
        <f t="shared" ca="1" si="75"/>
        <v>1885311.3398194746</v>
      </c>
      <c r="V111" s="6">
        <f t="shared" ca="1" si="76"/>
        <v>0</v>
      </c>
      <c r="W111" s="6">
        <f t="shared" ca="1" si="77"/>
        <v>22916198.162840884</v>
      </c>
      <c r="X111" s="6"/>
    </row>
    <row r="112" spans="1:24">
      <c r="A112" s="20">
        <f>'Monthly Data'!A112</f>
        <v>44256</v>
      </c>
      <c r="B112">
        <f t="shared" si="108"/>
        <v>3</v>
      </c>
      <c r="C112">
        <f t="shared" si="109"/>
        <v>2021</v>
      </c>
      <c r="D112" s="6">
        <v>21250098.411898531</v>
      </c>
      <c r="E112" s="7">
        <f t="shared" ref="E112:F112" ca="1" si="126">E100</f>
        <v>412.32</v>
      </c>
      <c r="F112" s="7">
        <f t="shared" ca="1" si="126"/>
        <v>0.57842105263157961</v>
      </c>
      <c r="G112">
        <v>7105.6</v>
      </c>
      <c r="H112">
        <v>0</v>
      </c>
      <c r="I112">
        <v>31</v>
      </c>
      <c r="J112">
        <f>'Monthly Data'!CE112</f>
        <v>1</v>
      </c>
      <c r="K112" s="7">
        <f t="shared" ca="1" si="114"/>
        <v>412.32</v>
      </c>
      <c r="L112" s="7">
        <f t="shared" ca="1" si="115"/>
        <v>0.57842105263157961</v>
      </c>
      <c r="N112" s="6">
        <f t="shared" si="68"/>
        <v>-12141897.0683104</v>
      </c>
      <c r="O112" s="6">
        <f t="shared" ca="1" si="69"/>
        <v>4671089.3255485091</v>
      </c>
      <c r="P112" s="6">
        <f t="shared" ca="1" si="70"/>
        <v>36451.33728747975</v>
      </c>
      <c r="Q112" s="6">
        <f t="shared" si="71"/>
        <v>9955351.9189129379</v>
      </c>
      <c r="R112" s="6">
        <f t="shared" si="72"/>
        <v>0</v>
      </c>
      <c r="S112" s="6">
        <f t="shared" si="73"/>
        <v>19225004.128495038</v>
      </c>
      <c r="T112" s="6">
        <f t="shared" si="74"/>
        <v>-730615.53830697597</v>
      </c>
      <c r="U112" s="6">
        <f t="shared" ca="1" si="75"/>
        <v>1505240.9264263611</v>
      </c>
      <c r="V112" s="6">
        <f t="shared" ca="1" si="76"/>
        <v>14329.305251659001</v>
      </c>
      <c r="W112" s="6">
        <f t="shared" ca="1" si="77"/>
        <v>22534954.335304607</v>
      </c>
      <c r="X112" s="6"/>
    </row>
    <row r="113" spans="1:24">
      <c r="A113" s="20">
        <f>'Monthly Data'!A113</f>
        <v>44287</v>
      </c>
      <c r="B113">
        <f t="shared" si="108"/>
        <v>4</v>
      </c>
      <c r="C113">
        <f t="shared" si="109"/>
        <v>2021</v>
      </c>
      <c r="D113" s="6">
        <v>19327418.476259552</v>
      </c>
      <c r="E113" s="7">
        <f t="shared" ref="E113:F113" ca="1" si="127">E101</f>
        <v>229.95</v>
      </c>
      <c r="F113" s="7">
        <f t="shared" ca="1" si="127"/>
        <v>1.3889473684210429</v>
      </c>
      <c r="G113">
        <v>7163.1</v>
      </c>
      <c r="H113">
        <v>0</v>
      </c>
      <c r="I113">
        <v>30</v>
      </c>
      <c r="J113">
        <f>'Monthly Data'!CE113</f>
        <v>1</v>
      </c>
      <c r="K113" s="7">
        <f t="shared" ca="1" si="114"/>
        <v>229.95</v>
      </c>
      <c r="L113" s="7">
        <f t="shared" ca="1" si="115"/>
        <v>1.3889473684210429</v>
      </c>
      <c r="N113" s="6">
        <f t="shared" si="68"/>
        <v>-12141897.0683104</v>
      </c>
      <c r="O113" s="6">
        <f t="shared" ca="1" si="69"/>
        <v>2605056.7287783269</v>
      </c>
      <c r="P113" s="6">
        <f t="shared" ca="1" si="70"/>
        <v>87529.644314520716</v>
      </c>
      <c r="Q113" s="6">
        <f t="shared" si="71"/>
        <v>10035912.706930486</v>
      </c>
      <c r="R113" s="6">
        <f t="shared" si="72"/>
        <v>0</v>
      </c>
      <c r="S113" s="6">
        <f t="shared" si="73"/>
        <v>18604842.7049952</v>
      </c>
      <c r="T113" s="6">
        <f t="shared" si="74"/>
        <v>-730615.53830697597</v>
      </c>
      <c r="U113" s="6">
        <f t="shared" ca="1" si="75"/>
        <v>839469.71049607522</v>
      </c>
      <c r="V113" s="6">
        <f t="shared" ca="1" si="76"/>
        <v>34408.58649602165</v>
      </c>
      <c r="W113" s="6">
        <f t="shared" ca="1" si="77"/>
        <v>19334707.475393251</v>
      </c>
      <c r="X113" s="6"/>
    </row>
    <row r="114" spans="1:24">
      <c r="A114" s="20">
        <f>'Monthly Data'!A114</f>
        <v>44317</v>
      </c>
      <c r="B114">
        <f t="shared" si="108"/>
        <v>5</v>
      </c>
      <c r="C114">
        <f t="shared" si="109"/>
        <v>2021</v>
      </c>
      <c r="D114" s="6">
        <f>'Monthly Data'!F114</f>
        <v>21731149.293650523</v>
      </c>
      <c r="E114" s="7">
        <f t="shared" ref="E114:F114" ca="1" si="128">E102</f>
        <v>79.77000000000001</v>
      </c>
      <c r="F114" s="7">
        <f t="shared" ca="1" si="128"/>
        <v>52.065789473684617</v>
      </c>
      <c r="G114">
        <v>7211.3</v>
      </c>
      <c r="H114">
        <v>0</v>
      </c>
      <c r="I114">
        <v>31</v>
      </c>
      <c r="J114">
        <f>'Monthly Data'!CE114</f>
        <v>1</v>
      </c>
      <c r="K114" s="7">
        <f t="shared" ca="1" si="114"/>
        <v>79.77000000000001</v>
      </c>
      <c r="L114" s="7">
        <f t="shared" ca="1" si="115"/>
        <v>52.065789473684617</v>
      </c>
      <c r="N114" s="6">
        <f t="shared" si="68"/>
        <v>-12141897.0683104</v>
      </c>
      <c r="O114" s="6">
        <f t="shared" ca="1" si="69"/>
        <v>903698.08764795458</v>
      </c>
      <c r="P114" s="6">
        <f t="shared" ca="1" si="70"/>
        <v>3281117.871850735</v>
      </c>
      <c r="Q114" s="6">
        <f t="shared" si="71"/>
        <v>10103443.663146935</v>
      </c>
      <c r="R114" s="6">
        <f t="shared" si="72"/>
        <v>0</v>
      </c>
      <c r="S114" s="6">
        <f t="shared" si="73"/>
        <v>19225004.128495038</v>
      </c>
      <c r="T114" s="6">
        <f t="shared" si="74"/>
        <v>-730615.53830697597</v>
      </c>
      <c r="U114" s="6">
        <f t="shared" ca="1" si="75"/>
        <v>291213.30204945389</v>
      </c>
      <c r="V114" s="6">
        <f t="shared" ca="1" si="76"/>
        <v>1289833.0500640364</v>
      </c>
      <c r="W114" s="6">
        <f t="shared" ca="1" si="77"/>
        <v>22221797.496636771</v>
      </c>
      <c r="X114" s="6"/>
    </row>
    <row r="115" spans="1:24">
      <c r="A115" s="20">
        <f>'Monthly Data'!A115</f>
        <v>44348</v>
      </c>
      <c r="B115">
        <f t="shared" si="108"/>
        <v>6</v>
      </c>
      <c r="C115">
        <f t="shared" si="109"/>
        <v>2021</v>
      </c>
      <c r="D115" s="6">
        <f>'Monthly Data'!F115</f>
        <v>28777429.346252467</v>
      </c>
      <c r="E115" s="7">
        <f t="shared" ref="E115:F115" ca="1" si="129">E103</f>
        <v>5.16</v>
      </c>
      <c r="F115" s="7">
        <f t="shared" ca="1" si="129"/>
        <v>106.52421052631576</v>
      </c>
      <c r="G115">
        <v>7273.4</v>
      </c>
      <c r="H115">
        <v>0</v>
      </c>
      <c r="I115">
        <v>30</v>
      </c>
      <c r="J115">
        <f>'Monthly Data'!CE115</f>
        <v>0</v>
      </c>
      <c r="K115" s="7">
        <f t="shared" ca="1" si="114"/>
        <v>5.16</v>
      </c>
      <c r="L115" s="7">
        <f t="shared" ca="1" si="115"/>
        <v>106.52421052631576</v>
      </c>
      <c r="N115" s="6">
        <f t="shared" si="68"/>
        <v>-12141897.0683104</v>
      </c>
      <c r="O115" s="6">
        <f t="shared" ca="1" si="69"/>
        <v>58456.589347667606</v>
      </c>
      <c r="P115" s="6">
        <f t="shared" ca="1" si="70"/>
        <v>6713016.2526266966</v>
      </c>
      <c r="Q115" s="6">
        <f t="shared" si="71"/>
        <v>10190449.314205887</v>
      </c>
      <c r="R115" s="6">
        <f t="shared" si="72"/>
        <v>0</v>
      </c>
      <c r="S115" s="6">
        <f t="shared" si="73"/>
        <v>18604842.7049952</v>
      </c>
      <c r="T115" s="6">
        <f t="shared" si="74"/>
        <v>0</v>
      </c>
      <c r="U115" s="6">
        <f t="shared" ca="1" si="75"/>
        <v>18837.415551901493</v>
      </c>
      <c r="V115" s="6">
        <f t="shared" ca="1" si="76"/>
        <v>2638939.0952818659</v>
      </c>
      <c r="W115" s="6">
        <f t="shared" ca="1" si="77"/>
        <v>26082644.303698819</v>
      </c>
      <c r="X115" s="6"/>
    </row>
    <row r="116" spans="1:24">
      <c r="A116" s="20">
        <f>'Monthly Data'!A116</f>
        <v>44378</v>
      </c>
      <c r="B116">
        <f t="shared" si="108"/>
        <v>7</v>
      </c>
      <c r="C116">
        <f t="shared" si="109"/>
        <v>2021</v>
      </c>
      <c r="D116" s="6">
        <f>'Monthly Data'!F116</f>
        <v>30327543.112256587</v>
      </c>
      <c r="E116" s="7">
        <f t="shared" ref="E116:F116" ca="1" si="130">E104</f>
        <v>0</v>
      </c>
      <c r="F116" s="7">
        <f t="shared" ca="1" si="130"/>
        <v>189.76052631578978</v>
      </c>
      <c r="G116">
        <v>7372.5</v>
      </c>
      <c r="H116">
        <v>0</v>
      </c>
      <c r="I116">
        <v>31</v>
      </c>
      <c r="J116">
        <f>'Monthly Data'!CE116</f>
        <v>0</v>
      </c>
      <c r="K116" s="7">
        <f t="shared" ca="1" si="114"/>
        <v>0</v>
      </c>
      <c r="L116" s="7">
        <f t="shared" ca="1" si="115"/>
        <v>189.76052631578978</v>
      </c>
      <c r="N116" s="6">
        <f t="shared" si="68"/>
        <v>-12141897.0683104</v>
      </c>
      <c r="O116" s="6">
        <f t="shared" ca="1" si="69"/>
        <v>0</v>
      </c>
      <c r="P116" s="6">
        <f t="shared" ca="1" si="70"/>
        <v>11958459.874717372</v>
      </c>
      <c r="Q116" s="6">
        <f t="shared" si="71"/>
        <v>10329294.081032654</v>
      </c>
      <c r="R116" s="6">
        <f t="shared" si="72"/>
        <v>0</v>
      </c>
      <c r="S116" s="6">
        <f t="shared" si="73"/>
        <v>19225004.128495038</v>
      </c>
      <c r="T116" s="6">
        <f t="shared" si="74"/>
        <v>0</v>
      </c>
      <c r="U116" s="6">
        <f t="shared" ca="1" si="75"/>
        <v>0</v>
      </c>
      <c r="V116" s="6">
        <f t="shared" ca="1" si="76"/>
        <v>4700963.932629114</v>
      </c>
      <c r="W116" s="6">
        <f t="shared" ca="1" si="77"/>
        <v>34071824.948563777</v>
      </c>
      <c r="X116" s="6"/>
    </row>
    <row r="117" spans="1:24">
      <c r="A117" s="20">
        <f>'Monthly Data'!A117</f>
        <v>44409</v>
      </c>
      <c r="B117">
        <f t="shared" si="108"/>
        <v>8</v>
      </c>
      <c r="C117">
        <f t="shared" si="109"/>
        <v>2021</v>
      </c>
      <c r="D117" s="6">
        <f>'Monthly Data'!F117</f>
        <v>34134162.325425573</v>
      </c>
      <c r="E117" s="7">
        <f t="shared" ref="E117:F117" ca="1" si="131">E105</f>
        <v>8.0000000000000071E-2</v>
      </c>
      <c r="F117" s="7">
        <f t="shared" ca="1" si="131"/>
        <v>169.11894736842078</v>
      </c>
      <c r="G117">
        <v>7458.5</v>
      </c>
      <c r="H117">
        <v>0</v>
      </c>
      <c r="I117">
        <v>31</v>
      </c>
      <c r="J117">
        <f>'Monthly Data'!CE117</f>
        <v>0</v>
      </c>
      <c r="K117" s="7">
        <f t="shared" ca="1" si="114"/>
        <v>8.0000000000000071E-2</v>
      </c>
      <c r="L117" s="7">
        <f t="shared" ca="1" si="115"/>
        <v>169.11894736842078</v>
      </c>
      <c r="N117" s="6">
        <f t="shared" si="68"/>
        <v>-12141897.0683104</v>
      </c>
      <c r="O117" s="6">
        <f t="shared" ca="1" si="69"/>
        <v>906.30371081655289</v>
      </c>
      <c r="P117" s="6">
        <f t="shared" ca="1" si="70"/>
        <v>10657654.599851396</v>
      </c>
      <c r="Q117" s="6">
        <f t="shared" si="71"/>
        <v>10449784.998763248</v>
      </c>
      <c r="R117" s="6">
        <f t="shared" si="72"/>
        <v>0</v>
      </c>
      <c r="S117" s="6">
        <f t="shared" si="73"/>
        <v>19225004.128495038</v>
      </c>
      <c r="T117" s="6">
        <f t="shared" si="74"/>
        <v>0</v>
      </c>
      <c r="U117" s="6">
        <f t="shared" ca="1" si="75"/>
        <v>292.05295429304664</v>
      </c>
      <c r="V117" s="6">
        <f t="shared" ca="1" si="76"/>
        <v>4189607.2241078867</v>
      </c>
      <c r="W117" s="6">
        <f t="shared" ca="1" si="77"/>
        <v>32381352.239572279</v>
      </c>
      <c r="X117" s="6"/>
    </row>
    <row r="118" spans="1:24">
      <c r="A118" s="20">
        <f>'Monthly Data'!A118</f>
        <v>44440</v>
      </c>
      <c r="B118">
        <f t="shared" si="108"/>
        <v>9</v>
      </c>
      <c r="C118">
        <f t="shared" si="109"/>
        <v>2021</v>
      </c>
      <c r="D118" s="6">
        <f>'Monthly Data'!F118</f>
        <v>22407620.701135617</v>
      </c>
      <c r="E118" s="7">
        <f t="shared" ref="E118:F118" ca="1" si="132">E106</f>
        <v>12.280000000000001</v>
      </c>
      <c r="F118" s="7">
        <f t="shared" ca="1" si="132"/>
        <v>77.220526315789357</v>
      </c>
      <c r="G118">
        <v>7485</v>
      </c>
      <c r="H118">
        <v>0</v>
      </c>
      <c r="I118">
        <v>30</v>
      </c>
      <c r="J118">
        <f>'Monthly Data'!CE118</f>
        <v>1</v>
      </c>
      <c r="K118" s="7">
        <f t="shared" ca="1" si="114"/>
        <v>12.280000000000001</v>
      </c>
      <c r="L118" s="7">
        <f t="shared" ca="1" si="115"/>
        <v>77.220526315789357</v>
      </c>
      <c r="N118" s="6">
        <f t="shared" si="68"/>
        <v>-12141897.0683104</v>
      </c>
      <c r="O118" s="6">
        <f t="shared" ca="1" si="69"/>
        <v>139117.61961034074</v>
      </c>
      <c r="P118" s="6">
        <f t="shared" ca="1" si="70"/>
        <v>4866336.4472081224</v>
      </c>
      <c r="Q118" s="6">
        <f t="shared" si="71"/>
        <v>10486913.014110466</v>
      </c>
      <c r="R118" s="6">
        <f t="shared" si="72"/>
        <v>0</v>
      </c>
      <c r="S118" s="6">
        <f t="shared" si="73"/>
        <v>18604842.7049952</v>
      </c>
      <c r="T118" s="6">
        <f t="shared" si="74"/>
        <v>-730615.53830697597</v>
      </c>
      <c r="U118" s="6">
        <f t="shared" ca="1" si="75"/>
        <v>44830.128483982626</v>
      </c>
      <c r="V118" s="6">
        <f t="shared" ca="1" si="76"/>
        <v>1912994.8473322578</v>
      </c>
      <c r="W118" s="6">
        <f t="shared" ca="1" si="77"/>
        <v>23182522.155122992</v>
      </c>
      <c r="X118" s="6"/>
    </row>
    <row r="119" spans="1:24">
      <c r="A119" s="20">
        <f>'Monthly Data'!A119</f>
        <v>44470</v>
      </c>
      <c r="B119">
        <f t="shared" si="108"/>
        <v>10</v>
      </c>
      <c r="C119">
        <f t="shared" si="109"/>
        <v>2021</v>
      </c>
      <c r="D119" s="6">
        <f>'Monthly Data'!F119</f>
        <v>20802749.496813588</v>
      </c>
      <c r="E119" s="7">
        <f t="shared" ref="E119:F119" ca="1" si="133">E107</f>
        <v>111.21000000000001</v>
      </c>
      <c r="F119" s="7">
        <f t="shared" ca="1" si="133"/>
        <v>16.868947368421004</v>
      </c>
      <c r="G119">
        <v>7514.2</v>
      </c>
      <c r="H119">
        <f>'Monthly Data'!CB119</f>
        <v>0</v>
      </c>
      <c r="I119">
        <v>31</v>
      </c>
      <c r="J119">
        <f>'Monthly Data'!CE119</f>
        <v>1</v>
      </c>
      <c r="K119" s="7">
        <f t="shared" ca="1" si="114"/>
        <v>111.21000000000001</v>
      </c>
      <c r="L119" s="7">
        <f t="shared" ca="1" si="115"/>
        <v>16.868947368421004</v>
      </c>
      <c r="N119" s="6">
        <f t="shared" si="68"/>
        <v>-12141897.0683104</v>
      </c>
      <c r="O119" s="6">
        <f t="shared" ca="1" si="69"/>
        <v>1259875.4459988596</v>
      </c>
      <c r="P119" s="6">
        <f t="shared" ca="1" si="70"/>
        <v>1063058.9730673418</v>
      </c>
      <c r="Q119" s="6">
        <f t="shared" si="71"/>
        <v>10527823.883851552</v>
      </c>
      <c r="R119" s="6">
        <f t="shared" si="72"/>
        <v>0</v>
      </c>
      <c r="S119" s="6">
        <f t="shared" si="73"/>
        <v>19225004.128495038</v>
      </c>
      <c r="T119" s="6">
        <f t="shared" si="74"/>
        <v>-730615.53830697597</v>
      </c>
      <c r="U119" s="6">
        <f t="shared" ca="1" si="75"/>
        <v>405990.11308662116</v>
      </c>
      <c r="V119" s="6">
        <f t="shared" ca="1" si="76"/>
        <v>417896.78127472318</v>
      </c>
      <c r="W119" s="6">
        <f t="shared" ca="1" si="77"/>
        <v>20027136.719156761</v>
      </c>
      <c r="X119" s="6"/>
    </row>
    <row r="120" spans="1:24">
      <c r="A120" s="20">
        <f>'Monthly Data'!A120</f>
        <v>44501</v>
      </c>
      <c r="B120">
        <f t="shared" si="108"/>
        <v>11</v>
      </c>
      <c r="C120">
        <f t="shared" si="109"/>
        <v>2021</v>
      </c>
      <c r="D120" s="6">
        <f>'Monthly Data'!F120</f>
        <v>20937511.631318592</v>
      </c>
      <c r="E120" s="7">
        <f t="shared" ref="E120:F120" ca="1" si="134">E108</f>
        <v>297.28000000000003</v>
      </c>
      <c r="F120" s="7">
        <f t="shared" ca="1" si="134"/>
        <v>1.2689473684210384</v>
      </c>
      <c r="G120">
        <v>7552.6</v>
      </c>
      <c r="H120">
        <f>'Monthly Data'!CB120</f>
        <v>0</v>
      </c>
      <c r="I120">
        <v>30</v>
      </c>
      <c r="J120">
        <f>'Monthly Data'!CE120</f>
        <v>0</v>
      </c>
      <c r="K120" s="7">
        <f t="shared" ca="1" si="114"/>
        <v>297.28000000000003</v>
      </c>
      <c r="L120" s="7">
        <f t="shared" ca="1" si="115"/>
        <v>1.2689473684210384</v>
      </c>
      <c r="N120" s="6">
        <f t="shared" si="68"/>
        <v>-12141897.0683104</v>
      </c>
      <c r="O120" s="6">
        <f t="shared" ca="1" si="69"/>
        <v>3367824.5893943077</v>
      </c>
      <c r="P120" s="6">
        <f t="shared" ca="1" si="70"/>
        <v>79967.401455971412</v>
      </c>
      <c r="Q120" s="6">
        <f t="shared" si="71"/>
        <v>10581624.479675448</v>
      </c>
      <c r="R120" s="6">
        <f t="shared" si="72"/>
        <v>0</v>
      </c>
      <c r="S120" s="6">
        <f t="shared" si="73"/>
        <v>18604842.7049952</v>
      </c>
      <c r="T120" s="6">
        <f t="shared" si="74"/>
        <v>0</v>
      </c>
      <c r="U120" s="6">
        <f t="shared" ca="1" si="75"/>
        <v>1085268.7781529606</v>
      </c>
      <c r="V120" s="6">
        <f t="shared" ca="1" si="76"/>
        <v>31435.809792310669</v>
      </c>
      <c r="W120" s="6">
        <f t="shared" ca="1" si="77"/>
        <v>21609066.695155796</v>
      </c>
      <c r="X120" s="6"/>
    </row>
    <row r="121" spans="1:24">
      <c r="A121" s="20">
        <f>'Monthly Data'!A121</f>
        <v>44531</v>
      </c>
      <c r="B121">
        <f t="shared" si="108"/>
        <v>12</v>
      </c>
      <c r="C121">
        <f t="shared" si="109"/>
        <v>2021</v>
      </c>
      <c r="D121" s="6">
        <f>'Monthly Data'!F121</f>
        <v>23749125.435736641</v>
      </c>
      <c r="E121" s="7">
        <f t="shared" ref="E121:F121" ca="1" si="135">E109</f>
        <v>440.25</v>
      </c>
      <c r="F121" s="7">
        <f t="shared" ca="1" si="135"/>
        <v>0</v>
      </c>
      <c r="G121">
        <v>7601.7</v>
      </c>
      <c r="H121">
        <f>'Monthly Data'!CB121</f>
        <v>1</v>
      </c>
      <c r="I121">
        <v>31</v>
      </c>
      <c r="J121">
        <f>'Monthly Data'!CE121</f>
        <v>0</v>
      </c>
      <c r="K121" s="7">
        <f t="shared" ca="1" si="114"/>
        <v>440.25</v>
      </c>
      <c r="L121" s="7">
        <f t="shared" ca="1" si="115"/>
        <v>0</v>
      </c>
      <c r="M121" t="s">
        <v>278</v>
      </c>
      <c r="N121" s="6">
        <f t="shared" si="68"/>
        <v>-12141897.0683104</v>
      </c>
      <c r="O121" s="6">
        <f t="shared" ca="1" si="69"/>
        <v>4987502.6085873377</v>
      </c>
      <c r="P121" s="6">
        <f t="shared" ca="1" si="70"/>
        <v>0</v>
      </c>
      <c r="Q121" s="6">
        <f t="shared" si="71"/>
        <v>10650416.387356518</v>
      </c>
      <c r="R121" s="6">
        <f t="shared" si="72"/>
        <v>695677.72202584799</v>
      </c>
      <c r="S121" s="6">
        <f t="shared" si="73"/>
        <v>19225004.128495038</v>
      </c>
      <c r="T121" s="6">
        <f t="shared" si="74"/>
        <v>0</v>
      </c>
      <c r="U121" s="6">
        <f t="shared" ca="1" si="75"/>
        <v>1607203.914093921</v>
      </c>
      <c r="V121" s="6">
        <f t="shared" ca="1" si="76"/>
        <v>0</v>
      </c>
      <c r="W121" s="6">
        <f t="shared" ca="1" si="77"/>
        <v>25023907.692248262</v>
      </c>
      <c r="X121" s="6"/>
    </row>
    <row r="122" spans="1:24">
      <c r="A122" s="20">
        <v>44562</v>
      </c>
      <c r="B122">
        <f t="shared" ref="B122:B131" si="136">MONTH(A122)</f>
        <v>1</v>
      </c>
      <c r="C122">
        <f t="shared" ref="C122:C131" si="137">YEAR(A122)</f>
        <v>2022</v>
      </c>
      <c r="D122" s="6">
        <f>'Monthly Data'!F122</f>
        <v>26295238.993199747</v>
      </c>
      <c r="E122" s="7">
        <f t="shared" ref="E122:F122" ca="1" si="138">E110</f>
        <v>564.86</v>
      </c>
      <c r="F122" s="7">
        <f t="shared" ca="1" si="138"/>
        <v>0</v>
      </c>
      <c r="G122">
        <f>'Economic Variables'!D232</f>
        <v>7620</v>
      </c>
      <c r="H122">
        <f>'Monthly Data'!CB122</f>
        <v>0</v>
      </c>
      <c r="I122">
        <f t="shared" ref="I122:I145" si="139">I74</f>
        <v>31</v>
      </c>
      <c r="J122">
        <f>J110</f>
        <v>0</v>
      </c>
      <c r="K122" s="7">
        <f ca="1">E122*M122</f>
        <v>282.43</v>
      </c>
      <c r="L122" s="7">
        <f ca="1">F122*M122</f>
        <v>0</v>
      </c>
      <c r="M122">
        <v>0.5</v>
      </c>
      <c r="N122" s="6">
        <f t="shared" si="68"/>
        <v>-12141897.0683104</v>
      </c>
      <c r="O122" s="6">
        <f t="shared" ca="1" si="69"/>
        <v>6399183.9261479704</v>
      </c>
      <c r="P122" s="6">
        <f t="shared" ca="1" si="70"/>
        <v>0</v>
      </c>
      <c r="Q122" s="6">
        <f t="shared" si="71"/>
        <v>10676055.733803842</v>
      </c>
      <c r="R122" s="6">
        <f t="shared" si="72"/>
        <v>0</v>
      </c>
      <c r="S122" s="6">
        <f t="shared" si="73"/>
        <v>19225004.128495038</v>
      </c>
      <c r="T122" s="6">
        <f t="shared" si="74"/>
        <v>0</v>
      </c>
      <c r="U122" s="6">
        <f t="shared" ca="1" si="75"/>
        <v>1031056.4485123137</v>
      </c>
      <c r="V122" s="6">
        <f t="shared" ca="1" si="76"/>
        <v>0</v>
      </c>
      <c r="W122" s="6">
        <f t="shared" ca="1" si="77"/>
        <v>25189403.168648761</v>
      </c>
    </row>
    <row r="123" spans="1:24">
      <c r="A123" s="20">
        <v>44593</v>
      </c>
      <c r="B123">
        <f t="shared" si="136"/>
        <v>2</v>
      </c>
      <c r="C123">
        <f t="shared" si="137"/>
        <v>2022</v>
      </c>
      <c r="D123" s="6">
        <f>'Monthly Data'!F123</f>
        <v>22694348.993199747</v>
      </c>
      <c r="E123" s="7">
        <f t="shared" ref="E123:F123" ca="1" si="140">E111</f>
        <v>516.43000000000006</v>
      </c>
      <c r="F123" s="7">
        <f t="shared" ca="1" si="140"/>
        <v>0</v>
      </c>
      <c r="G123">
        <f>'Economic Variables'!D233</f>
        <v>7649</v>
      </c>
      <c r="H123">
        <f>'Monthly Data'!CB123</f>
        <v>0</v>
      </c>
      <c r="I123">
        <f t="shared" si="139"/>
        <v>28</v>
      </c>
      <c r="J123">
        <f t="shared" ref="J123:J145" si="141">J111</f>
        <v>0</v>
      </c>
      <c r="K123" s="7">
        <f t="shared" ref="K123:K145" ca="1" si="142">E123*M123</f>
        <v>258.21500000000003</v>
      </c>
      <c r="L123" s="7">
        <f t="shared" ref="L123:L145" ca="1" si="143">F123*M123</f>
        <v>0</v>
      </c>
      <c r="M123">
        <f>M122</f>
        <v>0.5</v>
      </c>
      <c r="N123" s="6">
        <f t="shared" si="68"/>
        <v>-12141897.0683104</v>
      </c>
      <c r="O123" s="6">
        <f t="shared" ca="1" si="69"/>
        <v>5850530.3172124</v>
      </c>
      <c r="P123" s="6">
        <f t="shared" ca="1" si="70"/>
        <v>0</v>
      </c>
      <c r="Q123" s="6">
        <f t="shared" si="71"/>
        <v>10716686.392108345</v>
      </c>
      <c r="R123" s="6">
        <f t="shared" si="72"/>
        <v>0</v>
      </c>
      <c r="S123" s="6">
        <f t="shared" si="73"/>
        <v>17364519.857995518</v>
      </c>
      <c r="T123" s="6">
        <f t="shared" si="74"/>
        <v>0</v>
      </c>
      <c r="U123" s="6">
        <f t="shared" ca="1" si="75"/>
        <v>942655.66990973731</v>
      </c>
      <c r="V123" s="6">
        <f t="shared" ca="1" si="76"/>
        <v>0</v>
      </c>
      <c r="W123" s="6">
        <f t="shared" ca="1" si="77"/>
        <v>22732495.1689156</v>
      </c>
    </row>
    <row r="124" spans="1:24">
      <c r="A124" s="20">
        <v>44621</v>
      </c>
      <c r="B124">
        <f t="shared" si="136"/>
        <v>3</v>
      </c>
      <c r="C124">
        <f t="shared" si="137"/>
        <v>2022</v>
      </c>
      <c r="D124" s="6">
        <f>'Monthly Data'!F124</f>
        <v>22354128.993199747</v>
      </c>
      <c r="E124" s="7">
        <f t="shared" ref="E124:F124" ca="1" si="144">E112</f>
        <v>412.32</v>
      </c>
      <c r="F124" s="7">
        <f t="shared" ca="1" si="144"/>
        <v>0.57842105263157961</v>
      </c>
      <c r="G124">
        <f>'Economic Variables'!D234</f>
        <v>7670</v>
      </c>
      <c r="H124">
        <f>'Monthly Data'!CB124</f>
        <v>0</v>
      </c>
      <c r="I124">
        <f t="shared" si="139"/>
        <v>31</v>
      </c>
      <c r="J124">
        <f t="shared" si="141"/>
        <v>1</v>
      </c>
      <c r="K124" s="7">
        <f t="shared" ca="1" si="142"/>
        <v>206.16</v>
      </c>
      <c r="L124" s="7">
        <f t="shared" ca="1" si="143"/>
        <v>0.28921052631578981</v>
      </c>
      <c r="M124">
        <f t="shared" ref="M124:M145" si="145">M123</f>
        <v>0.5</v>
      </c>
      <c r="N124" s="6">
        <f t="shared" si="68"/>
        <v>-12141897.0683104</v>
      </c>
      <c r="O124" s="6">
        <f t="shared" ca="1" si="69"/>
        <v>4671089.3255485091</v>
      </c>
      <c r="P124" s="6">
        <f t="shared" ca="1" si="70"/>
        <v>36451.33728747975</v>
      </c>
      <c r="Q124" s="6">
        <f t="shared" si="71"/>
        <v>10746108.592949538</v>
      </c>
      <c r="R124" s="6">
        <f t="shared" si="72"/>
        <v>0</v>
      </c>
      <c r="S124" s="6">
        <f t="shared" si="73"/>
        <v>19225004.128495038</v>
      </c>
      <c r="T124" s="6">
        <f t="shared" si="74"/>
        <v>-730615.53830697597</v>
      </c>
      <c r="U124" s="6">
        <f t="shared" ca="1" si="75"/>
        <v>752620.46321318054</v>
      </c>
      <c r="V124" s="6">
        <f ca="1">L124*$Z$15</f>
        <v>7164.6526258295007</v>
      </c>
      <c r="W124" s="6">
        <f t="shared" ca="1" si="77"/>
        <v>22565925.893502194</v>
      </c>
    </row>
    <row r="125" spans="1:24">
      <c r="A125" s="20">
        <v>44652</v>
      </c>
      <c r="B125">
        <f t="shared" si="136"/>
        <v>4</v>
      </c>
      <c r="C125">
        <f t="shared" si="137"/>
        <v>2022</v>
      </c>
      <c r="D125" s="6">
        <f>'Monthly Data'!F125</f>
        <v>19843561.993199747</v>
      </c>
      <c r="E125" s="7">
        <f t="shared" ref="E125:F125" ca="1" si="146">E113</f>
        <v>229.95</v>
      </c>
      <c r="F125" s="7">
        <f t="shared" ca="1" si="146"/>
        <v>1.3889473684210429</v>
      </c>
      <c r="G125">
        <f>'Economic Variables'!D235</f>
        <v>7750.7</v>
      </c>
      <c r="H125">
        <f>'Monthly Data'!CB125</f>
        <v>0</v>
      </c>
      <c r="I125">
        <f t="shared" si="139"/>
        <v>30</v>
      </c>
      <c r="J125">
        <f t="shared" si="141"/>
        <v>1</v>
      </c>
      <c r="K125" s="7">
        <f ca="1">E125*M125</f>
        <v>114.97499999999999</v>
      </c>
      <c r="L125" s="7">
        <f t="shared" ca="1" si="143"/>
        <v>0.69447368421052147</v>
      </c>
      <c r="M125">
        <f t="shared" si="145"/>
        <v>0.5</v>
      </c>
      <c r="N125" s="6">
        <f t="shared" si="68"/>
        <v>-12141897.0683104</v>
      </c>
      <c r="O125" s="6">
        <f t="shared" ca="1" si="69"/>
        <v>2605056.7287783269</v>
      </c>
      <c r="P125" s="6">
        <f t="shared" ca="1" si="70"/>
        <v>87529.644314520716</v>
      </c>
      <c r="Q125" s="6">
        <f t="shared" si="71"/>
        <v>10859173.907610688</v>
      </c>
      <c r="R125" s="6">
        <f t="shared" si="72"/>
        <v>0</v>
      </c>
      <c r="S125" s="6">
        <f t="shared" si="73"/>
        <v>18604842.7049952</v>
      </c>
      <c r="T125" s="6">
        <f t="shared" si="74"/>
        <v>-730615.53830697597</v>
      </c>
      <c r="U125" s="6">
        <f t="shared" ca="1" si="75"/>
        <v>419734.85524803761</v>
      </c>
      <c r="V125" s="6">
        <f t="shared" ca="1" si="76"/>
        <v>17204.293248010825</v>
      </c>
      <c r="W125" s="6">
        <f t="shared" ca="1" si="77"/>
        <v>19721029.527577408</v>
      </c>
    </row>
    <row r="126" spans="1:24">
      <c r="A126" s="20">
        <v>44682</v>
      </c>
      <c r="B126">
        <f t="shared" si="136"/>
        <v>5</v>
      </c>
      <c r="C126">
        <f t="shared" si="137"/>
        <v>2022</v>
      </c>
      <c r="D126" s="6">
        <f>'Monthly Data'!F126</f>
        <v>21521944.993199747</v>
      </c>
      <c r="E126" s="7">
        <f t="shared" ref="E126:F126" ca="1" si="147">E114</f>
        <v>79.77000000000001</v>
      </c>
      <c r="F126" s="7">
        <f t="shared" ca="1" si="147"/>
        <v>52.065789473684617</v>
      </c>
      <c r="G126">
        <f>'Economic Variables'!D236</f>
        <v>7765</v>
      </c>
      <c r="H126">
        <f>'Monthly Data'!CB126</f>
        <v>0</v>
      </c>
      <c r="I126">
        <f t="shared" si="139"/>
        <v>31</v>
      </c>
      <c r="J126">
        <f t="shared" si="141"/>
        <v>1</v>
      </c>
      <c r="K126" s="7">
        <f t="shared" ca="1" si="142"/>
        <v>39.885000000000005</v>
      </c>
      <c r="L126" s="7">
        <f t="shared" ca="1" si="143"/>
        <v>26.032894736842309</v>
      </c>
      <c r="M126">
        <f t="shared" si="145"/>
        <v>0.5</v>
      </c>
      <c r="N126" s="6">
        <f t="shared" si="68"/>
        <v>-12141897.0683104</v>
      </c>
      <c r="O126" s="6">
        <f t="shared" ca="1" si="69"/>
        <v>903698.08764795458</v>
      </c>
      <c r="P126" s="6">
        <f t="shared" ca="1" si="70"/>
        <v>3281117.871850735</v>
      </c>
      <c r="Q126" s="6">
        <f t="shared" si="71"/>
        <v>10879209.025326356</v>
      </c>
      <c r="R126" s="6">
        <f t="shared" si="72"/>
        <v>0</v>
      </c>
      <c r="S126" s="6">
        <f t="shared" si="73"/>
        <v>19225004.128495038</v>
      </c>
      <c r="T126" s="6">
        <f t="shared" si="74"/>
        <v>-730615.53830697597</v>
      </c>
      <c r="U126" s="6">
        <f t="shared" ca="1" si="75"/>
        <v>145606.65102472695</v>
      </c>
      <c r="V126" s="6">
        <f t="shared" ca="1" si="76"/>
        <v>644916.52503201819</v>
      </c>
      <c r="W126" s="6">
        <f t="shared" ca="1" si="77"/>
        <v>22207039.682759445</v>
      </c>
    </row>
    <row r="127" spans="1:24">
      <c r="A127" s="20">
        <v>44713</v>
      </c>
      <c r="B127">
        <f t="shared" si="136"/>
        <v>6</v>
      </c>
      <c r="C127">
        <f t="shared" si="137"/>
        <v>2022</v>
      </c>
      <c r="D127" s="6">
        <f>'Monthly Data'!F127</f>
        <v>25550582.993199747</v>
      </c>
      <c r="E127" s="7">
        <f t="shared" ref="E127:F127" ca="1" si="148">E115</f>
        <v>5.16</v>
      </c>
      <c r="F127" s="7">
        <f t="shared" ca="1" si="148"/>
        <v>106.52421052631576</v>
      </c>
      <c r="G127">
        <f>'Economic Variables'!D237</f>
        <v>7761.1</v>
      </c>
      <c r="H127">
        <f>'Monthly Data'!CB127</f>
        <v>0</v>
      </c>
      <c r="I127">
        <f t="shared" si="139"/>
        <v>30</v>
      </c>
      <c r="J127">
        <f t="shared" si="141"/>
        <v>0</v>
      </c>
      <c r="K127" s="7">
        <f t="shared" ca="1" si="142"/>
        <v>2.58</v>
      </c>
      <c r="L127" s="7">
        <f t="shared" ca="1" si="143"/>
        <v>53.262105263157878</v>
      </c>
      <c r="M127">
        <f t="shared" si="145"/>
        <v>0.5</v>
      </c>
      <c r="N127" s="6">
        <f t="shared" si="68"/>
        <v>-12141897.0683104</v>
      </c>
      <c r="O127" s="6">
        <f t="shared" ca="1" si="69"/>
        <v>58456.589347667606</v>
      </c>
      <c r="P127" s="6">
        <f t="shared" ca="1" si="70"/>
        <v>6713016.2526266966</v>
      </c>
      <c r="Q127" s="6">
        <f t="shared" si="71"/>
        <v>10873744.902312992</v>
      </c>
      <c r="R127" s="6">
        <f t="shared" si="72"/>
        <v>0</v>
      </c>
      <c r="S127" s="6">
        <f t="shared" si="73"/>
        <v>18604842.7049952</v>
      </c>
      <c r="T127" s="6">
        <f t="shared" si="74"/>
        <v>0</v>
      </c>
      <c r="U127" s="6">
        <f t="shared" ca="1" si="75"/>
        <v>9418.7077759507465</v>
      </c>
      <c r="V127" s="6">
        <f ca="1">L127*$Z$15</f>
        <v>1319469.547640933</v>
      </c>
      <c r="W127" s="6">
        <f t="shared" ca="1" si="77"/>
        <v>25437051.636389039</v>
      </c>
    </row>
    <row r="128" spans="1:24">
      <c r="A128" s="20">
        <v>44743</v>
      </c>
      <c r="B128">
        <f t="shared" si="136"/>
        <v>7</v>
      </c>
      <c r="C128">
        <f t="shared" si="137"/>
        <v>2022</v>
      </c>
      <c r="D128" s="6">
        <f>'Monthly Data'!F128</f>
        <v>31912101.993199747</v>
      </c>
      <c r="E128" s="7">
        <f t="shared" ref="E128:F128" ca="1" si="149">E116</f>
        <v>0</v>
      </c>
      <c r="F128" s="7">
        <f t="shared" ca="1" si="149"/>
        <v>189.76052631578978</v>
      </c>
      <c r="G128">
        <f>'Economic Variables'!D238</f>
        <v>7756.4</v>
      </c>
      <c r="H128">
        <f>'Monthly Data'!CB128</f>
        <v>0</v>
      </c>
      <c r="I128">
        <f t="shared" si="139"/>
        <v>31</v>
      </c>
      <c r="J128">
        <f t="shared" si="141"/>
        <v>0</v>
      </c>
      <c r="K128" s="7">
        <f ca="1">E128*M128</f>
        <v>0</v>
      </c>
      <c r="L128" s="7">
        <f ca="1">F128*M128</f>
        <v>94.880263157894888</v>
      </c>
      <c r="M128">
        <f t="shared" si="145"/>
        <v>0.5</v>
      </c>
      <c r="N128" s="6">
        <f t="shared" si="68"/>
        <v>-12141897.0683104</v>
      </c>
      <c r="O128" s="6">
        <f t="shared" ca="1" si="69"/>
        <v>0</v>
      </c>
      <c r="P128" s="6">
        <f t="shared" ca="1" si="70"/>
        <v>11958459.874717372</v>
      </c>
      <c r="Q128" s="6">
        <f t="shared" si="71"/>
        <v>10867159.933553297</v>
      </c>
      <c r="R128" s="6">
        <f t="shared" si="72"/>
        <v>0</v>
      </c>
      <c r="S128" s="6">
        <f t="shared" si="73"/>
        <v>19225004.128495038</v>
      </c>
      <c r="T128" s="6">
        <f t="shared" si="74"/>
        <v>0</v>
      </c>
      <c r="U128" s="6">
        <f t="shared" ca="1" si="75"/>
        <v>0</v>
      </c>
      <c r="V128" s="6">
        <f t="shared" ca="1" si="76"/>
        <v>2350481.966314557</v>
      </c>
      <c r="W128" s="6">
        <f t="shared" ca="1" si="77"/>
        <v>32259208.834769864</v>
      </c>
    </row>
    <row r="129" spans="1:23">
      <c r="A129" s="20">
        <v>44774</v>
      </c>
      <c r="B129">
        <f t="shared" si="136"/>
        <v>8</v>
      </c>
      <c r="C129">
        <f t="shared" si="137"/>
        <v>2022</v>
      </c>
      <c r="D129" s="6">
        <f>'Monthly Data'!F129</f>
        <v>31833424.993199747</v>
      </c>
      <c r="E129" s="7">
        <f t="shared" ref="E129:F129" ca="1" si="150">E117</f>
        <v>8.0000000000000071E-2</v>
      </c>
      <c r="F129" s="7">
        <f t="shared" ca="1" si="150"/>
        <v>169.11894736842078</v>
      </c>
      <c r="G129">
        <f>'Economic Variables'!D239</f>
        <v>7746.5</v>
      </c>
      <c r="H129">
        <f>'Monthly Data'!CB129</f>
        <v>0</v>
      </c>
      <c r="I129">
        <f t="shared" si="139"/>
        <v>31</v>
      </c>
      <c r="J129">
        <f t="shared" si="141"/>
        <v>0</v>
      </c>
      <c r="K129" s="7">
        <f t="shared" ca="1" si="142"/>
        <v>4.0000000000000036E-2</v>
      </c>
      <c r="L129" s="7">
        <f t="shared" ca="1" si="143"/>
        <v>84.559473684210388</v>
      </c>
      <c r="M129">
        <f t="shared" si="145"/>
        <v>0.5</v>
      </c>
      <c r="N129" s="6">
        <f t="shared" si="68"/>
        <v>-12141897.0683104</v>
      </c>
      <c r="O129" s="6">
        <f t="shared" ca="1" si="69"/>
        <v>906.30371081655289</v>
      </c>
      <c r="P129" s="6">
        <f t="shared" ca="1" si="70"/>
        <v>10657654.599851396</v>
      </c>
      <c r="Q129" s="6">
        <f t="shared" si="71"/>
        <v>10853289.467442449</v>
      </c>
      <c r="R129" s="6">
        <f t="shared" si="72"/>
        <v>0</v>
      </c>
      <c r="S129" s="6">
        <f t="shared" si="73"/>
        <v>19225004.128495038</v>
      </c>
      <c r="T129" s="6">
        <f t="shared" si="74"/>
        <v>0</v>
      </c>
      <c r="U129" s="6">
        <f t="shared" ca="1" si="75"/>
        <v>146.02647714652332</v>
      </c>
      <c r="V129" s="6">
        <f t="shared" ca="1" si="76"/>
        <v>2094803.6120539433</v>
      </c>
      <c r="W129" s="6">
        <f t="shared" ca="1" si="77"/>
        <v>30689907.069720387</v>
      </c>
    </row>
    <row r="130" spans="1:23">
      <c r="A130" s="20">
        <v>44805</v>
      </c>
      <c r="B130">
        <f t="shared" si="136"/>
        <v>9</v>
      </c>
      <c r="C130">
        <f t="shared" si="137"/>
        <v>2022</v>
      </c>
      <c r="D130" s="6">
        <f>'Monthly Data'!F130</f>
        <v>23843776.993199747</v>
      </c>
      <c r="E130" s="7">
        <f t="shared" ref="E130:F130" ca="1" si="151">E118</f>
        <v>12.280000000000001</v>
      </c>
      <c r="F130" s="7">
        <f t="shared" ca="1" si="151"/>
        <v>77.220526315789357</v>
      </c>
      <c r="G130">
        <f>'Economic Variables'!D240</f>
        <v>7738.7</v>
      </c>
      <c r="H130">
        <f>'Monthly Data'!CB130</f>
        <v>0</v>
      </c>
      <c r="I130">
        <f t="shared" si="139"/>
        <v>30</v>
      </c>
      <c r="J130">
        <f t="shared" si="141"/>
        <v>1</v>
      </c>
      <c r="K130" s="7">
        <f t="shared" ca="1" si="142"/>
        <v>6.1400000000000006</v>
      </c>
      <c r="L130" s="7">
        <f t="shared" ca="1" si="143"/>
        <v>38.610263157894678</v>
      </c>
      <c r="M130">
        <f t="shared" si="145"/>
        <v>0.5</v>
      </c>
      <c r="N130" s="6">
        <f t="shared" si="68"/>
        <v>-12141897.0683104</v>
      </c>
      <c r="O130" s="6">
        <f t="shared" ca="1" si="69"/>
        <v>139117.61961034074</v>
      </c>
      <c r="P130" s="6">
        <f t="shared" ca="1" si="70"/>
        <v>4866336.4472081224</v>
      </c>
      <c r="Q130" s="6">
        <f t="shared" si="71"/>
        <v>10842361.221415721</v>
      </c>
      <c r="R130" s="6">
        <f t="shared" si="72"/>
        <v>0</v>
      </c>
      <c r="S130" s="6">
        <f t="shared" si="73"/>
        <v>18604842.7049952</v>
      </c>
      <c r="T130" s="6">
        <f t="shared" si="74"/>
        <v>-730615.53830697597</v>
      </c>
      <c r="U130" s="6">
        <f t="shared" ca="1" si="75"/>
        <v>22415.064241991313</v>
      </c>
      <c r="V130" s="6">
        <f t="shared" ca="1" si="76"/>
        <v>956497.42366612889</v>
      </c>
      <c r="W130" s="6">
        <f t="shared" ca="1" si="77"/>
        <v>22559057.874520123</v>
      </c>
    </row>
    <row r="131" spans="1:23">
      <c r="A131" s="20">
        <v>44835</v>
      </c>
      <c r="B131">
        <f t="shared" si="136"/>
        <v>10</v>
      </c>
      <c r="C131">
        <f t="shared" si="137"/>
        <v>2022</v>
      </c>
      <c r="D131" s="6">
        <f>'Monthly Data'!F131</f>
        <v>19191633.993199747</v>
      </c>
      <c r="E131" s="7">
        <f t="shared" ref="E131:F131" ca="1" si="152">E119</f>
        <v>111.21000000000001</v>
      </c>
      <c r="F131" s="7">
        <f t="shared" ca="1" si="152"/>
        <v>16.868947368421004</v>
      </c>
      <c r="G131">
        <f>'Economic Variables'!D241</f>
        <v>7731.5</v>
      </c>
      <c r="H131">
        <f>'Monthly Data'!CB131</f>
        <v>0</v>
      </c>
      <c r="I131">
        <f t="shared" si="139"/>
        <v>31</v>
      </c>
      <c r="J131">
        <f t="shared" si="141"/>
        <v>1</v>
      </c>
      <c r="K131" s="7">
        <f t="shared" ca="1" si="142"/>
        <v>55.605000000000004</v>
      </c>
      <c r="L131" s="7">
        <f t="shared" ca="1" si="143"/>
        <v>8.4344736842105021</v>
      </c>
      <c r="M131">
        <f t="shared" si="145"/>
        <v>0.5</v>
      </c>
      <c r="N131" s="6">
        <f t="shared" ref="N131:N145" si="153">$Z$7</f>
        <v>-12141897.0683104</v>
      </c>
      <c r="O131" s="6">
        <f t="shared" ref="O131:O145" ca="1" si="154">E131*$Z$8</f>
        <v>1259875.4459988596</v>
      </c>
      <c r="P131" s="6">
        <f t="shared" ref="P131:P145" ca="1" si="155">F131*$Z$9</f>
        <v>1063058.9730673418</v>
      </c>
      <c r="Q131" s="6">
        <f t="shared" ref="Q131:Q145" si="156">G131*$Z$10</f>
        <v>10832273.609698741</v>
      </c>
      <c r="R131" s="6">
        <f t="shared" ref="R131:R145" si="157">H131*$Z$11</f>
        <v>0</v>
      </c>
      <c r="S131" s="6">
        <f t="shared" ref="S131:S145" si="158">I131*$Z$12</f>
        <v>19225004.128495038</v>
      </c>
      <c r="T131" s="6">
        <f t="shared" ref="T131:T145" si="159">J131*$Z$13</f>
        <v>-730615.53830697597</v>
      </c>
      <c r="U131" s="6">
        <f t="shared" ref="U131:U145" ca="1" si="160">K131*$Z$14</f>
        <v>202995.05654331058</v>
      </c>
      <c r="V131" s="6">
        <f t="shared" ref="V131:V145" ca="1" si="161">L131*$Z$15</f>
        <v>208948.39063736159</v>
      </c>
      <c r="W131" s="6">
        <f t="shared" ref="W131:W145" ca="1" si="162">SUM(N131:V131)</f>
        <v>19919642.997823272</v>
      </c>
    </row>
    <row r="132" spans="1:23">
      <c r="A132" s="20">
        <v>44866</v>
      </c>
      <c r="B132">
        <f>MONTH(A132)</f>
        <v>11</v>
      </c>
      <c r="C132">
        <f>YEAR(A132)</f>
        <v>2022</v>
      </c>
      <c r="D132" s="6">
        <f>'Monthly Data'!F132</f>
        <v>20227937.993199747</v>
      </c>
      <c r="E132" s="7">
        <f t="shared" ref="E132:F132" ca="1" si="163">E120</f>
        <v>297.28000000000003</v>
      </c>
      <c r="F132" s="7">
        <f t="shared" ca="1" si="163"/>
        <v>1.2689473684210384</v>
      </c>
      <c r="G132">
        <f>'Economic Variables'!D242</f>
        <v>7736.9</v>
      </c>
      <c r="H132">
        <f>'Monthly Data'!CB132</f>
        <v>0</v>
      </c>
      <c r="I132">
        <f t="shared" si="139"/>
        <v>30</v>
      </c>
      <c r="J132">
        <f t="shared" si="141"/>
        <v>0</v>
      </c>
      <c r="K132" s="7">
        <f t="shared" ca="1" si="142"/>
        <v>148.64000000000001</v>
      </c>
      <c r="L132" s="7">
        <f t="shared" ca="1" si="143"/>
        <v>0.6344736842105192</v>
      </c>
      <c r="M132">
        <f t="shared" si="145"/>
        <v>0.5</v>
      </c>
      <c r="N132" s="6">
        <f t="shared" si="153"/>
        <v>-12141897.0683104</v>
      </c>
      <c r="O132" s="6">
        <f t="shared" ca="1" si="154"/>
        <v>3367824.5893943077</v>
      </c>
      <c r="P132" s="6">
        <f t="shared" ca="1" si="155"/>
        <v>79967.401455971412</v>
      </c>
      <c r="Q132" s="6">
        <f t="shared" si="156"/>
        <v>10839839.318486476</v>
      </c>
      <c r="R132" s="6">
        <f t="shared" si="157"/>
        <v>0</v>
      </c>
      <c r="S132" s="6">
        <f t="shared" si="158"/>
        <v>18604842.7049952</v>
      </c>
      <c r="T132" s="6">
        <f t="shared" si="159"/>
        <v>0</v>
      </c>
      <c r="U132" s="6">
        <f t="shared" ca="1" si="160"/>
        <v>542634.38907648029</v>
      </c>
      <c r="V132" s="6">
        <f t="shared" ca="1" si="161"/>
        <v>15717.904896155334</v>
      </c>
      <c r="W132" s="6">
        <f t="shared" ca="1" si="162"/>
        <v>21308929.239994191</v>
      </c>
    </row>
    <row r="133" spans="1:23">
      <c r="A133" s="20">
        <v>44896</v>
      </c>
      <c r="B133">
        <f>MONTH(A133)</f>
        <v>12</v>
      </c>
      <c r="C133">
        <f>YEAR(A133)</f>
        <v>2022</v>
      </c>
      <c r="D133" s="6">
        <f>'Monthly Data'!F133</f>
        <v>24496452.993199747</v>
      </c>
      <c r="E133" s="7">
        <f t="shared" ref="E133:F133" ca="1" si="164">E121</f>
        <v>440.25</v>
      </c>
      <c r="F133" s="7">
        <f t="shared" ca="1" si="164"/>
        <v>0</v>
      </c>
      <c r="G133">
        <f>'Economic Variables'!D243</f>
        <v>7760.9</v>
      </c>
      <c r="H133">
        <f>'Monthly Data'!CB133</f>
        <v>1</v>
      </c>
      <c r="I133">
        <f t="shared" si="139"/>
        <v>31</v>
      </c>
      <c r="J133">
        <f t="shared" si="141"/>
        <v>0</v>
      </c>
      <c r="K133" s="7">
        <f t="shared" ca="1" si="142"/>
        <v>220.125</v>
      </c>
      <c r="L133" s="7">
        <f t="shared" ca="1" si="143"/>
        <v>0</v>
      </c>
      <c r="M133">
        <f t="shared" si="145"/>
        <v>0.5</v>
      </c>
      <c r="N133" s="6">
        <f t="shared" si="153"/>
        <v>-12141897.0683104</v>
      </c>
      <c r="O133" s="6">
        <f t="shared" ca="1" si="154"/>
        <v>4987502.6085873377</v>
      </c>
      <c r="P133" s="6">
        <f t="shared" ca="1" si="155"/>
        <v>0</v>
      </c>
      <c r="Q133" s="6">
        <f t="shared" si="156"/>
        <v>10873464.690876409</v>
      </c>
      <c r="R133" s="6">
        <f t="shared" si="157"/>
        <v>695677.72202584799</v>
      </c>
      <c r="S133" s="6">
        <f t="shared" si="158"/>
        <v>19225004.128495038</v>
      </c>
      <c r="T133" s="6">
        <f t="shared" si="159"/>
        <v>0</v>
      </c>
      <c r="U133" s="6">
        <f t="shared" ca="1" si="160"/>
        <v>803601.95704696048</v>
      </c>
      <c r="V133" s="6">
        <f t="shared" ca="1" si="161"/>
        <v>0</v>
      </c>
      <c r="W133" s="6">
        <f t="shared" ca="1" si="162"/>
        <v>24443354.038721193</v>
      </c>
    </row>
    <row r="134" spans="1:23">
      <c r="A134" s="20">
        <v>44927</v>
      </c>
      <c r="B134">
        <f t="shared" ref="B134:B145" si="165">MONTH(A134)</f>
        <v>1</v>
      </c>
      <c r="C134">
        <f t="shared" ref="C134:C145" si="166">YEAR(A134)</f>
        <v>2023</v>
      </c>
      <c r="E134" s="7">
        <f t="shared" ref="E134:F134" ca="1" si="167">E122</f>
        <v>564.86</v>
      </c>
      <c r="F134" s="7">
        <f t="shared" ca="1" si="167"/>
        <v>0</v>
      </c>
      <c r="G134" s="119">
        <f>'Economic Variables'!D244</f>
        <v>7671.4350000000004</v>
      </c>
      <c r="H134">
        <f>H122</f>
        <v>0</v>
      </c>
      <c r="I134" s="11">
        <f t="shared" si="139"/>
        <v>31</v>
      </c>
      <c r="J134">
        <f t="shared" si="141"/>
        <v>0</v>
      </c>
      <c r="K134" s="7">
        <f t="shared" ca="1" si="142"/>
        <v>141.215</v>
      </c>
      <c r="L134" s="7">
        <f t="shared" ca="1" si="143"/>
        <v>0</v>
      </c>
      <c r="M134">
        <v>0.25</v>
      </c>
      <c r="N134" s="6">
        <f t="shared" si="153"/>
        <v>-12141897.0683104</v>
      </c>
      <c r="O134" s="6">
        <f t="shared" ca="1" si="154"/>
        <v>6399183.9261479704</v>
      </c>
      <c r="P134" s="6">
        <f t="shared" ca="1" si="155"/>
        <v>0</v>
      </c>
      <c r="Q134" s="6">
        <f t="shared" si="156"/>
        <v>10748119.11000702</v>
      </c>
      <c r="R134" s="6">
        <f t="shared" si="157"/>
        <v>0</v>
      </c>
      <c r="S134" s="6">
        <f t="shared" si="158"/>
        <v>19225004.128495038</v>
      </c>
      <c r="T134" s="6">
        <f t="shared" si="159"/>
        <v>0</v>
      </c>
      <c r="U134" s="6">
        <f t="shared" ca="1" si="160"/>
        <v>515528.22425615683</v>
      </c>
      <c r="V134" s="6">
        <f t="shared" ca="1" si="161"/>
        <v>0</v>
      </c>
      <c r="W134" s="6">
        <f t="shared" ca="1" si="162"/>
        <v>24745938.320595786</v>
      </c>
    </row>
    <row r="135" spans="1:23">
      <c r="A135" s="20">
        <v>44958</v>
      </c>
      <c r="B135">
        <f t="shared" si="165"/>
        <v>2</v>
      </c>
      <c r="C135">
        <f t="shared" si="166"/>
        <v>2023</v>
      </c>
      <c r="E135" s="7">
        <f t="shared" ref="E135:F135" ca="1" si="168">E123</f>
        <v>516.43000000000006</v>
      </c>
      <c r="F135" s="7">
        <f t="shared" ca="1" si="168"/>
        <v>0</v>
      </c>
      <c r="G135" s="119">
        <f>'Economic Variables'!D245</f>
        <v>7700.6307500000003</v>
      </c>
      <c r="H135">
        <f t="shared" ref="H135:H145" si="169">H123</f>
        <v>0</v>
      </c>
      <c r="I135" s="11">
        <f t="shared" si="139"/>
        <v>28</v>
      </c>
      <c r="J135">
        <f t="shared" si="141"/>
        <v>0</v>
      </c>
      <c r="K135" s="7">
        <f t="shared" ca="1" si="142"/>
        <v>129.10750000000002</v>
      </c>
      <c r="L135" s="7">
        <f t="shared" ca="1" si="143"/>
        <v>0</v>
      </c>
      <c r="M135">
        <f t="shared" si="145"/>
        <v>0.25</v>
      </c>
      <c r="N135" s="6">
        <f t="shared" si="153"/>
        <v>-12141897.0683104</v>
      </c>
      <c r="O135" s="6">
        <f t="shared" ca="1" si="154"/>
        <v>5850530.3172124</v>
      </c>
      <c r="P135" s="6">
        <f t="shared" ca="1" si="155"/>
        <v>0</v>
      </c>
      <c r="Q135" s="6">
        <f t="shared" si="156"/>
        <v>10789024.025255077</v>
      </c>
      <c r="R135" s="6">
        <f t="shared" si="157"/>
        <v>0</v>
      </c>
      <c r="S135" s="6">
        <f t="shared" si="158"/>
        <v>17364519.857995518</v>
      </c>
      <c r="T135" s="6">
        <f t="shared" si="159"/>
        <v>0</v>
      </c>
      <c r="U135" s="6">
        <f t="shared" ca="1" si="160"/>
        <v>471327.83495486865</v>
      </c>
      <c r="V135" s="6">
        <f t="shared" ca="1" si="161"/>
        <v>0</v>
      </c>
      <c r="W135" s="6">
        <f t="shared" ca="1" si="162"/>
        <v>22333504.967107464</v>
      </c>
    </row>
    <row r="136" spans="1:23">
      <c r="A136" s="20">
        <v>44986</v>
      </c>
      <c r="B136">
        <f t="shared" si="165"/>
        <v>3</v>
      </c>
      <c r="C136">
        <f t="shared" si="166"/>
        <v>2023</v>
      </c>
      <c r="E136" s="7">
        <f t="shared" ref="E136:F136" ca="1" si="170">E124</f>
        <v>412.32</v>
      </c>
      <c r="F136" s="7">
        <f t="shared" ca="1" si="170"/>
        <v>0.57842105263157961</v>
      </c>
      <c r="G136" s="119">
        <f>'Economic Variables'!D246</f>
        <v>7721.7725</v>
      </c>
      <c r="H136">
        <f t="shared" si="169"/>
        <v>0</v>
      </c>
      <c r="I136" s="11">
        <f t="shared" si="139"/>
        <v>31</v>
      </c>
      <c r="J136">
        <f t="shared" si="141"/>
        <v>1</v>
      </c>
      <c r="K136" s="7">
        <f t="shared" ca="1" si="142"/>
        <v>103.08</v>
      </c>
      <c r="L136" s="7">
        <f t="shared" ca="1" si="143"/>
        <v>0.1446052631578949</v>
      </c>
      <c r="M136">
        <f t="shared" si="145"/>
        <v>0.25</v>
      </c>
      <c r="N136" s="6">
        <f t="shared" si="153"/>
        <v>-12141897.0683104</v>
      </c>
      <c r="O136" s="6">
        <f t="shared" ca="1" si="154"/>
        <v>4671089.3255485091</v>
      </c>
      <c r="P136" s="6">
        <f t="shared" ca="1" si="155"/>
        <v>36451.33728747975</v>
      </c>
      <c r="Q136" s="6">
        <f t="shared" si="156"/>
        <v>10818644.825951947</v>
      </c>
      <c r="R136" s="6">
        <f t="shared" si="157"/>
        <v>0</v>
      </c>
      <c r="S136" s="6">
        <f t="shared" si="158"/>
        <v>19225004.128495038</v>
      </c>
      <c r="T136" s="6">
        <f t="shared" si="159"/>
        <v>-730615.53830697597</v>
      </c>
      <c r="U136" s="6">
        <f t="shared" ca="1" si="160"/>
        <v>376310.23160659027</v>
      </c>
      <c r="V136" s="6">
        <f t="shared" ca="1" si="161"/>
        <v>3582.3263129147504</v>
      </c>
      <c r="W136" s="6">
        <f t="shared" ca="1" si="162"/>
        <v>22258569.568585102</v>
      </c>
    </row>
    <row r="137" spans="1:23">
      <c r="A137" s="20">
        <v>45017</v>
      </c>
      <c r="B137">
        <f t="shared" si="165"/>
        <v>4</v>
      </c>
      <c r="C137">
        <f t="shared" si="166"/>
        <v>2023</v>
      </c>
      <c r="E137" s="7">
        <f t="shared" ref="E137:F137" ca="1" si="171">E125</f>
        <v>229.95</v>
      </c>
      <c r="F137" s="7">
        <f t="shared" ca="1" si="171"/>
        <v>1.3889473684210429</v>
      </c>
      <c r="G137" s="119">
        <f>'Economic Variables'!D247</f>
        <v>7803.0172250000005</v>
      </c>
      <c r="H137">
        <f t="shared" si="169"/>
        <v>0</v>
      </c>
      <c r="I137" s="11">
        <f t="shared" si="139"/>
        <v>30</v>
      </c>
      <c r="J137">
        <f t="shared" si="141"/>
        <v>1</v>
      </c>
      <c r="K137" s="7">
        <f t="shared" ca="1" si="142"/>
        <v>57.487499999999997</v>
      </c>
      <c r="L137" s="7">
        <f t="shared" ca="1" si="143"/>
        <v>0.34723684210526073</v>
      </c>
      <c r="M137">
        <f t="shared" si="145"/>
        <v>0.25</v>
      </c>
      <c r="N137" s="6">
        <f t="shared" si="153"/>
        <v>-12141897.0683104</v>
      </c>
      <c r="O137" s="6">
        <f t="shared" ca="1" si="154"/>
        <v>2605056.7287783269</v>
      </c>
      <c r="P137" s="6">
        <f t="shared" ca="1" si="155"/>
        <v>87529.644314520716</v>
      </c>
      <c r="Q137" s="6">
        <f t="shared" si="156"/>
        <v>10932473.331487061</v>
      </c>
      <c r="R137" s="6">
        <f t="shared" si="157"/>
        <v>0</v>
      </c>
      <c r="S137" s="6">
        <f t="shared" si="158"/>
        <v>18604842.7049952</v>
      </c>
      <c r="T137" s="6">
        <f t="shared" si="159"/>
        <v>-730615.53830697597</v>
      </c>
      <c r="U137" s="6">
        <f t="shared" ca="1" si="160"/>
        <v>209867.4276240188</v>
      </c>
      <c r="V137" s="6">
        <f t="shared" ca="1" si="161"/>
        <v>8602.1466240054124</v>
      </c>
      <c r="W137" s="6">
        <f t="shared" ca="1" si="162"/>
        <v>19575859.377205756</v>
      </c>
    </row>
    <row r="138" spans="1:23">
      <c r="A138" s="20">
        <v>45047</v>
      </c>
      <c r="B138">
        <f t="shared" si="165"/>
        <v>5</v>
      </c>
      <c r="C138">
        <f t="shared" si="166"/>
        <v>2023</v>
      </c>
      <c r="E138" s="7">
        <f t="shared" ref="E138:F138" ca="1" si="172">E126</f>
        <v>79.77000000000001</v>
      </c>
      <c r="F138" s="7">
        <f t="shared" ca="1" si="172"/>
        <v>52.065789473684617</v>
      </c>
      <c r="G138" s="119">
        <f>'Economic Variables'!D248</f>
        <v>7817.4137500000006</v>
      </c>
      <c r="H138">
        <f t="shared" si="169"/>
        <v>0</v>
      </c>
      <c r="I138" s="11">
        <f t="shared" si="139"/>
        <v>31</v>
      </c>
      <c r="J138">
        <f t="shared" si="141"/>
        <v>1</v>
      </c>
      <c r="K138" s="7">
        <f t="shared" ca="1" si="142"/>
        <v>19.942500000000003</v>
      </c>
      <c r="L138" s="7">
        <f t="shared" ca="1" si="143"/>
        <v>13.016447368421154</v>
      </c>
      <c r="M138">
        <f t="shared" si="145"/>
        <v>0.25</v>
      </c>
      <c r="N138" s="6">
        <f t="shared" si="153"/>
        <v>-12141897.0683104</v>
      </c>
      <c r="O138" s="6">
        <f t="shared" ca="1" si="154"/>
        <v>903698.08764795458</v>
      </c>
      <c r="P138" s="6">
        <f t="shared" ca="1" si="155"/>
        <v>3281117.871850735</v>
      </c>
      <c r="Q138" s="6">
        <f t="shared" si="156"/>
        <v>10952643.68624731</v>
      </c>
      <c r="R138" s="6">
        <f t="shared" si="157"/>
        <v>0</v>
      </c>
      <c r="S138" s="6">
        <f t="shared" si="158"/>
        <v>19225004.128495038</v>
      </c>
      <c r="T138" s="6">
        <f t="shared" si="159"/>
        <v>-730615.53830697597</v>
      </c>
      <c r="U138" s="6">
        <f t="shared" ca="1" si="160"/>
        <v>72803.325512363474</v>
      </c>
      <c r="V138" s="6">
        <f t="shared" ca="1" si="161"/>
        <v>322458.2625160091</v>
      </c>
      <c r="W138" s="6">
        <f t="shared" ca="1" si="162"/>
        <v>21885212.755652033</v>
      </c>
    </row>
    <row r="139" spans="1:23">
      <c r="A139" s="20">
        <v>45078</v>
      </c>
      <c r="B139">
        <f t="shared" si="165"/>
        <v>6</v>
      </c>
      <c r="C139">
        <f t="shared" si="166"/>
        <v>2023</v>
      </c>
      <c r="E139" s="7">
        <f t="shared" ref="E139:F139" ca="1" si="173">E127</f>
        <v>5.16</v>
      </c>
      <c r="F139" s="7">
        <f t="shared" ca="1" si="173"/>
        <v>106.52421052631576</v>
      </c>
      <c r="G139" s="119">
        <f>'Economic Variables'!D249</f>
        <v>7813.4874250000003</v>
      </c>
      <c r="H139">
        <f t="shared" si="169"/>
        <v>0</v>
      </c>
      <c r="I139" s="11">
        <f t="shared" si="139"/>
        <v>30</v>
      </c>
      <c r="J139">
        <f t="shared" si="141"/>
        <v>0</v>
      </c>
      <c r="K139" s="7">
        <f t="shared" ca="1" si="142"/>
        <v>1.29</v>
      </c>
      <c r="L139" s="7">
        <f t="shared" ca="1" si="143"/>
        <v>26.631052631578939</v>
      </c>
      <c r="M139">
        <f t="shared" si="145"/>
        <v>0.25</v>
      </c>
      <c r="N139" s="6">
        <f t="shared" si="153"/>
        <v>-12141897.0683104</v>
      </c>
      <c r="O139" s="6">
        <f t="shared" ca="1" si="154"/>
        <v>58456.589347667606</v>
      </c>
      <c r="P139" s="6">
        <f t="shared" ca="1" si="155"/>
        <v>6713016.2526266966</v>
      </c>
      <c r="Q139" s="6">
        <f t="shared" si="156"/>
        <v>10947142.680403605</v>
      </c>
      <c r="R139" s="6">
        <f t="shared" si="157"/>
        <v>0</v>
      </c>
      <c r="S139" s="6">
        <f t="shared" si="158"/>
        <v>18604842.7049952</v>
      </c>
      <c r="T139" s="6">
        <f t="shared" si="159"/>
        <v>0</v>
      </c>
      <c r="U139" s="6">
        <f t="shared" ca="1" si="160"/>
        <v>4709.3538879753733</v>
      </c>
      <c r="V139" s="6">
        <f t="shared" ca="1" si="161"/>
        <v>659734.77382046648</v>
      </c>
      <c r="W139" s="6">
        <f t="shared" ca="1" si="162"/>
        <v>24846005.286771212</v>
      </c>
    </row>
    <row r="140" spans="1:23">
      <c r="A140" s="20">
        <v>45108</v>
      </c>
      <c r="B140">
        <f t="shared" si="165"/>
        <v>7</v>
      </c>
      <c r="C140">
        <f t="shared" si="166"/>
        <v>2023</v>
      </c>
      <c r="E140" s="7">
        <f t="shared" ref="E140:F140" ca="1" si="174">E128</f>
        <v>0</v>
      </c>
      <c r="F140" s="7">
        <f t="shared" ca="1" si="174"/>
        <v>189.76052631578978</v>
      </c>
      <c r="G140" s="119">
        <f>'Economic Variables'!D250</f>
        <v>7808.7556999999997</v>
      </c>
      <c r="H140">
        <f t="shared" si="169"/>
        <v>0</v>
      </c>
      <c r="I140" s="11">
        <f t="shared" si="139"/>
        <v>31</v>
      </c>
      <c r="J140">
        <f t="shared" si="141"/>
        <v>0</v>
      </c>
      <c r="K140" s="7">
        <f t="shared" ca="1" si="142"/>
        <v>0</v>
      </c>
      <c r="L140" s="7">
        <f t="shared" ca="1" si="143"/>
        <v>47.440131578947444</v>
      </c>
      <c r="M140">
        <f t="shared" si="145"/>
        <v>0.25</v>
      </c>
      <c r="N140" s="6">
        <f t="shared" si="153"/>
        <v>-12141897.0683104</v>
      </c>
      <c r="O140" s="6">
        <f t="shared" ca="1" si="154"/>
        <v>0</v>
      </c>
      <c r="P140" s="6">
        <f t="shared" ca="1" si="155"/>
        <v>11958459.874717372</v>
      </c>
      <c r="Q140" s="6">
        <f t="shared" si="156"/>
        <v>10940513.263104782</v>
      </c>
      <c r="R140" s="6">
        <f t="shared" si="157"/>
        <v>0</v>
      </c>
      <c r="S140" s="6">
        <f t="shared" si="158"/>
        <v>19225004.128495038</v>
      </c>
      <c r="T140" s="6">
        <f t="shared" si="159"/>
        <v>0</v>
      </c>
      <c r="U140" s="6">
        <f t="shared" ca="1" si="160"/>
        <v>0</v>
      </c>
      <c r="V140" s="6">
        <f t="shared" ca="1" si="161"/>
        <v>1175240.9831572785</v>
      </c>
      <c r="W140" s="6">
        <f t="shared" ca="1" si="162"/>
        <v>31157321.181164067</v>
      </c>
    </row>
    <row r="141" spans="1:23">
      <c r="A141" s="20">
        <v>45139</v>
      </c>
      <c r="B141">
        <f t="shared" si="165"/>
        <v>8</v>
      </c>
      <c r="C141">
        <f t="shared" si="166"/>
        <v>2023</v>
      </c>
      <c r="E141" s="7">
        <f t="shared" ref="E141:F141" ca="1" si="175">E129</f>
        <v>8.0000000000000071E-2</v>
      </c>
      <c r="F141" s="7">
        <f t="shared" ca="1" si="175"/>
        <v>169.11894736842078</v>
      </c>
      <c r="G141" s="119">
        <f>'Economic Variables'!D251</f>
        <v>7798.7888750000002</v>
      </c>
      <c r="H141">
        <f t="shared" si="169"/>
        <v>0</v>
      </c>
      <c r="I141" s="11">
        <f t="shared" si="139"/>
        <v>31</v>
      </c>
      <c r="J141">
        <f t="shared" si="141"/>
        <v>0</v>
      </c>
      <c r="K141" s="7">
        <f t="shared" ca="1" si="142"/>
        <v>2.0000000000000018E-2</v>
      </c>
      <c r="L141" s="7">
        <f t="shared" ca="1" si="143"/>
        <v>42.279736842105194</v>
      </c>
      <c r="M141">
        <f t="shared" si="145"/>
        <v>0.25</v>
      </c>
      <c r="N141" s="6">
        <f t="shared" si="153"/>
        <v>-12141897.0683104</v>
      </c>
      <c r="O141" s="6">
        <f t="shared" ca="1" si="154"/>
        <v>906.30371081655289</v>
      </c>
      <c r="P141" s="6">
        <f t="shared" ca="1" si="155"/>
        <v>10657654.599851396</v>
      </c>
      <c r="Q141" s="6">
        <f t="shared" si="156"/>
        <v>10926549.171347687</v>
      </c>
      <c r="R141" s="6">
        <f t="shared" si="157"/>
        <v>0</v>
      </c>
      <c r="S141" s="6">
        <f t="shared" si="158"/>
        <v>19225004.128495038</v>
      </c>
      <c r="T141" s="6">
        <f t="shared" si="159"/>
        <v>0</v>
      </c>
      <c r="U141" s="6">
        <f t="shared" ca="1" si="160"/>
        <v>73.01323857326166</v>
      </c>
      <c r="V141" s="6">
        <f t="shared" ca="1" si="161"/>
        <v>1047401.8060269717</v>
      </c>
      <c r="W141" s="6">
        <f t="shared" ca="1" si="162"/>
        <v>29715691.954360083</v>
      </c>
    </row>
    <row r="142" spans="1:23">
      <c r="A142" s="20">
        <v>45170</v>
      </c>
      <c r="B142">
        <f t="shared" si="165"/>
        <v>9</v>
      </c>
      <c r="C142">
        <f t="shared" si="166"/>
        <v>2023</v>
      </c>
      <c r="E142" s="7">
        <f t="shared" ref="E142:F142" ca="1" si="176">E130</f>
        <v>12.280000000000001</v>
      </c>
      <c r="F142" s="7">
        <f t="shared" ca="1" si="176"/>
        <v>77.220526315789357</v>
      </c>
      <c r="G142" s="119">
        <f>'Economic Variables'!D252</f>
        <v>7790.9362250000004</v>
      </c>
      <c r="H142">
        <f t="shared" si="169"/>
        <v>0</v>
      </c>
      <c r="I142" s="11">
        <f t="shared" si="139"/>
        <v>30</v>
      </c>
      <c r="J142">
        <f t="shared" si="141"/>
        <v>1</v>
      </c>
      <c r="K142" s="7">
        <f t="shared" ca="1" si="142"/>
        <v>3.0700000000000003</v>
      </c>
      <c r="L142" s="7">
        <f t="shared" ca="1" si="143"/>
        <v>19.305131578947339</v>
      </c>
      <c r="M142">
        <f t="shared" si="145"/>
        <v>0.25</v>
      </c>
      <c r="N142" s="6">
        <f t="shared" si="153"/>
        <v>-12141897.0683104</v>
      </c>
      <c r="O142" s="6">
        <f t="shared" ca="1" si="154"/>
        <v>139117.61961034074</v>
      </c>
      <c r="P142" s="6">
        <f t="shared" ca="1" si="155"/>
        <v>4866336.4472081224</v>
      </c>
      <c r="Q142" s="6">
        <f t="shared" si="156"/>
        <v>10915547.159660278</v>
      </c>
      <c r="R142" s="6">
        <f t="shared" si="157"/>
        <v>0</v>
      </c>
      <c r="S142" s="6">
        <f t="shared" si="158"/>
        <v>18604842.7049952</v>
      </c>
      <c r="T142" s="6">
        <f t="shared" si="159"/>
        <v>-730615.53830697597</v>
      </c>
      <c r="U142" s="6">
        <f t="shared" ca="1" si="160"/>
        <v>11207.532120995656</v>
      </c>
      <c r="V142" s="6">
        <f t="shared" ca="1" si="161"/>
        <v>478248.71183306444</v>
      </c>
      <c r="W142" s="6">
        <f t="shared" ca="1" si="162"/>
        <v>22142787.568810623</v>
      </c>
    </row>
    <row r="143" spans="1:23">
      <c r="A143" s="20">
        <v>45200</v>
      </c>
      <c r="B143">
        <f t="shared" si="165"/>
        <v>10</v>
      </c>
      <c r="C143">
        <f t="shared" si="166"/>
        <v>2023</v>
      </c>
      <c r="E143" s="7">
        <f t="shared" ref="E143:F143" ca="1" si="177">E131</f>
        <v>111.21000000000001</v>
      </c>
      <c r="F143" s="7">
        <f t="shared" ca="1" si="177"/>
        <v>16.868947368421004</v>
      </c>
      <c r="G143" s="119">
        <f>'Economic Variables'!D253</f>
        <v>7783.6876250000005</v>
      </c>
      <c r="H143">
        <f t="shared" si="169"/>
        <v>0</v>
      </c>
      <c r="I143" s="11">
        <f t="shared" si="139"/>
        <v>31</v>
      </c>
      <c r="J143">
        <f t="shared" si="141"/>
        <v>1</v>
      </c>
      <c r="K143" s="7">
        <f t="shared" ca="1" si="142"/>
        <v>27.802500000000002</v>
      </c>
      <c r="L143" s="7">
        <f t="shared" ca="1" si="143"/>
        <v>4.2172368421052511</v>
      </c>
      <c r="M143">
        <f t="shared" si="145"/>
        <v>0.25</v>
      </c>
      <c r="N143" s="6">
        <f t="shared" si="153"/>
        <v>-12141897.0683104</v>
      </c>
      <c r="O143" s="6">
        <f t="shared" ca="1" si="154"/>
        <v>1259875.4459988596</v>
      </c>
      <c r="P143" s="6">
        <f t="shared" ca="1" si="155"/>
        <v>1063058.9730673418</v>
      </c>
      <c r="Q143" s="6">
        <f t="shared" si="156"/>
        <v>10905391.456564208</v>
      </c>
      <c r="R143" s="6">
        <f t="shared" si="157"/>
        <v>0</v>
      </c>
      <c r="S143" s="6">
        <f t="shared" si="158"/>
        <v>19225004.128495038</v>
      </c>
      <c r="T143" s="6">
        <f t="shared" si="159"/>
        <v>-730615.53830697597</v>
      </c>
      <c r="U143" s="6">
        <f t="shared" ca="1" si="160"/>
        <v>101497.52827165529</v>
      </c>
      <c r="V143" s="6">
        <f t="shared" ca="1" si="161"/>
        <v>104474.1953186808</v>
      </c>
      <c r="W143" s="6">
        <f t="shared" ca="1" si="162"/>
        <v>19786789.121098407</v>
      </c>
    </row>
    <row r="144" spans="1:23">
      <c r="A144" s="20">
        <v>45231</v>
      </c>
      <c r="B144">
        <f t="shared" si="165"/>
        <v>11</v>
      </c>
      <c r="C144">
        <f t="shared" si="166"/>
        <v>2023</v>
      </c>
      <c r="E144" s="7">
        <f t="shared" ref="E144:F144" ca="1" si="178">E132</f>
        <v>297.28000000000003</v>
      </c>
      <c r="F144" s="7">
        <f t="shared" ca="1" si="178"/>
        <v>1.2689473684210384</v>
      </c>
      <c r="G144" s="119">
        <f>'Economic Variables'!D254</f>
        <v>7789.1240749999997</v>
      </c>
      <c r="H144">
        <f t="shared" si="169"/>
        <v>0</v>
      </c>
      <c r="I144" s="11">
        <f t="shared" si="139"/>
        <v>30</v>
      </c>
      <c r="J144">
        <f t="shared" si="141"/>
        <v>0</v>
      </c>
      <c r="K144" s="7">
        <f t="shared" ca="1" si="142"/>
        <v>74.320000000000007</v>
      </c>
      <c r="L144" s="7">
        <f t="shared" ca="1" si="143"/>
        <v>0.3172368421052596</v>
      </c>
      <c r="M144">
        <f t="shared" si="145"/>
        <v>0.25</v>
      </c>
      <c r="N144" s="6">
        <f t="shared" si="153"/>
        <v>-12141897.0683104</v>
      </c>
      <c r="O144" s="6">
        <f t="shared" ca="1" si="154"/>
        <v>3367824.5893943077</v>
      </c>
      <c r="P144" s="6">
        <f t="shared" ca="1" si="155"/>
        <v>79967.401455971412</v>
      </c>
      <c r="Q144" s="6">
        <f t="shared" si="156"/>
        <v>10913008.233886259</v>
      </c>
      <c r="R144" s="6">
        <f t="shared" si="157"/>
        <v>0</v>
      </c>
      <c r="S144" s="6">
        <f t="shared" si="158"/>
        <v>18604842.7049952</v>
      </c>
      <c r="T144" s="6">
        <f t="shared" si="159"/>
        <v>0</v>
      </c>
      <c r="U144" s="6">
        <f t="shared" ca="1" si="160"/>
        <v>271317.19453824015</v>
      </c>
      <c r="V144" s="6">
        <f t="shared" ca="1" si="161"/>
        <v>7858.9524480776672</v>
      </c>
      <c r="W144" s="6">
        <f t="shared" ca="1" si="162"/>
        <v>21102922.008407656</v>
      </c>
    </row>
    <row r="145" spans="1:23">
      <c r="A145" s="20">
        <v>45261</v>
      </c>
      <c r="B145">
        <f t="shared" si="165"/>
        <v>12</v>
      </c>
      <c r="C145">
        <f t="shared" si="166"/>
        <v>2023</v>
      </c>
      <c r="E145" s="7">
        <f t="shared" ref="E145:F145" ca="1" si="179">E133</f>
        <v>440.25</v>
      </c>
      <c r="F145" s="7">
        <f t="shared" ca="1" si="179"/>
        <v>0</v>
      </c>
      <c r="G145" s="119">
        <f>'Economic Variables'!D255</f>
        <v>7813.286075</v>
      </c>
      <c r="H145">
        <f t="shared" si="169"/>
        <v>1</v>
      </c>
      <c r="I145" s="11">
        <f t="shared" si="139"/>
        <v>31</v>
      </c>
      <c r="J145">
        <f t="shared" si="141"/>
        <v>0</v>
      </c>
      <c r="K145" s="7">
        <f t="shared" ca="1" si="142"/>
        <v>110.0625</v>
      </c>
      <c r="L145" s="7">
        <f t="shared" ca="1" si="143"/>
        <v>0</v>
      </c>
      <c r="M145">
        <f t="shared" si="145"/>
        <v>0.25</v>
      </c>
      <c r="N145" s="6">
        <f t="shared" si="153"/>
        <v>-12141897.0683104</v>
      </c>
      <c r="O145" s="6">
        <f t="shared" ca="1" si="154"/>
        <v>4987502.6085873377</v>
      </c>
      <c r="P145" s="6">
        <f t="shared" ca="1" si="155"/>
        <v>0</v>
      </c>
      <c r="Q145" s="6">
        <f t="shared" si="156"/>
        <v>10946860.577539826</v>
      </c>
      <c r="R145" s="6">
        <f t="shared" si="157"/>
        <v>695677.72202584799</v>
      </c>
      <c r="S145" s="6">
        <f t="shared" si="158"/>
        <v>19225004.128495038</v>
      </c>
      <c r="T145" s="6">
        <f t="shared" si="159"/>
        <v>0</v>
      </c>
      <c r="U145" s="6">
        <f t="shared" ca="1" si="160"/>
        <v>401800.97852348024</v>
      </c>
      <c r="V145" s="6">
        <f t="shared" ca="1" si="161"/>
        <v>0</v>
      </c>
      <c r="W145" s="6">
        <f t="shared" ca="1" si="162"/>
        <v>24114948.946861129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U146"/>
  <sheetViews>
    <sheetView topLeftCell="E1" workbookViewId="0">
      <selection activeCell="Q2" sqref="Q2:U19"/>
    </sheetView>
  </sheetViews>
  <sheetFormatPr defaultRowHeight="15"/>
  <cols>
    <col min="1" max="1" width="12.28515625" customWidth="1"/>
    <col min="4" max="4" width="16.85546875" customWidth="1"/>
    <col min="10" max="12" width="13.28515625" bestFit="1" customWidth="1"/>
    <col min="13" max="13" width="12.140625" customWidth="1"/>
    <col min="14" max="14" width="12.140625" bestFit="1" customWidth="1"/>
    <col min="15" max="15" width="14.42578125" bestFit="1" customWidth="1"/>
    <col min="16" max="16" width="12.7109375" bestFit="1" customWidth="1"/>
    <col min="17" max="18" width="11.28515625" bestFit="1" customWidth="1"/>
  </cols>
  <sheetData>
    <row r="1" spans="1:21">
      <c r="A1" t="s">
        <v>0</v>
      </c>
      <c r="B1" t="s">
        <v>52</v>
      </c>
      <c r="C1" t="s">
        <v>53</v>
      </c>
      <c r="D1" t="str">
        <f>'Monthly Data'!J1</f>
        <v>GSlt50kWh_NoCDM</v>
      </c>
      <c r="E1" t="s">
        <v>179</v>
      </c>
      <c r="F1" t="s">
        <v>178</v>
      </c>
      <c r="G1" t="str">
        <f>'Monthly Data'!CI1</f>
        <v>COVID_AM</v>
      </c>
      <c r="H1" t="str">
        <f>'Monthly Data'!BA1</f>
        <v>Adj.Lnd_FTE</v>
      </c>
      <c r="J1" t="s">
        <v>85</v>
      </c>
      <c r="K1" t="str">
        <f>E1</f>
        <v>HDD14</v>
      </c>
      <c r="L1" t="str">
        <f>F1</f>
        <v>CDD16</v>
      </c>
      <c r="M1" t="str">
        <f t="shared" ref="M1:N1" si="0">G1</f>
        <v>COVID_AM</v>
      </c>
      <c r="N1" t="str">
        <f t="shared" si="0"/>
        <v>Adj.Lnd_FTE</v>
      </c>
      <c r="O1" t="s">
        <v>86</v>
      </c>
    </row>
    <row r="2" spans="1:21">
      <c r="A2" s="20">
        <f>'Monthly Data'!A2</f>
        <v>40909</v>
      </c>
      <c r="B2">
        <f t="shared" ref="B2:B60" si="1">MONTH(A2)</f>
        <v>1</v>
      </c>
      <c r="C2">
        <f t="shared" ref="C2:C60" si="2">YEAR(A2)</f>
        <v>2012</v>
      </c>
      <c r="D2" s="6">
        <f>'Monthly Data'!J2</f>
        <v>9715146.4363389518</v>
      </c>
      <c r="E2" s="91">
        <f ca="1">Weather!BO61</f>
        <v>564.86</v>
      </c>
      <c r="F2" s="91">
        <f ca="1">Weather!BG61</f>
        <v>0</v>
      </c>
      <c r="G2">
        <f>'Monthly Data'!CI2</f>
        <v>0</v>
      </c>
      <c r="H2">
        <f>'Monthly Data'!BA2</f>
        <v>234.6</v>
      </c>
      <c r="J2" s="6">
        <f>$R$7</f>
        <v>4665603.6585154198</v>
      </c>
      <c r="K2" s="6">
        <f ca="1">E2*$R$8</f>
        <v>2450428.8149502296</v>
      </c>
      <c r="L2" s="6">
        <f ca="1">F2*$R$9</f>
        <v>0</v>
      </c>
      <c r="M2" s="6">
        <f>G2*$R$10</f>
        <v>0</v>
      </c>
      <c r="N2" s="6">
        <f>H2*$R$11</f>
        <v>2360758.3738714801</v>
      </c>
      <c r="O2" s="6">
        <f ca="1">SUM(J2:N2)</f>
        <v>9476790.8473371305</v>
      </c>
      <c r="P2" s="6"/>
      <c r="Q2" t="s">
        <v>368</v>
      </c>
    </row>
    <row r="3" spans="1:21">
      <c r="A3" s="20">
        <f>'Monthly Data'!A3</f>
        <v>40940</v>
      </c>
      <c r="B3">
        <f t="shared" si="1"/>
        <v>2</v>
      </c>
      <c r="C3">
        <f t="shared" si="2"/>
        <v>2012</v>
      </c>
      <c r="D3" s="6">
        <f>'Monthly Data'!J3</f>
        <v>8758035.2273938507</v>
      </c>
      <c r="E3" s="91">
        <f ca="1">Weather!BO62</f>
        <v>516.43000000000006</v>
      </c>
      <c r="F3" s="91">
        <f ca="1">Weather!BG62</f>
        <v>0</v>
      </c>
      <c r="G3">
        <f>'Monthly Data'!CI3</f>
        <v>0</v>
      </c>
      <c r="H3">
        <f>'Monthly Data'!BA3</f>
        <v>232.7</v>
      </c>
      <c r="J3" s="6">
        <f t="shared" ref="J3:J66" si="3">$R$7</f>
        <v>4665603.6585154198</v>
      </c>
      <c r="K3" s="6">
        <f t="shared" ref="K3:K66" ca="1" si="4">E3*$R$8</f>
        <v>2240333.804667966</v>
      </c>
      <c r="L3" s="6">
        <f t="shared" ref="L3:L66" ca="1" si="5">F3*$R$9</f>
        <v>0</v>
      </c>
      <c r="M3" s="6">
        <f t="shared" ref="M3:M66" si="6">G3*$R$10</f>
        <v>0</v>
      </c>
      <c r="N3" s="6">
        <f t="shared" ref="N3:N66" si="7">H3*$R$11</f>
        <v>2341638.8473993749</v>
      </c>
      <c r="O3" s="6">
        <f t="shared" ref="O3:O66" ca="1" si="8">SUM(J3:N3)</f>
        <v>9247576.3105827607</v>
      </c>
      <c r="P3" s="6"/>
      <c r="Q3" t="s">
        <v>339</v>
      </c>
    </row>
    <row r="4" spans="1:21">
      <c r="A4" s="20">
        <f>'Monthly Data'!A4</f>
        <v>40969</v>
      </c>
      <c r="B4">
        <f t="shared" si="1"/>
        <v>3</v>
      </c>
      <c r="C4">
        <f t="shared" si="2"/>
        <v>2012</v>
      </c>
      <c r="D4" s="6">
        <f>'Monthly Data'!J4</f>
        <v>8522126.5363044497</v>
      </c>
      <c r="E4" s="91">
        <f ca="1">Weather!BO63</f>
        <v>412.32</v>
      </c>
      <c r="F4" s="91">
        <f ca="1">Weather!BG63</f>
        <v>0.57842105263157961</v>
      </c>
      <c r="G4">
        <f>'Monthly Data'!CI4</f>
        <v>0</v>
      </c>
      <c r="H4">
        <f>'Monthly Data'!BA4</f>
        <v>231.5</v>
      </c>
      <c r="J4" s="6">
        <f t="shared" si="3"/>
        <v>4665603.6585154198</v>
      </c>
      <c r="K4" s="6">
        <f t="shared" ca="1" si="4"/>
        <v>1788692.4352587874</v>
      </c>
      <c r="L4" s="6">
        <f t="shared" ca="1" si="5"/>
        <v>8686.5662254882136</v>
      </c>
      <c r="M4" s="6">
        <f t="shared" si="6"/>
        <v>0</v>
      </c>
      <c r="N4" s="6">
        <f t="shared" si="7"/>
        <v>2329563.3569959407</v>
      </c>
      <c r="O4" s="6">
        <f t="shared" ca="1" si="8"/>
        <v>8792546.0169956367</v>
      </c>
      <c r="P4" s="6"/>
      <c r="Q4" t="s">
        <v>372</v>
      </c>
    </row>
    <row r="5" spans="1:21">
      <c r="A5" s="20">
        <f>'Monthly Data'!A5</f>
        <v>41000</v>
      </c>
      <c r="B5">
        <f t="shared" si="1"/>
        <v>4</v>
      </c>
      <c r="C5">
        <f t="shared" si="2"/>
        <v>2012</v>
      </c>
      <c r="D5" s="6">
        <f>'Monthly Data'!J5</f>
        <v>7739075.6310959514</v>
      </c>
      <c r="E5" s="91">
        <f ca="1">Weather!BO64</f>
        <v>229.95</v>
      </c>
      <c r="F5" s="91">
        <f ca="1">Weather!BG64</f>
        <v>1.3889473684210429</v>
      </c>
      <c r="G5">
        <f>'Monthly Data'!CI5</f>
        <v>0</v>
      </c>
      <c r="H5">
        <f>'Monthly Data'!BA5</f>
        <v>236.5</v>
      </c>
      <c r="J5" s="6">
        <f t="shared" si="3"/>
        <v>4665603.6585154198</v>
      </c>
      <c r="K5" s="6">
        <f t="shared" ca="1" si="4"/>
        <v>997550.02301066683</v>
      </c>
      <c r="L5" s="6">
        <f t="shared" ca="1" si="5"/>
        <v>20858.824630630763</v>
      </c>
      <c r="M5" s="6">
        <f t="shared" si="6"/>
        <v>0</v>
      </c>
      <c r="N5" s="6">
        <f t="shared" si="7"/>
        <v>2379877.9003435848</v>
      </c>
      <c r="O5" s="6">
        <f t="shared" ca="1" si="8"/>
        <v>8063890.4065003023</v>
      </c>
      <c r="P5" s="6"/>
    </row>
    <row r="6" spans="1:21">
      <c r="A6" s="20">
        <f>'Monthly Data'!A6</f>
        <v>41030</v>
      </c>
      <c r="B6">
        <f t="shared" si="1"/>
        <v>5</v>
      </c>
      <c r="C6">
        <f t="shared" si="2"/>
        <v>2012</v>
      </c>
      <c r="D6" s="6">
        <f>'Monthly Data'!J6</f>
        <v>7942686.7721972512</v>
      </c>
      <c r="E6" s="91">
        <f ca="1">Weather!BO65</f>
        <v>79.77000000000001</v>
      </c>
      <c r="F6" s="91">
        <f ca="1">Weather!BG65</f>
        <v>52.065789473684617</v>
      </c>
      <c r="G6">
        <f>'Monthly Data'!CI6</f>
        <v>0</v>
      </c>
      <c r="H6">
        <f>'Monthly Data'!BA6</f>
        <v>242.2</v>
      </c>
      <c r="J6" s="6">
        <f t="shared" si="3"/>
        <v>4665603.6585154198</v>
      </c>
      <c r="K6" s="6">
        <f t="shared" ca="1" si="4"/>
        <v>346051.59963279369</v>
      </c>
      <c r="L6" s="6">
        <f t="shared" ca="1" si="5"/>
        <v>781909.5212524361</v>
      </c>
      <c r="M6" s="6">
        <f t="shared" si="6"/>
        <v>0</v>
      </c>
      <c r="N6" s="6">
        <f t="shared" si="7"/>
        <v>2437236.4797598994</v>
      </c>
      <c r="O6" s="6">
        <f t="shared" ca="1" si="8"/>
        <v>8230801.2591605503</v>
      </c>
      <c r="P6" s="6"/>
      <c r="R6" t="s">
        <v>89</v>
      </c>
      <c r="S6" t="s">
        <v>90</v>
      </c>
      <c r="T6" t="s">
        <v>91</v>
      </c>
      <c r="U6" t="s">
        <v>92</v>
      </c>
    </row>
    <row r="7" spans="1:21">
      <c r="A7" s="20">
        <f>'Monthly Data'!A7</f>
        <v>41061</v>
      </c>
      <c r="B7">
        <f t="shared" si="1"/>
        <v>6</v>
      </c>
      <c r="C7">
        <f t="shared" si="2"/>
        <v>2012</v>
      </c>
      <c r="D7" s="6">
        <f>'Monthly Data'!J7</f>
        <v>8944453.9506688509</v>
      </c>
      <c r="E7" s="91">
        <f ca="1">Weather!BO66</f>
        <v>5.16</v>
      </c>
      <c r="F7" s="91">
        <f ca="1">Weather!BG66</f>
        <v>106.52421052631576</v>
      </c>
      <c r="G7">
        <f>'Monthly Data'!CI7</f>
        <v>0</v>
      </c>
      <c r="H7">
        <f>'Monthly Data'!BA7</f>
        <v>246.2</v>
      </c>
      <c r="J7" s="6">
        <f t="shared" si="3"/>
        <v>4665603.6585154198</v>
      </c>
      <c r="K7" s="6">
        <f t="shared" ca="1" si="4"/>
        <v>22384.684143226968</v>
      </c>
      <c r="L7" s="6">
        <f t="shared" ca="1" si="5"/>
        <v>1599750.9169917288</v>
      </c>
      <c r="M7" s="6">
        <f t="shared" si="6"/>
        <v>0</v>
      </c>
      <c r="N7" s="6">
        <f t="shared" si="7"/>
        <v>2477488.114438015</v>
      </c>
      <c r="O7" s="6">
        <f t="shared" ca="1" si="8"/>
        <v>8765227.3740883917</v>
      </c>
      <c r="P7" s="6"/>
      <c r="Q7" t="s">
        <v>85</v>
      </c>
      <c r="R7" s="6">
        <v>4665603.6585154198</v>
      </c>
      <c r="S7" s="70">
        <v>470024.68424504402</v>
      </c>
      <c r="T7" s="85">
        <v>9.9262949689745295</v>
      </c>
      <c r="U7" s="240">
        <v>1.5404974761241601E-17</v>
      </c>
    </row>
    <row r="8" spans="1:21">
      <c r="A8" s="20">
        <f>'Monthly Data'!A8</f>
        <v>41091</v>
      </c>
      <c r="B8">
        <f t="shared" si="1"/>
        <v>7</v>
      </c>
      <c r="C8">
        <f t="shared" si="2"/>
        <v>2012</v>
      </c>
      <c r="D8" s="6">
        <f>'Monthly Data'!J8</f>
        <v>10398756.83768275</v>
      </c>
      <c r="E8" s="91">
        <f ca="1">Weather!BO67</f>
        <v>0</v>
      </c>
      <c r="F8" s="91">
        <f ca="1">Weather!BG67</f>
        <v>189.76052631578978</v>
      </c>
      <c r="G8">
        <f>'Monthly Data'!CI8</f>
        <v>0</v>
      </c>
      <c r="H8">
        <f>'Monthly Data'!BA8</f>
        <v>247.9</v>
      </c>
      <c r="J8" s="6">
        <f t="shared" si="3"/>
        <v>4665603.6585154198</v>
      </c>
      <c r="K8" s="6">
        <f t="shared" ca="1" si="4"/>
        <v>0</v>
      </c>
      <c r="L8" s="6">
        <f t="shared" ca="1" si="5"/>
        <v>2849770.7186247949</v>
      </c>
      <c r="M8" s="6">
        <f t="shared" si="6"/>
        <v>0</v>
      </c>
      <c r="N8" s="6">
        <f t="shared" si="7"/>
        <v>2494595.0591762145</v>
      </c>
      <c r="O8" s="6">
        <f t="shared" ca="1" si="8"/>
        <v>10009969.436316429</v>
      </c>
      <c r="P8" s="6"/>
      <c r="Q8" t="s">
        <v>179</v>
      </c>
      <c r="R8" s="6">
        <v>4338.1170820207299</v>
      </c>
      <c r="S8" s="70">
        <v>176.59538518840299</v>
      </c>
      <c r="T8" s="85">
        <v>24.565291314903501</v>
      </c>
      <c r="U8" s="240">
        <v>4.3990446231676102E-50</v>
      </c>
    </row>
    <row r="9" spans="1:21">
      <c r="A9" s="20">
        <f>'Monthly Data'!A9</f>
        <v>41122</v>
      </c>
      <c r="B9">
        <f t="shared" si="1"/>
        <v>8</v>
      </c>
      <c r="C9">
        <f t="shared" si="2"/>
        <v>2012</v>
      </c>
      <c r="D9" s="6">
        <f>'Monthly Data'!J9</f>
        <v>9361959.3423689511</v>
      </c>
      <c r="E9" s="91">
        <f ca="1">Weather!BO68</f>
        <v>8.0000000000000071E-2</v>
      </c>
      <c r="F9" s="91">
        <f ca="1">Weather!BG68</f>
        <v>169.11894736842078</v>
      </c>
      <c r="G9">
        <f>'Monthly Data'!CI9</f>
        <v>0</v>
      </c>
      <c r="H9">
        <f>'Monthly Data'!BA9</f>
        <v>248.9</v>
      </c>
      <c r="J9" s="6">
        <f t="shared" si="3"/>
        <v>4665603.6585154198</v>
      </c>
      <c r="K9" s="6">
        <f t="shared" ca="1" si="4"/>
        <v>347.0493665616587</v>
      </c>
      <c r="L9" s="6">
        <f t="shared" ca="1" si="5"/>
        <v>2539781.2365525188</v>
      </c>
      <c r="M9" s="6">
        <f t="shared" si="6"/>
        <v>0</v>
      </c>
      <c r="N9" s="6">
        <f t="shared" si="7"/>
        <v>2504657.9678457435</v>
      </c>
      <c r="O9" s="6">
        <f t="shared" ca="1" si="8"/>
        <v>9710389.9122802429</v>
      </c>
      <c r="P9" s="6"/>
      <c r="Q9" t="s">
        <v>178</v>
      </c>
      <c r="R9" s="6">
        <v>15017.7214089423</v>
      </c>
      <c r="S9" s="70">
        <v>569.71181371910495</v>
      </c>
      <c r="T9" s="85">
        <v>26.360207121045899</v>
      </c>
      <c r="U9" s="240">
        <v>2.4371155123999201E-53</v>
      </c>
    </row>
    <row r="10" spans="1:21">
      <c r="A10" s="20">
        <f>'Monthly Data'!A10</f>
        <v>41153</v>
      </c>
      <c r="B10">
        <f t="shared" si="1"/>
        <v>9</v>
      </c>
      <c r="C10">
        <f t="shared" si="2"/>
        <v>2012</v>
      </c>
      <c r="D10" s="6">
        <f>'Monthly Data'!J10</f>
        <v>7892744.2531334516</v>
      </c>
      <c r="E10" s="91">
        <f ca="1">Weather!BO69</f>
        <v>12.280000000000001</v>
      </c>
      <c r="F10" s="91">
        <f ca="1">Weather!BG69</f>
        <v>77.220526315789357</v>
      </c>
      <c r="G10">
        <f>'Monthly Data'!CI10</f>
        <v>0</v>
      </c>
      <c r="H10">
        <f>'Monthly Data'!BA10</f>
        <v>248.4</v>
      </c>
      <c r="J10" s="6">
        <f t="shared" si="3"/>
        <v>4665603.6585154198</v>
      </c>
      <c r="K10" s="6">
        <f t="shared" ca="1" si="4"/>
        <v>53272.07776721457</v>
      </c>
      <c r="L10" s="6">
        <f t="shared" ca="1" si="5"/>
        <v>1159676.351262422</v>
      </c>
      <c r="M10" s="6">
        <f t="shared" si="6"/>
        <v>0</v>
      </c>
      <c r="N10" s="6">
        <f t="shared" si="7"/>
        <v>2499626.5135109788</v>
      </c>
      <c r="O10" s="6">
        <f t="shared" ca="1" si="8"/>
        <v>8378178.6010560356</v>
      </c>
      <c r="P10" s="6"/>
      <c r="Q10" t="s">
        <v>279</v>
      </c>
      <c r="R10" s="6">
        <v>-1002482.05151127</v>
      </c>
      <c r="S10" s="70">
        <v>153332.34724462</v>
      </c>
      <c r="T10" s="85">
        <v>-6.5379684686621102</v>
      </c>
      <c r="U10" s="240">
        <v>1.3758468777363801E-9</v>
      </c>
    </row>
    <row r="11" spans="1:21">
      <c r="A11" s="20">
        <f>'Monthly Data'!A11</f>
        <v>41183</v>
      </c>
      <c r="B11">
        <f t="shared" si="1"/>
        <v>10</v>
      </c>
      <c r="C11">
        <f t="shared" si="2"/>
        <v>2012</v>
      </c>
      <c r="D11" s="6">
        <f>'Monthly Data'!J11</f>
        <v>7783049.2121892506</v>
      </c>
      <c r="E11" s="91">
        <f ca="1">Weather!BO70</f>
        <v>111.21000000000001</v>
      </c>
      <c r="F11" s="91">
        <f ca="1">Weather!BG70</f>
        <v>16.868947368421004</v>
      </c>
      <c r="G11">
        <f>'Monthly Data'!CI11</f>
        <v>0</v>
      </c>
      <c r="H11">
        <f>'Monthly Data'!BA11</f>
        <v>243.5</v>
      </c>
      <c r="J11" s="6">
        <f t="shared" si="3"/>
        <v>4665603.6585154198</v>
      </c>
      <c r="K11" s="6">
        <f t="shared" ca="1" si="4"/>
        <v>482442.00069152541</v>
      </c>
      <c r="L11" s="6">
        <f t="shared" ca="1" si="5"/>
        <v>253333.15204105698</v>
      </c>
      <c r="M11" s="6">
        <f t="shared" si="6"/>
        <v>0</v>
      </c>
      <c r="N11" s="6">
        <f t="shared" si="7"/>
        <v>2450318.2610302875</v>
      </c>
      <c r="O11" s="6">
        <f t="shared" ca="1" si="8"/>
        <v>7851697.0722782901</v>
      </c>
      <c r="P11" s="6"/>
      <c r="Q11" t="s">
        <v>340</v>
      </c>
      <c r="R11" s="6">
        <v>10062.908669528901</v>
      </c>
      <c r="S11" s="70">
        <v>1871.4602424908201</v>
      </c>
      <c r="T11" s="85">
        <v>5.3770357718824098</v>
      </c>
      <c r="U11" s="240">
        <v>3.5071847555944602E-7</v>
      </c>
    </row>
    <row r="12" spans="1:21">
      <c r="A12" s="20">
        <f>'Monthly Data'!A12</f>
        <v>41214</v>
      </c>
      <c r="B12">
        <f t="shared" si="1"/>
        <v>11</v>
      </c>
      <c r="C12">
        <f t="shared" si="2"/>
        <v>2012</v>
      </c>
      <c r="D12" s="6">
        <f>'Monthly Data'!J12</f>
        <v>8189402.8398290509</v>
      </c>
      <c r="E12" s="91">
        <f ca="1">Weather!BO71</f>
        <v>297.28000000000003</v>
      </c>
      <c r="F12" s="91">
        <f ca="1">Weather!BG71</f>
        <v>1.2689473684210384</v>
      </c>
      <c r="G12">
        <f>'Monthly Data'!CI12</f>
        <v>0</v>
      </c>
      <c r="H12">
        <f>'Monthly Data'!BA12</f>
        <v>241.1</v>
      </c>
      <c r="J12" s="6">
        <f t="shared" si="3"/>
        <v>4665603.6585154198</v>
      </c>
      <c r="K12" s="6">
        <f t="shared" ca="1" si="4"/>
        <v>1289635.4461431226</v>
      </c>
      <c r="L12" s="6">
        <f t="shared" ca="1" si="5"/>
        <v>19056.698061557621</v>
      </c>
      <c r="M12" s="6">
        <f t="shared" si="6"/>
        <v>0</v>
      </c>
      <c r="N12" s="6">
        <f t="shared" si="7"/>
        <v>2426167.280223418</v>
      </c>
      <c r="O12" s="6">
        <f t="shared" ca="1" si="8"/>
        <v>8400463.0829435177</v>
      </c>
      <c r="P12" s="6"/>
    </row>
    <row r="13" spans="1:21">
      <c r="A13" s="20">
        <f>'Monthly Data'!A13</f>
        <v>41244</v>
      </c>
      <c r="B13">
        <f t="shared" si="1"/>
        <v>12</v>
      </c>
      <c r="C13">
        <f t="shared" si="2"/>
        <v>2012</v>
      </c>
      <c r="D13" s="6">
        <f>'Monthly Data'!J13</f>
        <v>9020722.2922806516</v>
      </c>
      <c r="E13" s="91">
        <f ca="1">Weather!BO72</f>
        <v>440.25</v>
      </c>
      <c r="F13" s="91">
        <f ca="1">Weather!BG72</f>
        <v>0</v>
      </c>
      <c r="G13">
        <f>'Monthly Data'!CI13</f>
        <v>0</v>
      </c>
      <c r="H13">
        <f>'Monthly Data'!BA13</f>
        <v>239.7</v>
      </c>
      <c r="J13" s="6">
        <f t="shared" si="3"/>
        <v>4665603.6585154198</v>
      </c>
      <c r="K13" s="6">
        <f t="shared" ca="1" si="4"/>
        <v>1909856.0453596264</v>
      </c>
      <c r="L13" s="6">
        <f t="shared" ca="1" si="5"/>
        <v>0</v>
      </c>
      <c r="M13" s="6">
        <f t="shared" si="6"/>
        <v>0</v>
      </c>
      <c r="N13" s="6">
        <f t="shared" si="7"/>
        <v>2412079.2080860776</v>
      </c>
      <c r="O13" s="6">
        <f t="shared" ca="1" si="8"/>
        <v>8987538.9119611233</v>
      </c>
      <c r="P13" s="6"/>
      <c r="Q13" t="s">
        <v>190</v>
      </c>
    </row>
    <row r="14" spans="1:21">
      <c r="A14" s="20">
        <f>'Monthly Data'!A14</f>
        <v>41275</v>
      </c>
      <c r="B14">
        <f t="shared" si="1"/>
        <v>1</v>
      </c>
      <c r="C14">
        <f t="shared" si="2"/>
        <v>2013</v>
      </c>
      <c r="D14" s="6">
        <f>'Monthly Data'!J14</f>
        <v>9534040.4083122835</v>
      </c>
      <c r="E14" s="6">
        <f ca="1">E2</f>
        <v>564.86</v>
      </c>
      <c r="F14" s="6">
        <f ca="1">F2</f>
        <v>0</v>
      </c>
      <c r="G14">
        <f>'Monthly Data'!CI14</f>
        <v>0</v>
      </c>
      <c r="H14">
        <f>'Monthly Data'!BA14</f>
        <v>240.7</v>
      </c>
      <c r="J14" s="6">
        <f t="shared" si="3"/>
        <v>4665603.6585154198</v>
      </c>
      <c r="K14" s="6">
        <f t="shared" ca="1" si="4"/>
        <v>2450428.8149502296</v>
      </c>
      <c r="L14" s="6">
        <f t="shared" ca="1" si="5"/>
        <v>0</v>
      </c>
      <c r="M14" s="6">
        <f t="shared" si="6"/>
        <v>0</v>
      </c>
      <c r="N14" s="6">
        <f t="shared" si="7"/>
        <v>2422142.1167556061</v>
      </c>
      <c r="O14" s="6">
        <f t="shared" ca="1" si="8"/>
        <v>9538174.590221256</v>
      </c>
      <c r="P14" s="6"/>
      <c r="Q14" t="s">
        <v>94</v>
      </c>
      <c r="R14" s="6">
        <v>8777023.6121904608</v>
      </c>
      <c r="S14" t="s">
        <v>95</v>
      </c>
      <c r="T14" s="6">
        <v>796413.38200194505</v>
      </c>
    </row>
    <row r="15" spans="1:21">
      <c r="A15" s="20">
        <f>'Monthly Data'!A15</f>
        <v>41306</v>
      </c>
      <c r="B15">
        <f t="shared" si="1"/>
        <v>2</v>
      </c>
      <c r="C15">
        <f t="shared" si="2"/>
        <v>2013</v>
      </c>
      <c r="D15" s="6">
        <f>'Monthly Data'!J15</f>
        <v>9006643.9426317848</v>
      </c>
      <c r="E15" s="6">
        <f t="shared" ref="E15:E46" ca="1" si="9">E3</f>
        <v>516.43000000000006</v>
      </c>
      <c r="F15" s="6">
        <f t="shared" ref="F15" ca="1" si="10">F3</f>
        <v>0</v>
      </c>
      <c r="G15">
        <f>'Monthly Data'!CI15</f>
        <v>0</v>
      </c>
      <c r="H15">
        <f>'Monthly Data'!BA15</f>
        <v>237.8</v>
      </c>
      <c r="J15" s="6">
        <f t="shared" si="3"/>
        <v>4665603.6585154198</v>
      </c>
      <c r="K15" s="6">
        <f t="shared" ca="1" si="4"/>
        <v>2240333.804667966</v>
      </c>
      <c r="L15" s="6">
        <f t="shared" ca="1" si="5"/>
        <v>0</v>
      </c>
      <c r="M15" s="6">
        <f t="shared" si="6"/>
        <v>0</v>
      </c>
      <c r="N15" s="6">
        <f t="shared" si="7"/>
        <v>2392959.6816139729</v>
      </c>
      <c r="O15" s="6">
        <f t="shared" ca="1" si="8"/>
        <v>9298897.1447973587</v>
      </c>
      <c r="P15" s="6"/>
      <c r="Q15" t="s">
        <v>96</v>
      </c>
      <c r="R15" s="241">
        <v>9322619662025</v>
      </c>
      <c r="S15" t="s">
        <v>97</v>
      </c>
      <c r="T15" s="6">
        <v>270936.25455389498</v>
      </c>
    </row>
    <row r="16" spans="1:21">
      <c r="A16" s="20">
        <f>'Monthly Data'!A16</f>
        <v>41334</v>
      </c>
      <c r="B16">
        <f t="shared" si="1"/>
        <v>3</v>
      </c>
      <c r="C16">
        <f t="shared" si="2"/>
        <v>2013</v>
      </c>
      <c r="D16" s="6">
        <f>'Monthly Data'!J16</f>
        <v>9257804.8367192838</v>
      </c>
      <c r="E16" s="6">
        <f t="shared" ca="1" si="9"/>
        <v>412.32</v>
      </c>
      <c r="F16" s="6">
        <f t="shared" ref="F16" ca="1" si="11">F4</f>
        <v>0.57842105263157961</v>
      </c>
      <c r="G16">
        <f>'Monthly Data'!CI16</f>
        <v>0</v>
      </c>
      <c r="H16">
        <f>'Monthly Data'!BA16</f>
        <v>236.6</v>
      </c>
      <c r="J16" s="6">
        <f t="shared" si="3"/>
        <v>4665603.6585154198</v>
      </c>
      <c r="K16" s="6">
        <f t="shared" ca="1" si="4"/>
        <v>1788692.4352587874</v>
      </c>
      <c r="L16" s="6">
        <f t="shared" ca="1" si="5"/>
        <v>8686.5662254882136</v>
      </c>
      <c r="M16" s="6">
        <f t="shared" si="6"/>
        <v>0</v>
      </c>
      <c r="N16" s="6">
        <f t="shared" si="7"/>
        <v>2380884.1912105377</v>
      </c>
      <c r="O16" s="6">
        <f t="shared" ca="1" si="8"/>
        <v>8843866.8512102328</v>
      </c>
      <c r="P16" s="6"/>
      <c r="Q16" t="s">
        <v>98</v>
      </c>
      <c r="R16" s="242">
        <v>0.88780200277797805</v>
      </c>
      <c r="S16" t="s">
        <v>99</v>
      </c>
      <c r="T16" s="120">
        <v>0.884268207589883</v>
      </c>
    </row>
    <row r="17" spans="1:20">
      <c r="A17" s="20">
        <f>'Monthly Data'!A17</f>
        <v>41365</v>
      </c>
      <c r="B17">
        <f t="shared" si="1"/>
        <v>4</v>
      </c>
      <c r="C17">
        <f t="shared" si="2"/>
        <v>2013</v>
      </c>
      <c r="D17" s="6">
        <f>'Monthly Data'!J17</f>
        <v>8125918.1034470843</v>
      </c>
      <c r="E17" s="6">
        <f t="shared" ca="1" si="9"/>
        <v>229.95</v>
      </c>
      <c r="F17" s="6">
        <f t="shared" ref="F17" ca="1" si="12">F5</f>
        <v>1.3889473684210429</v>
      </c>
      <c r="G17">
        <f>'Monthly Data'!CI17</f>
        <v>0</v>
      </c>
      <c r="H17">
        <f>'Monthly Data'!BA17</f>
        <v>237</v>
      </c>
      <c r="J17" s="6">
        <f t="shared" si="3"/>
        <v>4665603.6585154198</v>
      </c>
      <c r="K17" s="6">
        <f t="shared" ca="1" si="4"/>
        <v>997550.02301066683</v>
      </c>
      <c r="L17" s="6">
        <f t="shared" ca="1" si="5"/>
        <v>20858.824630630763</v>
      </c>
      <c r="M17" s="6">
        <f t="shared" si="6"/>
        <v>0</v>
      </c>
      <c r="N17" s="6">
        <f t="shared" si="7"/>
        <v>2384909.3546783496</v>
      </c>
      <c r="O17" s="6">
        <f t="shared" ca="1" si="8"/>
        <v>8068921.860835067</v>
      </c>
      <c r="P17" s="6"/>
      <c r="Q17" t="s">
        <v>373</v>
      </c>
      <c r="R17" s="244">
        <v>235.27391675169301</v>
      </c>
      <c r="S17" t="s">
        <v>100</v>
      </c>
      <c r="T17" s="120">
        <v>1.0722167344964801E-57</v>
      </c>
    </row>
    <row r="18" spans="1:20">
      <c r="A18" s="20">
        <f>'Monthly Data'!A18</f>
        <v>41395</v>
      </c>
      <c r="B18">
        <f t="shared" si="1"/>
        <v>5</v>
      </c>
      <c r="C18">
        <f t="shared" si="2"/>
        <v>2013</v>
      </c>
      <c r="D18" s="6">
        <f>'Monthly Data'!J18</f>
        <v>8062929.2464828845</v>
      </c>
      <c r="E18" s="6">
        <f t="shared" ca="1" si="9"/>
        <v>79.77000000000001</v>
      </c>
      <c r="F18" s="6">
        <f t="shared" ref="F18" ca="1" si="13">F6</f>
        <v>52.065789473684617</v>
      </c>
      <c r="G18">
        <f>'Monthly Data'!CI18</f>
        <v>0</v>
      </c>
      <c r="H18">
        <f>'Monthly Data'!BA18</f>
        <v>239.1</v>
      </c>
      <c r="J18" s="6">
        <f t="shared" si="3"/>
        <v>4665603.6585154198</v>
      </c>
      <c r="K18" s="6">
        <f t="shared" ca="1" si="4"/>
        <v>346051.59963279369</v>
      </c>
      <c r="L18" s="6">
        <f t="shared" ca="1" si="5"/>
        <v>781909.5212524361</v>
      </c>
      <c r="M18" s="6">
        <f t="shared" si="6"/>
        <v>0</v>
      </c>
      <c r="N18" s="6">
        <f t="shared" si="7"/>
        <v>2406041.46288436</v>
      </c>
      <c r="O18" s="6">
        <f t="shared" ca="1" si="8"/>
        <v>8199606.2422850104</v>
      </c>
      <c r="P18" s="6"/>
      <c r="Q18" t="s">
        <v>101</v>
      </c>
      <c r="R18" s="243">
        <v>-4.7596453694323498E-2</v>
      </c>
      <c r="S18" t="s">
        <v>102</v>
      </c>
      <c r="T18" s="120">
        <v>2.05797896205888</v>
      </c>
    </row>
    <row r="19" spans="1:20">
      <c r="A19" s="20">
        <f>'Monthly Data'!A19</f>
        <v>41426</v>
      </c>
      <c r="B19">
        <f t="shared" si="1"/>
        <v>6</v>
      </c>
      <c r="C19">
        <f t="shared" si="2"/>
        <v>2013</v>
      </c>
      <c r="D19" s="6">
        <f>'Monthly Data'!J19</f>
        <v>8348247.6178910844</v>
      </c>
      <c r="E19" s="6">
        <f t="shared" ca="1" si="9"/>
        <v>5.16</v>
      </c>
      <c r="F19" s="6">
        <f t="shared" ref="F19" ca="1" si="14">F7</f>
        <v>106.52421052631576</v>
      </c>
      <c r="G19">
        <f>'Monthly Data'!CI19</f>
        <v>0</v>
      </c>
      <c r="H19">
        <f>'Monthly Data'!BA19</f>
        <v>241.8</v>
      </c>
      <c r="J19" s="6">
        <f t="shared" si="3"/>
        <v>4665603.6585154198</v>
      </c>
      <c r="K19" s="6">
        <f t="shared" ca="1" si="4"/>
        <v>22384.684143226968</v>
      </c>
      <c r="L19" s="6">
        <f t="shared" ca="1" si="5"/>
        <v>1599750.9169917288</v>
      </c>
      <c r="M19" s="6">
        <f t="shared" si="6"/>
        <v>0</v>
      </c>
      <c r="N19" s="6">
        <f t="shared" si="7"/>
        <v>2433211.3162920885</v>
      </c>
      <c r="O19" s="6">
        <f t="shared" ca="1" si="8"/>
        <v>8720950.5759424642</v>
      </c>
      <c r="P19" s="6"/>
    </row>
    <row r="20" spans="1:20">
      <c r="A20" s="20">
        <f>'Monthly Data'!A20</f>
        <v>41456</v>
      </c>
      <c r="B20">
        <f t="shared" si="1"/>
        <v>7</v>
      </c>
      <c r="C20">
        <f t="shared" si="2"/>
        <v>2013</v>
      </c>
      <c r="D20" s="6">
        <f>'Monthly Data'!J20</f>
        <v>9941815.5495547839</v>
      </c>
      <c r="E20" s="6">
        <f t="shared" ca="1" si="9"/>
        <v>0</v>
      </c>
      <c r="F20" s="6">
        <f t="shared" ref="F20" ca="1" si="15">F8</f>
        <v>189.76052631578978</v>
      </c>
      <c r="G20">
        <f>'Monthly Data'!CI20</f>
        <v>0</v>
      </c>
      <c r="H20">
        <f>'Monthly Data'!BA20</f>
        <v>241.8</v>
      </c>
      <c r="J20" s="6">
        <f t="shared" si="3"/>
        <v>4665603.6585154198</v>
      </c>
      <c r="K20" s="6">
        <f t="shared" ca="1" si="4"/>
        <v>0</v>
      </c>
      <c r="L20" s="6">
        <f t="shared" ca="1" si="5"/>
        <v>2849770.7186247949</v>
      </c>
      <c r="M20" s="6">
        <f t="shared" si="6"/>
        <v>0</v>
      </c>
      <c r="N20" s="6">
        <f t="shared" si="7"/>
        <v>2433211.3162920885</v>
      </c>
      <c r="O20" s="6">
        <f t="shared" ca="1" si="8"/>
        <v>9948585.6934323031</v>
      </c>
      <c r="P20" s="6"/>
      <c r="Q20" s="15"/>
    </row>
    <row r="21" spans="1:20">
      <c r="A21" s="20">
        <f>'Monthly Data'!A21</f>
        <v>41487</v>
      </c>
      <c r="B21">
        <f t="shared" si="1"/>
        <v>8</v>
      </c>
      <c r="C21">
        <f t="shared" si="2"/>
        <v>2013</v>
      </c>
      <c r="D21" s="6">
        <f>'Monthly Data'!J21</f>
        <v>9130044.4114049841</v>
      </c>
      <c r="E21" s="6">
        <f t="shared" ca="1" si="9"/>
        <v>8.0000000000000071E-2</v>
      </c>
      <c r="F21" s="6">
        <f t="shared" ref="F21" ca="1" si="16">F9</f>
        <v>169.11894736842078</v>
      </c>
      <c r="G21">
        <f>'Monthly Data'!CI21</f>
        <v>0</v>
      </c>
      <c r="H21">
        <f>'Monthly Data'!BA21</f>
        <v>240.8</v>
      </c>
      <c r="J21" s="6">
        <f t="shared" si="3"/>
        <v>4665603.6585154198</v>
      </c>
      <c r="K21" s="6">
        <f t="shared" ca="1" si="4"/>
        <v>347.0493665616587</v>
      </c>
      <c r="L21" s="6">
        <f t="shared" ca="1" si="5"/>
        <v>2539781.2365525188</v>
      </c>
      <c r="M21" s="6">
        <f t="shared" si="6"/>
        <v>0</v>
      </c>
      <c r="N21" s="6">
        <f t="shared" si="7"/>
        <v>2423148.4076225595</v>
      </c>
      <c r="O21" s="6">
        <f t="shared" ca="1" si="8"/>
        <v>9628880.3520570602</v>
      </c>
      <c r="P21" s="6"/>
      <c r="Q21" s="15"/>
    </row>
    <row r="22" spans="1:20">
      <c r="A22" s="20">
        <f>'Monthly Data'!A22</f>
        <v>41518</v>
      </c>
      <c r="B22">
        <f t="shared" si="1"/>
        <v>9</v>
      </c>
      <c r="C22">
        <f t="shared" si="2"/>
        <v>2013</v>
      </c>
      <c r="D22" s="6">
        <f>'Monthly Data'!J22</f>
        <v>7742147.1490493836</v>
      </c>
      <c r="E22" s="6">
        <f t="shared" ca="1" si="9"/>
        <v>12.280000000000001</v>
      </c>
      <c r="F22" s="6">
        <f t="shared" ref="F22" ca="1" si="17">F10</f>
        <v>77.220526315789357</v>
      </c>
      <c r="G22">
        <f>'Monthly Data'!CI22</f>
        <v>0</v>
      </c>
      <c r="H22">
        <f>'Monthly Data'!BA22</f>
        <v>238.6</v>
      </c>
      <c r="J22" s="6">
        <f t="shared" si="3"/>
        <v>4665603.6585154198</v>
      </c>
      <c r="K22" s="6">
        <f t="shared" ca="1" si="4"/>
        <v>53272.07776721457</v>
      </c>
      <c r="L22" s="6">
        <f t="shared" ca="1" si="5"/>
        <v>1159676.351262422</v>
      </c>
      <c r="M22" s="6">
        <f t="shared" si="6"/>
        <v>0</v>
      </c>
      <c r="N22" s="6">
        <f t="shared" si="7"/>
        <v>2401010.0085495957</v>
      </c>
      <c r="O22" s="6">
        <f t="shared" ca="1" si="8"/>
        <v>8279562.096094653</v>
      </c>
      <c r="P22" s="6"/>
      <c r="Q22" s="15"/>
    </row>
    <row r="23" spans="1:20">
      <c r="A23" s="20">
        <f>'Monthly Data'!A23</f>
        <v>41548</v>
      </c>
      <c r="B23">
        <f t="shared" si="1"/>
        <v>10</v>
      </c>
      <c r="C23">
        <f t="shared" si="2"/>
        <v>2013</v>
      </c>
      <c r="D23" s="6">
        <f>'Monthly Data'!J23</f>
        <v>7764874.1227563843</v>
      </c>
      <c r="E23" s="6">
        <f t="shared" ca="1" si="9"/>
        <v>111.21000000000001</v>
      </c>
      <c r="F23" s="6">
        <f t="shared" ref="F23" ca="1" si="18">F11</f>
        <v>16.868947368421004</v>
      </c>
      <c r="G23">
        <f>'Monthly Data'!CI23</f>
        <v>0</v>
      </c>
      <c r="H23">
        <f>'Monthly Data'!BA23</f>
        <v>237.6</v>
      </c>
      <c r="J23" s="6">
        <f t="shared" si="3"/>
        <v>4665603.6585154198</v>
      </c>
      <c r="K23" s="6">
        <f t="shared" ca="1" si="4"/>
        <v>482442.00069152541</v>
      </c>
      <c r="L23" s="6">
        <f t="shared" ca="1" si="5"/>
        <v>253333.15204105698</v>
      </c>
      <c r="M23" s="6">
        <f t="shared" si="6"/>
        <v>0</v>
      </c>
      <c r="N23" s="6">
        <f t="shared" si="7"/>
        <v>2390947.0998800667</v>
      </c>
      <c r="O23" s="6">
        <f t="shared" ca="1" si="8"/>
        <v>7792325.9111280693</v>
      </c>
      <c r="P23" s="6"/>
      <c r="Q23" s="15"/>
    </row>
    <row r="24" spans="1:20">
      <c r="A24" s="20">
        <f>'Monthly Data'!A24</f>
        <v>41579</v>
      </c>
      <c r="B24">
        <f t="shared" si="1"/>
        <v>11</v>
      </c>
      <c r="C24">
        <f t="shared" si="2"/>
        <v>2013</v>
      </c>
      <c r="D24" s="6">
        <f>'Monthly Data'!J24</f>
        <v>8442140.3708957825</v>
      </c>
      <c r="E24" s="6">
        <f t="shared" ca="1" si="9"/>
        <v>297.28000000000003</v>
      </c>
      <c r="F24" s="6">
        <f t="shared" ref="F24" ca="1" si="19">F12</f>
        <v>1.2689473684210384</v>
      </c>
      <c r="G24">
        <f>'Monthly Data'!CI24</f>
        <v>0</v>
      </c>
      <c r="H24">
        <f>'Monthly Data'!BA24</f>
        <v>236.7</v>
      </c>
      <c r="J24" s="6">
        <f t="shared" si="3"/>
        <v>4665603.6585154198</v>
      </c>
      <c r="K24" s="6">
        <f t="shared" ca="1" si="4"/>
        <v>1289635.4461431226</v>
      </c>
      <c r="L24" s="6">
        <f t="shared" ca="1" si="5"/>
        <v>19056.698061557621</v>
      </c>
      <c r="M24" s="6">
        <f t="shared" si="6"/>
        <v>0</v>
      </c>
      <c r="N24" s="6">
        <f t="shared" si="7"/>
        <v>2381890.4820774905</v>
      </c>
      <c r="O24" s="6">
        <f t="shared" ca="1" si="8"/>
        <v>8356186.2847975902</v>
      </c>
      <c r="P24" s="6"/>
      <c r="Q24" s="15"/>
    </row>
    <row r="25" spans="1:20">
      <c r="A25" s="20">
        <f>'Monthly Data'!A25</f>
        <v>41609</v>
      </c>
      <c r="B25">
        <f t="shared" si="1"/>
        <v>12</v>
      </c>
      <c r="C25">
        <f t="shared" si="2"/>
        <v>2013</v>
      </c>
      <c r="D25" s="6">
        <f>'Monthly Data'!J25</f>
        <v>9615887.6118512843</v>
      </c>
      <c r="E25" s="6">
        <f t="shared" ca="1" si="9"/>
        <v>440.25</v>
      </c>
      <c r="F25" s="6">
        <f t="shared" ref="F25" ca="1" si="20">F13</f>
        <v>0</v>
      </c>
      <c r="G25">
        <f>'Monthly Data'!CI25</f>
        <v>0</v>
      </c>
      <c r="H25">
        <f>'Monthly Data'!BA25</f>
        <v>236.2</v>
      </c>
      <c r="J25" s="6">
        <f t="shared" si="3"/>
        <v>4665603.6585154198</v>
      </c>
      <c r="K25" s="6">
        <f t="shared" ca="1" si="4"/>
        <v>1909856.0453596264</v>
      </c>
      <c r="L25" s="6">
        <f t="shared" ca="1" si="5"/>
        <v>0</v>
      </c>
      <c r="M25" s="6">
        <f t="shared" si="6"/>
        <v>0</v>
      </c>
      <c r="N25" s="6">
        <f t="shared" si="7"/>
        <v>2376859.0277427263</v>
      </c>
      <c r="O25" s="6">
        <f t="shared" ca="1" si="8"/>
        <v>8952318.731617773</v>
      </c>
      <c r="P25" s="6"/>
      <c r="Q25" s="15"/>
    </row>
    <row r="26" spans="1:20">
      <c r="A26" s="20">
        <f>'Monthly Data'!A26</f>
        <v>41640</v>
      </c>
      <c r="B26">
        <f t="shared" si="1"/>
        <v>1</v>
      </c>
      <c r="C26">
        <f t="shared" si="2"/>
        <v>2014</v>
      </c>
      <c r="D26" s="6">
        <f>'Monthly Data'!J26</f>
        <v>10330036.572259538</v>
      </c>
      <c r="E26" s="6">
        <f t="shared" ca="1" si="9"/>
        <v>564.86</v>
      </c>
      <c r="F26" s="6">
        <f t="shared" ref="F26" ca="1" si="21">F14</f>
        <v>0</v>
      </c>
      <c r="G26">
        <f>'Monthly Data'!CI26</f>
        <v>0</v>
      </c>
      <c r="H26">
        <f>'Monthly Data'!BA26</f>
        <v>233.3</v>
      </c>
      <c r="J26" s="6">
        <f t="shared" si="3"/>
        <v>4665603.6585154198</v>
      </c>
      <c r="K26" s="6">
        <f t="shared" ca="1" si="4"/>
        <v>2450428.8149502296</v>
      </c>
      <c r="L26" s="6">
        <f t="shared" ca="1" si="5"/>
        <v>0</v>
      </c>
      <c r="M26" s="6">
        <f t="shared" si="6"/>
        <v>0</v>
      </c>
      <c r="N26" s="6">
        <f t="shared" si="7"/>
        <v>2347676.5926010925</v>
      </c>
      <c r="O26" s="6">
        <f t="shared" ca="1" si="8"/>
        <v>9463709.0660667419</v>
      </c>
      <c r="P26" s="6"/>
      <c r="Q26" s="15"/>
    </row>
    <row r="27" spans="1:20">
      <c r="A27" s="20">
        <f>'Monthly Data'!A27</f>
        <v>41671</v>
      </c>
      <c r="B27">
        <f t="shared" si="1"/>
        <v>2</v>
      </c>
      <c r="C27">
        <f t="shared" si="2"/>
        <v>2014</v>
      </c>
      <c r="D27" s="6">
        <f>'Monthly Data'!J27</f>
        <v>9342848.3845273387</v>
      </c>
      <c r="E27" s="6">
        <f t="shared" ca="1" si="9"/>
        <v>516.43000000000006</v>
      </c>
      <c r="F27" s="6">
        <f t="shared" ref="F27" ca="1" si="22">F15</f>
        <v>0</v>
      </c>
      <c r="G27">
        <f>'Monthly Data'!CI27</f>
        <v>0</v>
      </c>
      <c r="H27">
        <f>'Monthly Data'!BA27</f>
        <v>231.5</v>
      </c>
      <c r="J27" s="6">
        <f t="shared" si="3"/>
        <v>4665603.6585154198</v>
      </c>
      <c r="K27" s="6">
        <f t="shared" ca="1" si="4"/>
        <v>2240333.804667966</v>
      </c>
      <c r="L27" s="6">
        <f t="shared" ca="1" si="5"/>
        <v>0</v>
      </c>
      <c r="M27" s="6">
        <f t="shared" si="6"/>
        <v>0</v>
      </c>
      <c r="N27" s="6">
        <f t="shared" si="7"/>
        <v>2329563.3569959407</v>
      </c>
      <c r="O27" s="6">
        <f t="shared" ca="1" si="8"/>
        <v>9235500.8201793265</v>
      </c>
      <c r="P27" s="6"/>
      <c r="Q27" s="15"/>
    </row>
    <row r="28" spans="1:20">
      <c r="A28" s="20">
        <f>'Monthly Data'!A28</f>
        <v>41699</v>
      </c>
      <c r="B28">
        <f t="shared" si="1"/>
        <v>3</v>
      </c>
      <c r="C28">
        <f t="shared" si="2"/>
        <v>2014</v>
      </c>
      <c r="D28" s="6">
        <f>'Monthly Data'!J28</f>
        <v>9830145.6265787389</v>
      </c>
      <c r="E28" s="6">
        <f t="shared" ca="1" si="9"/>
        <v>412.32</v>
      </c>
      <c r="F28" s="6">
        <f t="shared" ref="F28" ca="1" si="23">F16</f>
        <v>0.57842105263157961</v>
      </c>
      <c r="G28">
        <f>'Monthly Data'!CI28</f>
        <v>0</v>
      </c>
      <c r="H28">
        <f>'Monthly Data'!BA28</f>
        <v>230.4</v>
      </c>
      <c r="J28" s="6">
        <f t="shared" si="3"/>
        <v>4665603.6585154198</v>
      </c>
      <c r="K28" s="6">
        <f t="shared" ca="1" si="4"/>
        <v>1788692.4352587874</v>
      </c>
      <c r="L28" s="6">
        <f t="shared" ca="1" si="5"/>
        <v>8686.5662254882136</v>
      </c>
      <c r="M28" s="6">
        <f t="shared" si="6"/>
        <v>0</v>
      </c>
      <c r="N28" s="6">
        <f t="shared" si="7"/>
        <v>2318494.1574594588</v>
      </c>
      <c r="O28" s="6">
        <f t="shared" ca="1" si="8"/>
        <v>8781476.8174591549</v>
      </c>
      <c r="P28" s="6"/>
      <c r="Q28" s="15"/>
    </row>
    <row r="29" spans="1:20">
      <c r="A29" s="20">
        <f>'Monthly Data'!A29</f>
        <v>41730</v>
      </c>
      <c r="B29">
        <f t="shared" si="1"/>
        <v>4</v>
      </c>
      <c r="C29">
        <f t="shared" si="2"/>
        <v>2014</v>
      </c>
      <c r="D29" s="6">
        <f>'Monthly Data'!J29</f>
        <v>8001586.9321141401</v>
      </c>
      <c r="E29" s="6">
        <f t="shared" ca="1" si="9"/>
        <v>229.95</v>
      </c>
      <c r="F29" s="6">
        <f t="shared" ref="F29" ca="1" si="24">F17</f>
        <v>1.3889473684210429</v>
      </c>
      <c r="G29">
        <f>'Monthly Data'!CI29</f>
        <v>0</v>
      </c>
      <c r="H29">
        <f>'Monthly Data'!BA29</f>
        <v>232.8</v>
      </c>
      <c r="J29" s="6">
        <f t="shared" si="3"/>
        <v>4665603.6585154198</v>
      </c>
      <c r="K29" s="6">
        <f t="shared" ca="1" si="4"/>
        <v>997550.02301066683</v>
      </c>
      <c r="L29" s="6">
        <f t="shared" ca="1" si="5"/>
        <v>20858.824630630763</v>
      </c>
      <c r="M29" s="6">
        <f t="shared" si="6"/>
        <v>0</v>
      </c>
      <c r="N29" s="6">
        <f t="shared" si="7"/>
        <v>2342645.1382663283</v>
      </c>
      <c r="O29" s="6">
        <f t="shared" ca="1" si="8"/>
        <v>8026657.6444230452</v>
      </c>
      <c r="P29" s="6"/>
      <c r="Q29" s="15"/>
    </row>
    <row r="30" spans="1:20">
      <c r="A30" s="20">
        <f>'Monthly Data'!A30</f>
        <v>41760</v>
      </c>
      <c r="B30">
        <f t="shared" si="1"/>
        <v>5</v>
      </c>
      <c r="C30">
        <f t="shared" si="2"/>
        <v>2014</v>
      </c>
      <c r="D30" s="6">
        <f>'Monthly Data'!J30</f>
        <v>7894834.0307170395</v>
      </c>
      <c r="E30" s="6">
        <f t="shared" ca="1" si="9"/>
        <v>79.77000000000001</v>
      </c>
      <c r="F30" s="6">
        <f t="shared" ref="F30" ca="1" si="25">F18</f>
        <v>52.065789473684617</v>
      </c>
      <c r="G30">
        <f>'Monthly Data'!CI30</f>
        <v>0</v>
      </c>
      <c r="H30">
        <f>'Monthly Data'!BA30</f>
        <v>236.9</v>
      </c>
      <c r="J30" s="6">
        <f t="shared" si="3"/>
        <v>4665603.6585154198</v>
      </c>
      <c r="K30" s="6">
        <f t="shared" ca="1" si="4"/>
        <v>346051.59963279369</v>
      </c>
      <c r="L30" s="6">
        <f t="shared" ca="1" si="5"/>
        <v>781909.5212524361</v>
      </c>
      <c r="M30" s="6">
        <f t="shared" si="6"/>
        <v>0</v>
      </c>
      <c r="N30" s="6">
        <f t="shared" si="7"/>
        <v>2383903.0638113967</v>
      </c>
      <c r="O30" s="6">
        <f t="shared" ca="1" si="8"/>
        <v>8177467.8432120476</v>
      </c>
      <c r="P30" s="6"/>
      <c r="Q30" s="15"/>
    </row>
    <row r="31" spans="1:20">
      <c r="A31" s="20">
        <f>'Monthly Data'!A31</f>
        <v>41791</v>
      </c>
      <c r="B31">
        <f t="shared" si="1"/>
        <v>6</v>
      </c>
      <c r="C31">
        <f t="shared" si="2"/>
        <v>2014</v>
      </c>
      <c r="D31" s="6">
        <f>'Monthly Data'!J31</f>
        <v>8660683.5504774395</v>
      </c>
      <c r="E31" s="6">
        <f t="shared" ca="1" si="9"/>
        <v>5.16</v>
      </c>
      <c r="F31" s="6">
        <f t="shared" ref="F31" ca="1" si="26">F19</f>
        <v>106.52421052631576</v>
      </c>
      <c r="G31">
        <f>'Monthly Data'!CI31</f>
        <v>0</v>
      </c>
      <c r="H31">
        <f>'Monthly Data'!BA31</f>
        <v>241.6</v>
      </c>
      <c r="J31" s="6">
        <f t="shared" si="3"/>
        <v>4665603.6585154198</v>
      </c>
      <c r="K31" s="6">
        <f t="shared" ca="1" si="4"/>
        <v>22384.684143226968</v>
      </c>
      <c r="L31" s="6">
        <f t="shared" ca="1" si="5"/>
        <v>1599750.9169917288</v>
      </c>
      <c r="M31" s="6">
        <f t="shared" si="6"/>
        <v>0</v>
      </c>
      <c r="N31" s="6">
        <f t="shared" si="7"/>
        <v>2431198.7345581823</v>
      </c>
      <c r="O31" s="6">
        <f t="shared" ca="1" si="8"/>
        <v>8718937.9942085575</v>
      </c>
      <c r="P31" s="6"/>
      <c r="Q31" s="15"/>
    </row>
    <row r="32" spans="1:20">
      <c r="A32" s="20">
        <f>'Monthly Data'!A32</f>
        <v>41821</v>
      </c>
      <c r="B32">
        <f t="shared" si="1"/>
        <v>7</v>
      </c>
      <c r="C32">
        <f t="shared" si="2"/>
        <v>2014</v>
      </c>
      <c r="D32" s="6">
        <f>'Monthly Data'!J32</f>
        <v>8972779.9475971386</v>
      </c>
      <c r="E32" s="6">
        <f t="shared" ca="1" si="9"/>
        <v>0</v>
      </c>
      <c r="F32" s="6">
        <f t="shared" ref="F32" ca="1" si="27">F20</f>
        <v>189.76052631578978</v>
      </c>
      <c r="G32">
        <f>'Monthly Data'!CI32</f>
        <v>0</v>
      </c>
      <c r="H32">
        <f>'Monthly Data'!BA32</f>
        <v>246.1</v>
      </c>
      <c r="J32" s="6">
        <f t="shared" si="3"/>
        <v>4665603.6585154198</v>
      </c>
      <c r="K32" s="6">
        <f t="shared" ca="1" si="4"/>
        <v>0</v>
      </c>
      <c r="L32" s="6">
        <f t="shared" ca="1" si="5"/>
        <v>2849770.7186247949</v>
      </c>
      <c r="M32" s="6">
        <f t="shared" si="6"/>
        <v>0</v>
      </c>
      <c r="N32" s="6">
        <f t="shared" si="7"/>
        <v>2476481.8235710622</v>
      </c>
      <c r="O32" s="6">
        <f t="shared" ca="1" si="8"/>
        <v>9991856.2007112764</v>
      </c>
      <c r="P32" s="6"/>
      <c r="Q32" s="15"/>
    </row>
    <row r="33" spans="1:17">
      <c r="A33" s="20">
        <f>'Monthly Data'!A33</f>
        <v>41852</v>
      </c>
      <c r="B33">
        <f t="shared" si="1"/>
        <v>8</v>
      </c>
      <c r="C33">
        <f t="shared" si="2"/>
        <v>2014</v>
      </c>
      <c r="D33" s="6">
        <f>'Monthly Data'!J33</f>
        <v>8995970.5378717389</v>
      </c>
      <c r="E33" s="6">
        <f t="shared" ca="1" si="9"/>
        <v>8.0000000000000071E-2</v>
      </c>
      <c r="F33" s="6">
        <f t="shared" ref="F33" ca="1" si="28">F21</f>
        <v>169.11894736842078</v>
      </c>
      <c r="G33">
        <f>'Monthly Data'!CI33</f>
        <v>0</v>
      </c>
      <c r="H33">
        <f>'Monthly Data'!BA33</f>
        <v>247.7</v>
      </c>
      <c r="J33" s="6">
        <f t="shared" si="3"/>
        <v>4665603.6585154198</v>
      </c>
      <c r="K33" s="6">
        <f t="shared" ca="1" si="4"/>
        <v>347.0493665616587</v>
      </c>
      <c r="L33" s="6">
        <f t="shared" ca="1" si="5"/>
        <v>2539781.2365525188</v>
      </c>
      <c r="M33" s="6">
        <f t="shared" si="6"/>
        <v>0</v>
      </c>
      <c r="N33" s="6">
        <f t="shared" si="7"/>
        <v>2492582.4774423088</v>
      </c>
      <c r="O33" s="6">
        <f t="shared" ca="1" si="8"/>
        <v>9698314.4218768086</v>
      </c>
      <c r="P33" s="6"/>
      <c r="Q33" s="15"/>
    </row>
    <row r="34" spans="1:17">
      <c r="A34" s="20">
        <f>'Monthly Data'!A34</f>
        <v>41883</v>
      </c>
      <c r="B34">
        <f t="shared" si="1"/>
        <v>9</v>
      </c>
      <c r="C34">
        <f t="shared" si="2"/>
        <v>2014</v>
      </c>
      <c r="D34" s="6">
        <f>'Monthly Data'!J34</f>
        <v>8027835.84851244</v>
      </c>
      <c r="E34" s="6">
        <f t="shared" ca="1" si="9"/>
        <v>12.280000000000001</v>
      </c>
      <c r="F34" s="6">
        <f t="shared" ref="F34" ca="1" si="29">F22</f>
        <v>77.220526315789357</v>
      </c>
      <c r="G34">
        <f>'Monthly Data'!CI34</f>
        <v>0</v>
      </c>
      <c r="H34">
        <f>'Monthly Data'!BA34</f>
        <v>243.9</v>
      </c>
      <c r="J34" s="6">
        <f t="shared" si="3"/>
        <v>4665603.6585154198</v>
      </c>
      <c r="K34" s="6">
        <f t="shared" ca="1" si="4"/>
        <v>53272.07776721457</v>
      </c>
      <c r="L34" s="6">
        <f t="shared" ca="1" si="5"/>
        <v>1159676.351262422</v>
      </c>
      <c r="M34" s="6">
        <f t="shared" si="6"/>
        <v>0</v>
      </c>
      <c r="N34" s="6">
        <f t="shared" si="7"/>
        <v>2454343.4244980989</v>
      </c>
      <c r="O34" s="6">
        <f t="shared" ca="1" si="8"/>
        <v>8332895.5120431557</v>
      </c>
      <c r="P34" s="6"/>
      <c r="Q34" s="15"/>
    </row>
    <row r="35" spans="1:17">
      <c r="A35" s="20">
        <f>'Monthly Data'!A35</f>
        <v>41913</v>
      </c>
      <c r="B35">
        <f t="shared" si="1"/>
        <v>10</v>
      </c>
      <c r="C35">
        <f t="shared" si="2"/>
        <v>2014</v>
      </c>
      <c r="D35" s="6">
        <f>'Monthly Data'!J35</f>
        <v>7886120.3539005406</v>
      </c>
      <c r="E35" s="6">
        <f t="shared" ca="1" si="9"/>
        <v>111.21000000000001</v>
      </c>
      <c r="F35" s="6">
        <f t="shared" ref="F35" ca="1" si="30">F23</f>
        <v>16.868947368421004</v>
      </c>
      <c r="G35">
        <f>'Monthly Data'!CI35</f>
        <v>0</v>
      </c>
      <c r="H35">
        <f>'Monthly Data'!BA35</f>
        <v>241.3</v>
      </c>
      <c r="J35" s="6">
        <f t="shared" si="3"/>
        <v>4665603.6585154198</v>
      </c>
      <c r="K35" s="6">
        <f t="shared" ca="1" si="4"/>
        <v>482442.00069152541</v>
      </c>
      <c r="L35" s="6">
        <f t="shared" ca="1" si="5"/>
        <v>253333.15204105698</v>
      </c>
      <c r="M35" s="6">
        <f t="shared" si="6"/>
        <v>0</v>
      </c>
      <c r="N35" s="6">
        <f t="shared" si="7"/>
        <v>2428179.8619573237</v>
      </c>
      <c r="O35" s="6">
        <f t="shared" ca="1" si="8"/>
        <v>7829558.6732053263</v>
      </c>
      <c r="P35" s="6"/>
      <c r="Q35" s="15"/>
    </row>
    <row r="36" spans="1:17">
      <c r="A36" s="20">
        <f>'Monthly Data'!A36</f>
        <v>41944</v>
      </c>
      <c r="B36">
        <f t="shared" si="1"/>
        <v>11</v>
      </c>
      <c r="C36">
        <f t="shared" si="2"/>
        <v>2014</v>
      </c>
      <c r="D36" s="6">
        <f>'Monthly Data'!J36</f>
        <v>8807284.4124100395</v>
      </c>
      <c r="E36" s="6">
        <f t="shared" ca="1" si="9"/>
        <v>297.28000000000003</v>
      </c>
      <c r="F36" s="6">
        <f t="shared" ref="F36" ca="1" si="31">F24</f>
        <v>1.2689473684210384</v>
      </c>
      <c r="G36">
        <f>'Monthly Data'!CI36</f>
        <v>0</v>
      </c>
      <c r="H36">
        <f>'Monthly Data'!BA36</f>
        <v>240.4</v>
      </c>
      <c r="J36" s="6">
        <f t="shared" si="3"/>
        <v>4665603.6585154198</v>
      </c>
      <c r="K36" s="6">
        <f t="shared" ca="1" si="4"/>
        <v>1289635.4461431226</v>
      </c>
      <c r="L36" s="6">
        <f t="shared" ca="1" si="5"/>
        <v>19056.698061557621</v>
      </c>
      <c r="M36" s="6">
        <f t="shared" si="6"/>
        <v>0</v>
      </c>
      <c r="N36" s="6">
        <f t="shared" si="7"/>
        <v>2419123.2441547476</v>
      </c>
      <c r="O36" s="6">
        <f t="shared" ca="1" si="8"/>
        <v>8393419.0468748473</v>
      </c>
      <c r="P36" s="6"/>
      <c r="Q36" s="15"/>
    </row>
    <row r="37" spans="1:17">
      <c r="A37" s="20">
        <f>'Monthly Data'!A37</f>
        <v>41974</v>
      </c>
      <c r="B37">
        <f t="shared" si="1"/>
        <v>12</v>
      </c>
      <c r="C37">
        <f t="shared" si="2"/>
        <v>2014</v>
      </c>
      <c r="D37" s="6">
        <f>'Monthly Data'!J37</f>
        <v>9514629.8967646398</v>
      </c>
      <c r="E37" s="6">
        <f t="shared" ca="1" si="9"/>
        <v>440.25</v>
      </c>
      <c r="F37" s="6">
        <f t="shared" ref="F37" ca="1" si="32">F25</f>
        <v>0</v>
      </c>
      <c r="G37">
        <f>'Monthly Data'!CI37</f>
        <v>0</v>
      </c>
      <c r="H37">
        <f>'Monthly Data'!BA37</f>
        <v>242.7</v>
      </c>
      <c r="J37" s="6">
        <f t="shared" si="3"/>
        <v>4665603.6585154198</v>
      </c>
      <c r="K37" s="6">
        <f t="shared" ca="1" si="4"/>
        <v>1909856.0453596264</v>
      </c>
      <c r="L37" s="6">
        <f t="shared" ca="1" si="5"/>
        <v>0</v>
      </c>
      <c r="M37" s="6">
        <f t="shared" si="6"/>
        <v>0</v>
      </c>
      <c r="N37" s="6">
        <f t="shared" si="7"/>
        <v>2442267.9340946642</v>
      </c>
      <c r="O37" s="6">
        <f t="shared" ca="1" si="8"/>
        <v>9017727.6379697099</v>
      </c>
      <c r="P37" s="6"/>
      <c r="Q37" s="15"/>
    </row>
    <row r="38" spans="1:17">
      <c r="A38" s="20">
        <f>'Monthly Data'!A38</f>
        <v>42005</v>
      </c>
      <c r="B38">
        <f t="shared" si="1"/>
        <v>1</v>
      </c>
      <c r="C38">
        <f t="shared" si="2"/>
        <v>2015</v>
      </c>
      <c r="D38" s="6">
        <f>'Monthly Data'!J38</f>
        <v>10320708.516808653</v>
      </c>
      <c r="E38" s="6">
        <f t="shared" ca="1" si="9"/>
        <v>564.86</v>
      </c>
      <c r="F38" s="6">
        <f t="shared" ref="F38" ca="1" si="33">F26</f>
        <v>0</v>
      </c>
      <c r="G38">
        <f>'Monthly Data'!CI38</f>
        <v>0</v>
      </c>
      <c r="H38">
        <f>'Monthly Data'!BA38</f>
        <v>244.1</v>
      </c>
      <c r="J38" s="6">
        <f t="shared" si="3"/>
        <v>4665603.6585154198</v>
      </c>
      <c r="K38" s="6">
        <f t="shared" ca="1" si="4"/>
        <v>2450428.8149502296</v>
      </c>
      <c r="L38" s="6">
        <f t="shared" ca="1" si="5"/>
        <v>0</v>
      </c>
      <c r="M38" s="6">
        <f t="shared" si="6"/>
        <v>0</v>
      </c>
      <c r="N38" s="6">
        <f t="shared" si="7"/>
        <v>2456356.0062320046</v>
      </c>
      <c r="O38" s="6">
        <f t="shared" ca="1" si="8"/>
        <v>9572388.479697654</v>
      </c>
      <c r="P38" s="6"/>
      <c r="Q38" s="15"/>
    </row>
    <row r="39" spans="1:17">
      <c r="A39" s="20">
        <f>'Monthly Data'!A39</f>
        <v>42036</v>
      </c>
      <c r="B39">
        <f t="shared" si="1"/>
        <v>2</v>
      </c>
      <c r="C39">
        <f t="shared" si="2"/>
        <v>2015</v>
      </c>
      <c r="D39" s="6">
        <f>'Monthly Data'!J39</f>
        <v>9866509.5237202533</v>
      </c>
      <c r="E39" s="6">
        <f t="shared" ca="1" si="9"/>
        <v>516.43000000000006</v>
      </c>
      <c r="F39" s="6">
        <f t="shared" ref="F39" ca="1" si="34">F27</f>
        <v>0</v>
      </c>
      <c r="G39">
        <f>'Monthly Data'!CI39</f>
        <v>0</v>
      </c>
      <c r="H39">
        <f>'Monthly Data'!BA39</f>
        <v>243.4</v>
      </c>
      <c r="J39" s="6">
        <f t="shared" si="3"/>
        <v>4665603.6585154198</v>
      </c>
      <c r="K39" s="6">
        <f t="shared" ca="1" si="4"/>
        <v>2240333.804667966</v>
      </c>
      <c r="L39" s="6">
        <f t="shared" ca="1" si="5"/>
        <v>0</v>
      </c>
      <c r="M39" s="6">
        <f t="shared" si="6"/>
        <v>0</v>
      </c>
      <c r="N39" s="6">
        <f t="shared" si="7"/>
        <v>2449311.9701633346</v>
      </c>
      <c r="O39" s="6">
        <f t="shared" ca="1" si="8"/>
        <v>9355249.4333467204</v>
      </c>
      <c r="P39" s="6"/>
      <c r="Q39" s="15"/>
    </row>
    <row r="40" spans="1:17">
      <c r="A40" s="20">
        <f>'Monthly Data'!A40</f>
        <v>42064</v>
      </c>
      <c r="B40">
        <f t="shared" si="1"/>
        <v>3</v>
      </c>
      <c r="C40">
        <f t="shared" si="2"/>
        <v>2015</v>
      </c>
      <c r="D40" s="6">
        <f>'Monthly Data'!J40</f>
        <v>9609841.243772652</v>
      </c>
      <c r="E40" s="6">
        <f t="shared" ca="1" si="9"/>
        <v>412.32</v>
      </c>
      <c r="F40" s="6">
        <f t="shared" ref="F40" ca="1" si="35">F28</f>
        <v>0.57842105263157961</v>
      </c>
      <c r="G40">
        <f>'Monthly Data'!CI40</f>
        <v>0</v>
      </c>
      <c r="H40">
        <f>'Monthly Data'!BA40</f>
        <v>241.6</v>
      </c>
      <c r="J40" s="6">
        <f t="shared" si="3"/>
        <v>4665603.6585154198</v>
      </c>
      <c r="K40" s="6">
        <f t="shared" ca="1" si="4"/>
        <v>1788692.4352587874</v>
      </c>
      <c r="L40" s="6">
        <f t="shared" ca="1" si="5"/>
        <v>8686.5662254882136</v>
      </c>
      <c r="M40" s="6">
        <f t="shared" si="6"/>
        <v>0</v>
      </c>
      <c r="N40" s="6">
        <f t="shared" si="7"/>
        <v>2431198.7345581823</v>
      </c>
      <c r="O40" s="6">
        <f t="shared" ca="1" si="8"/>
        <v>8894181.3945578784</v>
      </c>
      <c r="P40" s="6"/>
      <c r="Q40" s="15"/>
    </row>
    <row r="41" spans="1:17">
      <c r="A41" s="20">
        <f>'Monthly Data'!A41</f>
        <v>42095</v>
      </c>
      <c r="B41">
        <f t="shared" si="1"/>
        <v>4</v>
      </c>
      <c r="C41">
        <f t="shared" si="2"/>
        <v>2015</v>
      </c>
      <c r="D41" s="6">
        <f>'Monthly Data'!J41</f>
        <v>8135771.8970295526</v>
      </c>
      <c r="E41" s="6">
        <f t="shared" ca="1" si="9"/>
        <v>229.95</v>
      </c>
      <c r="F41" s="6">
        <f t="shared" ref="F41" ca="1" si="36">F29</f>
        <v>1.3889473684210429</v>
      </c>
      <c r="G41">
        <f>'Monthly Data'!CI41</f>
        <v>0</v>
      </c>
      <c r="H41">
        <f>'Monthly Data'!BA41</f>
        <v>238.8</v>
      </c>
      <c r="J41" s="6">
        <f t="shared" si="3"/>
        <v>4665603.6585154198</v>
      </c>
      <c r="K41" s="6">
        <f t="shared" ca="1" si="4"/>
        <v>997550.02301066683</v>
      </c>
      <c r="L41" s="6">
        <f t="shared" ca="1" si="5"/>
        <v>20858.824630630763</v>
      </c>
      <c r="M41" s="6">
        <f t="shared" si="6"/>
        <v>0</v>
      </c>
      <c r="N41" s="6">
        <f t="shared" si="7"/>
        <v>2403022.5902835014</v>
      </c>
      <c r="O41" s="6">
        <f t="shared" ca="1" si="8"/>
        <v>8087035.0964402184</v>
      </c>
      <c r="P41" s="6"/>
      <c r="Q41" s="15"/>
    </row>
    <row r="42" spans="1:17">
      <c r="A42" s="20">
        <f>'Monthly Data'!A42</f>
        <v>42125</v>
      </c>
      <c r="B42">
        <f t="shared" si="1"/>
        <v>5</v>
      </c>
      <c r="C42">
        <f t="shared" si="2"/>
        <v>2015</v>
      </c>
      <c r="D42" s="6">
        <f>'Monthly Data'!J42</f>
        <v>8279127.9417781532</v>
      </c>
      <c r="E42" s="6">
        <f t="shared" ca="1" si="9"/>
        <v>79.77000000000001</v>
      </c>
      <c r="F42" s="6">
        <f t="shared" ref="F42" ca="1" si="37">F30</f>
        <v>52.065789473684617</v>
      </c>
      <c r="G42">
        <f>'Monthly Data'!CI42</f>
        <v>0</v>
      </c>
      <c r="H42">
        <f>'Monthly Data'!BA42</f>
        <v>240.6</v>
      </c>
      <c r="J42" s="6">
        <f t="shared" si="3"/>
        <v>4665603.6585154198</v>
      </c>
      <c r="K42" s="6">
        <f t="shared" ca="1" si="4"/>
        <v>346051.59963279369</v>
      </c>
      <c r="L42" s="6">
        <f t="shared" ca="1" si="5"/>
        <v>781909.5212524361</v>
      </c>
      <c r="M42" s="6">
        <f t="shared" si="6"/>
        <v>0</v>
      </c>
      <c r="N42" s="6">
        <f t="shared" si="7"/>
        <v>2421135.8258886533</v>
      </c>
      <c r="O42" s="6">
        <f t="shared" ca="1" si="8"/>
        <v>8214700.6052893037</v>
      </c>
      <c r="P42" s="6"/>
      <c r="Q42" s="15"/>
    </row>
    <row r="43" spans="1:17">
      <c r="A43" s="20">
        <f>'Monthly Data'!A43</f>
        <v>42156</v>
      </c>
      <c r="B43">
        <f t="shared" si="1"/>
        <v>6</v>
      </c>
      <c r="C43">
        <f t="shared" si="2"/>
        <v>2015</v>
      </c>
      <c r="D43" s="6">
        <f>'Monthly Data'!J43</f>
        <v>8440161.6741833519</v>
      </c>
      <c r="E43" s="6">
        <f t="shared" ca="1" si="9"/>
        <v>5.16</v>
      </c>
      <c r="F43" s="6">
        <f t="shared" ref="F43" ca="1" si="38">F31</f>
        <v>106.52421052631576</v>
      </c>
      <c r="G43">
        <f>'Monthly Data'!CI43</f>
        <v>0</v>
      </c>
      <c r="H43">
        <f>'Monthly Data'!BA43</f>
        <v>250</v>
      </c>
      <c r="J43" s="6">
        <f t="shared" si="3"/>
        <v>4665603.6585154198</v>
      </c>
      <c r="K43" s="6">
        <f t="shared" ca="1" si="4"/>
        <v>22384.684143226968</v>
      </c>
      <c r="L43" s="6">
        <f t="shared" ca="1" si="5"/>
        <v>1599750.9169917288</v>
      </c>
      <c r="M43" s="6">
        <f t="shared" si="6"/>
        <v>0</v>
      </c>
      <c r="N43" s="6">
        <f t="shared" si="7"/>
        <v>2515727.1673822254</v>
      </c>
      <c r="O43" s="6">
        <f t="shared" ca="1" si="8"/>
        <v>8803466.4270326011</v>
      </c>
      <c r="P43" s="6"/>
      <c r="Q43" s="15"/>
    </row>
    <row r="44" spans="1:17">
      <c r="A44" s="20">
        <f>'Monthly Data'!A44</f>
        <v>42186</v>
      </c>
      <c r="B44">
        <f t="shared" si="1"/>
        <v>7</v>
      </c>
      <c r="C44">
        <f t="shared" si="2"/>
        <v>2015</v>
      </c>
      <c r="D44" s="6">
        <f>'Monthly Data'!J44</f>
        <v>9819719.7518207524</v>
      </c>
      <c r="E44" s="6">
        <f t="shared" ca="1" si="9"/>
        <v>0</v>
      </c>
      <c r="F44" s="6">
        <f t="shared" ref="F44" ca="1" si="39">F32</f>
        <v>189.76052631578978</v>
      </c>
      <c r="G44">
        <f>'Monthly Data'!CI44</f>
        <v>0</v>
      </c>
      <c r="H44">
        <f>'Monthly Data'!BA44</f>
        <v>256</v>
      </c>
      <c r="J44" s="6">
        <f t="shared" si="3"/>
        <v>4665603.6585154198</v>
      </c>
      <c r="K44" s="6">
        <f t="shared" ca="1" si="4"/>
        <v>0</v>
      </c>
      <c r="L44" s="6">
        <f t="shared" ca="1" si="5"/>
        <v>2849770.7186247949</v>
      </c>
      <c r="M44" s="6">
        <f t="shared" si="6"/>
        <v>0</v>
      </c>
      <c r="N44" s="6">
        <f t="shared" si="7"/>
        <v>2576104.6193993986</v>
      </c>
      <c r="O44" s="6">
        <f t="shared" ca="1" si="8"/>
        <v>10091478.996539613</v>
      </c>
      <c r="P44" s="6"/>
      <c r="Q44" s="15"/>
    </row>
    <row r="45" spans="1:17">
      <c r="A45" s="20">
        <f>'Monthly Data'!A45</f>
        <v>42217</v>
      </c>
      <c r="B45">
        <f t="shared" si="1"/>
        <v>8</v>
      </c>
      <c r="C45">
        <f t="shared" si="2"/>
        <v>2015</v>
      </c>
      <c r="D45" s="6">
        <f>'Monthly Data'!J45</f>
        <v>9326215.976339452</v>
      </c>
      <c r="E45" s="6">
        <f t="shared" ca="1" si="9"/>
        <v>8.0000000000000071E-2</v>
      </c>
      <c r="F45" s="6">
        <f t="shared" ref="F45" ca="1" si="40">F33</f>
        <v>169.11894736842078</v>
      </c>
      <c r="G45">
        <f>'Monthly Data'!CI45</f>
        <v>0</v>
      </c>
      <c r="H45">
        <f>'Monthly Data'!BA45</f>
        <v>260.7</v>
      </c>
      <c r="J45" s="6">
        <f t="shared" si="3"/>
        <v>4665603.6585154198</v>
      </c>
      <c r="K45" s="6">
        <f t="shared" ca="1" si="4"/>
        <v>347.0493665616587</v>
      </c>
      <c r="L45" s="6">
        <f t="shared" ca="1" si="5"/>
        <v>2539781.2365525188</v>
      </c>
      <c r="M45" s="6">
        <f t="shared" si="6"/>
        <v>0</v>
      </c>
      <c r="N45" s="6">
        <f t="shared" si="7"/>
        <v>2623400.2901461842</v>
      </c>
      <c r="O45" s="6">
        <f t="shared" ca="1" si="8"/>
        <v>9829132.2345806845</v>
      </c>
      <c r="P45" s="6"/>
      <c r="Q45" s="15"/>
    </row>
    <row r="46" spans="1:17">
      <c r="A46" s="20">
        <f>'Monthly Data'!A46</f>
        <v>42248</v>
      </c>
      <c r="B46">
        <f t="shared" si="1"/>
        <v>9</v>
      </c>
      <c r="C46">
        <f t="shared" si="2"/>
        <v>2015</v>
      </c>
      <c r="D46" s="6">
        <f>'Monthly Data'!J46</f>
        <v>9088680.2512800526</v>
      </c>
      <c r="E46" s="6">
        <f t="shared" ca="1" si="9"/>
        <v>12.280000000000001</v>
      </c>
      <c r="F46" s="6">
        <f t="shared" ref="F46" ca="1" si="41">F34</f>
        <v>77.220526315789357</v>
      </c>
      <c r="G46">
        <f>'Monthly Data'!CI46</f>
        <v>0</v>
      </c>
      <c r="H46">
        <f>'Monthly Data'!BA46</f>
        <v>253.9</v>
      </c>
      <c r="J46" s="6">
        <f t="shared" si="3"/>
        <v>4665603.6585154198</v>
      </c>
      <c r="K46" s="6">
        <f t="shared" ca="1" si="4"/>
        <v>53272.07776721457</v>
      </c>
      <c r="L46" s="6">
        <f t="shared" ca="1" si="5"/>
        <v>1159676.351262422</v>
      </c>
      <c r="M46" s="6">
        <f t="shared" si="6"/>
        <v>0</v>
      </c>
      <c r="N46" s="6">
        <f t="shared" si="7"/>
        <v>2554972.5111933881</v>
      </c>
      <c r="O46" s="6">
        <f t="shared" ca="1" si="8"/>
        <v>8433524.598738445</v>
      </c>
      <c r="P46" s="6"/>
      <c r="Q46" s="15"/>
    </row>
    <row r="47" spans="1:17">
      <c r="A47" s="20">
        <f>'Monthly Data'!A47</f>
        <v>42278</v>
      </c>
      <c r="B47">
        <f t="shared" si="1"/>
        <v>10</v>
      </c>
      <c r="C47">
        <f t="shared" si="2"/>
        <v>2015</v>
      </c>
      <c r="D47" s="6">
        <f>'Monthly Data'!J47</f>
        <v>7998052.1049736533</v>
      </c>
      <c r="E47" s="6">
        <f t="shared" ref="E47:E78" ca="1" si="42">E35</f>
        <v>111.21000000000001</v>
      </c>
      <c r="F47" s="6">
        <f t="shared" ref="F47" ca="1" si="43">F35</f>
        <v>16.868947368421004</v>
      </c>
      <c r="G47">
        <f>'Monthly Data'!CI47</f>
        <v>0</v>
      </c>
      <c r="H47">
        <f>'Monthly Data'!BA47</f>
        <v>253</v>
      </c>
      <c r="J47" s="6">
        <f t="shared" si="3"/>
        <v>4665603.6585154198</v>
      </c>
      <c r="K47" s="6">
        <f t="shared" ca="1" si="4"/>
        <v>482442.00069152541</v>
      </c>
      <c r="L47" s="6">
        <f t="shared" ca="1" si="5"/>
        <v>253333.15204105698</v>
      </c>
      <c r="M47" s="6">
        <f t="shared" si="6"/>
        <v>0</v>
      </c>
      <c r="N47" s="6">
        <f t="shared" si="7"/>
        <v>2545915.893390812</v>
      </c>
      <c r="O47" s="6">
        <f t="shared" ca="1" si="8"/>
        <v>7947294.7046388146</v>
      </c>
      <c r="P47" s="6"/>
      <c r="Q47" s="15"/>
    </row>
    <row r="48" spans="1:17">
      <c r="A48" s="20">
        <f>'Monthly Data'!A48</f>
        <v>42309</v>
      </c>
      <c r="B48">
        <f t="shared" si="1"/>
        <v>11</v>
      </c>
      <c r="C48">
        <f t="shared" si="2"/>
        <v>2015</v>
      </c>
      <c r="D48" s="6">
        <f>'Monthly Data'!J48</f>
        <v>8128766.3749836534</v>
      </c>
      <c r="E48" s="6">
        <f t="shared" ca="1" si="42"/>
        <v>297.28000000000003</v>
      </c>
      <c r="F48" s="6">
        <f t="shared" ref="F48" ca="1" si="44">F36</f>
        <v>1.2689473684210384</v>
      </c>
      <c r="G48">
        <f>'Monthly Data'!CI48</f>
        <v>0</v>
      </c>
      <c r="H48">
        <f>'Monthly Data'!BA48</f>
        <v>248.9</v>
      </c>
      <c r="J48" s="6">
        <f t="shared" si="3"/>
        <v>4665603.6585154198</v>
      </c>
      <c r="K48" s="6">
        <f t="shared" ca="1" si="4"/>
        <v>1289635.4461431226</v>
      </c>
      <c r="L48" s="6">
        <f t="shared" ca="1" si="5"/>
        <v>19056.698061557621</v>
      </c>
      <c r="M48" s="6">
        <f t="shared" si="6"/>
        <v>0</v>
      </c>
      <c r="N48" s="6">
        <f t="shared" si="7"/>
        <v>2504657.9678457435</v>
      </c>
      <c r="O48" s="6">
        <f t="shared" ca="1" si="8"/>
        <v>8478953.7705658432</v>
      </c>
      <c r="P48" s="6"/>
      <c r="Q48" s="15"/>
    </row>
    <row r="49" spans="1:17">
      <c r="A49" s="20">
        <f>'Monthly Data'!A49</f>
        <v>42339</v>
      </c>
      <c r="B49">
        <f t="shared" si="1"/>
        <v>12</v>
      </c>
      <c r="C49">
        <f t="shared" si="2"/>
        <v>2015</v>
      </c>
      <c r="D49" s="6">
        <f>'Monthly Data'!J49</f>
        <v>8942085.5352303516</v>
      </c>
      <c r="E49" s="6">
        <f t="shared" ca="1" si="42"/>
        <v>440.25</v>
      </c>
      <c r="F49" s="6">
        <f t="shared" ref="F49" ca="1" si="45">F37</f>
        <v>0</v>
      </c>
      <c r="G49">
        <f>'Monthly Data'!CI49</f>
        <v>0</v>
      </c>
      <c r="H49">
        <f>'Monthly Data'!BA49</f>
        <v>250.6</v>
      </c>
      <c r="J49" s="6">
        <f t="shared" si="3"/>
        <v>4665603.6585154198</v>
      </c>
      <c r="K49" s="6">
        <f t="shared" ca="1" si="4"/>
        <v>1909856.0453596264</v>
      </c>
      <c r="L49" s="6">
        <f t="shared" ca="1" si="5"/>
        <v>0</v>
      </c>
      <c r="M49" s="6">
        <f t="shared" si="6"/>
        <v>0</v>
      </c>
      <c r="N49" s="6">
        <f t="shared" si="7"/>
        <v>2521764.9125839425</v>
      </c>
      <c r="O49" s="6">
        <f t="shared" ca="1" si="8"/>
        <v>9097224.6164589897</v>
      </c>
      <c r="P49" s="6"/>
      <c r="Q49" s="15"/>
    </row>
    <row r="50" spans="1:17">
      <c r="A50" s="20">
        <f>'Monthly Data'!A50</f>
        <v>42370</v>
      </c>
      <c r="B50">
        <f t="shared" si="1"/>
        <v>1</v>
      </c>
      <c r="C50">
        <f t="shared" si="2"/>
        <v>2016</v>
      </c>
      <c r="D50" s="6">
        <f>'Monthly Data'!J50</f>
        <v>9713760.0239987727</v>
      </c>
      <c r="E50" s="6">
        <f t="shared" ca="1" si="42"/>
        <v>564.86</v>
      </c>
      <c r="F50" s="6">
        <f t="shared" ref="F50" ca="1" si="46">F38</f>
        <v>0</v>
      </c>
      <c r="G50">
        <f>'Monthly Data'!CI50</f>
        <v>0</v>
      </c>
      <c r="H50">
        <f>'Monthly Data'!BA50</f>
        <v>249.8</v>
      </c>
      <c r="J50" s="6">
        <f t="shared" si="3"/>
        <v>4665603.6585154198</v>
      </c>
      <c r="K50" s="6">
        <f t="shared" ca="1" si="4"/>
        <v>2450428.8149502296</v>
      </c>
      <c r="L50" s="6">
        <f t="shared" ca="1" si="5"/>
        <v>0</v>
      </c>
      <c r="M50" s="6">
        <f t="shared" si="6"/>
        <v>0</v>
      </c>
      <c r="N50" s="6">
        <f t="shared" si="7"/>
        <v>2513714.5856483197</v>
      </c>
      <c r="O50" s="6">
        <f t="shared" ca="1" si="8"/>
        <v>9629747.0591139682</v>
      </c>
      <c r="P50" s="6"/>
      <c r="Q50" s="15"/>
    </row>
    <row r="51" spans="1:17">
      <c r="A51" s="20">
        <f>'Monthly Data'!A51</f>
        <v>42401</v>
      </c>
      <c r="B51">
        <f t="shared" si="1"/>
        <v>2</v>
      </c>
      <c r="C51">
        <f t="shared" si="2"/>
        <v>2016</v>
      </c>
      <c r="D51" s="6">
        <f>'Monthly Data'!J51</f>
        <v>9070727.7860055715</v>
      </c>
      <c r="E51" s="6">
        <f t="shared" ca="1" si="42"/>
        <v>516.43000000000006</v>
      </c>
      <c r="F51" s="6">
        <f t="shared" ref="F51" ca="1" si="47">F39</f>
        <v>0</v>
      </c>
      <c r="G51">
        <f>'Monthly Data'!CI51</f>
        <v>0</v>
      </c>
      <c r="H51">
        <f>'Monthly Data'!BA51</f>
        <v>247.8</v>
      </c>
      <c r="J51" s="6">
        <f t="shared" si="3"/>
        <v>4665603.6585154198</v>
      </c>
      <c r="K51" s="6">
        <f t="shared" ca="1" si="4"/>
        <v>2240333.804667966</v>
      </c>
      <c r="L51" s="6">
        <f t="shared" ca="1" si="5"/>
        <v>0</v>
      </c>
      <c r="M51" s="6">
        <f t="shared" si="6"/>
        <v>0</v>
      </c>
      <c r="N51" s="6">
        <f t="shared" si="7"/>
        <v>2493588.7683092616</v>
      </c>
      <c r="O51" s="6">
        <f t="shared" ca="1" si="8"/>
        <v>9399526.2314926479</v>
      </c>
      <c r="P51" s="6"/>
      <c r="Q51" s="15"/>
    </row>
    <row r="52" spans="1:17">
      <c r="A52" s="20">
        <f>'Monthly Data'!A52</f>
        <v>42430</v>
      </c>
      <c r="B52">
        <f t="shared" si="1"/>
        <v>3</v>
      </c>
      <c r="C52">
        <f t="shared" si="2"/>
        <v>2016</v>
      </c>
      <c r="D52" s="6">
        <f>'Monthly Data'!J52</f>
        <v>8861048.2157562729</v>
      </c>
      <c r="E52" s="6">
        <f t="shared" ca="1" si="42"/>
        <v>412.32</v>
      </c>
      <c r="F52" s="6">
        <f t="shared" ref="F52" ca="1" si="48">F40</f>
        <v>0.57842105263157961</v>
      </c>
      <c r="G52">
        <f>'Monthly Data'!CI52</f>
        <v>0</v>
      </c>
      <c r="H52">
        <f>'Monthly Data'!BA52</f>
        <v>244.7</v>
      </c>
      <c r="J52" s="6">
        <f t="shared" si="3"/>
        <v>4665603.6585154198</v>
      </c>
      <c r="K52" s="6">
        <f t="shared" ca="1" si="4"/>
        <v>1788692.4352587874</v>
      </c>
      <c r="L52" s="6">
        <f t="shared" ca="1" si="5"/>
        <v>8686.5662254882136</v>
      </c>
      <c r="M52" s="6">
        <f t="shared" si="6"/>
        <v>0</v>
      </c>
      <c r="N52" s="6">
        <f t="shared" si="7"/>
        <v>2462393.7514337217</v>
      </c>
      <c r="O52" s="6">
        <f t="shared" ca="1" si="8"/>
        <v>8925376.4114334174</v>
      </c>
      <c r="P52" s="6"/>
      <c r="Q52" s="15"/>
    </row>
    <row r="53" spans="1:17">
      <c r="A53" s="20">
        <f>'Monthly Data'!A53</f>
        <v>42461</v>
      </c>
      <c r="B53">
        <f t="shared" si="1"/>
        <v>4</v>
      </c>
      <c r="C53">
        <f t="shared" si="2"/>
        <v>2016</v>
      </c>
      <c r="D53" s="6">
        <f>'Monthly Data'!J53</f>
        <v>8183337.5863723708</v>
      </c>
      <c r="E53" s="6">
        <f t="shared" ca="1" si="42"/>
        <v>229.95</v>
      </c>
      <c r="F53" s="6">
        <f t="shared" ref="F53" ca="1" si="49">F41</f>
        <v>1.3889473684210429</v>
      </c>
      <c r="G53">
        <f>'Monthly Data'!CI53</f>
        <v>0</v>
      </c>
      <c r="H53">
        <f>'Monthly Data'!BA53</f>
        <v>241.5</v>
      </c>
      <c r="J53" s="6">
        <f t="shared" si="3"/>
        <v>4665603.6585154198</v>
      </c>
      <c r="K53" s="6">
        <f t="shared" ca="1" si="4"/>
        <v>997550.02301066683</v>
      </c>
      <c r="L53" s="6">
        <f t="shared" ca="1" si="5"/>
        <v>20858.824630630763</v>
      </c>
      <c r="M53" s="6">
        <f t="shared" si="6"/>
        <v>0</v>
      </c>
      <c r="N53" s="6">
        <f t="shared" si="7"/>
        <v>2430192.4436912294</v>
      </c>
      <c r="O53" s="6">
        <f t="shared" ca="1" si="8"/>
        <v>8114204.9498479469</v>
      </c>
      <c r="P53" s="6"/>
      <c r="Q53" s="15"/>
    </row>
    <row r="54" spans="1:17">
      <c r="A54" s="20">
        <f>'Monthly Data'!A54</f>
        <v>42491</v>
      </c>
      <c r="B54">
        <f t="shared" si="1"/>
        <v>5</v>
      </c>
      <c r="C54">
        <f t="shared" si="2"/>
        <v>2016</v>
      </c>
      <c r="D54" s="6">
        <f>'Monthly Data'!J54</f>
        <v>8312264.3294410715</v>
      </c>
      <c r="E54" s="6">
        <f t="shared" ca="1" si="42"/>
        <v>79.77000000000001</v>
      </c>
      <c r="F54" s="6">
        <f t="shared" ref="F54" ca="1" si="50">F42</f>
        <v>52.065789473684617</v>
      </c>
      <c r="G54">
        <f>'Monthly Data'!CI54</f>
        <v>0</v>
      </c>
      <c r="H54">
        <f>'Monthly Data'!BA54</f>
        <v>243.5</v>
      </c>
      <c r="J54" s="6">
        <f t="shared" si="3"/>
        <v>4665603.6585154198</v>
      </c>
      <c r="K54" s="6">
        <f t="shared" ca="1" si="4"/>
        <v>346051.59963279369</v>
      </c>
      <c r="L54" s="6">
        <f t="shared" ca="1" si="5"/>
        <v>781909.5212524361</v>
      </c>
      <c r="M54" s="6">
        <f t="shared" si="6"/>
        <v>0</v>
      </c>
      <c r="N54" s="6">
        <f t="shared" si="7"/>
        <v>2450318.2610302875</v>
      </c>
      <c r="O54" s="6">
        <f t="shared" ca="1" si="8"/>
        <v>8243883.0404309379</v>
      </c>
      <c r="P54" s="6"/>
      <c r="Q54" s="15"/>
    </row>
    <row r="55" spans="1:17">
      <c r="A55" s="20">
        <f>'Monthly Data'!A55</f>
        <v>42522</v>
      </c>
      <c r="B55">
        <f t="shared" si="1"/>
        <v>6</v>
      </c>
      <c r="C55">
        <f t="shared" si="2"/>
        <v>2016</v>
      </c>
      <c r="D55" s="6">
        <f>'Monthly Data'!J55</f>
        <v>8595692.9989207722</v>
      </c>
      <c r="E55" s="6">
        <f t="shared" ca="1" si="42"/>
        <v>5.16</v>
      </c>
      <c r="F55" s="6">
        <f t="shared" ref="F55" ca="1" si="51">F43</f>
        <v>106.52421052631576</v>
      </c>
      <c r="G55">
        <f>'Monthly Data'!CI55</f>
        <v>0</v>
      </c>
      <c r="H55">
        <f>'Monthly Data'!BA55</f>
        <v>246.8</v>
      </c>
      <c r="J55" s="6">
        <f t="shared" si="3"/>
        <v>4665603.6585154198</v>
      </c>
      <c r="K55" s="6">
        <f t="shared" ca="1" si="4"/>
        <v>22384.684143226968</v>
      </c>
      <c r="L55" s="6">
        <f t="shared" ca="1" si="5"/>
        <v>1599750.9169917288</v>
      </c>
      <c r="M55" s="6">
        <f t="shared" si="6"/>
        <v>0</v>
      </c>
      <c r="N55" s="6">
        <f t="shared" si="7"/>
        <v>2483525.8596397326</v>
      </c>
      <c r="O55" s="6">
        <f t="shared" ca="1" si="8"/>
        <v>8771265.1192901079</v>
      </c>
      <c r="P55" s="6"/>
      <c r="Q55" s="15"/>
    </row>
    <row r="56" spans="1:17">
      <c r="A56" s="20">
        <f>'Monthly Data'!A56</f>
        <v>42552</v>
      </c>
      <c r="B56">
        <f t="shared" si="1"/>
        <v>7</v>
      </c>
      <c r="C56">
        <f t="shared" si="2"/>
        <v>2016</v>
      </c>
      <c r="D56" s="6">
        <f>'Monthly Data'!J56</f>
        <v>10219490.189801874</v>
      </c>
      <c r="E56" s="6">
        <f t="shared" ca="1" si="42"/>
        <v>0</v>
      </c>
      <c r="F56" s="6">
        <f t="shared" ref="F56" ca="1" si="52">F44</f>
        <v>189.76052631578978</v>
      </c>
      <c r="G56">
        <f>'Monthly Data'!CI56</f>
        <v>0</v>
      </c>
      <c r="H56">
        <f>'Monthly Data'!BA56</f>
        <v>249.6</v>
      </c>
      <c r="J56" s="6">
        <f t="shared" si="3"/>
        <v>4665603.6585154198</v>
      </c>
      <c r="K56" s="6">
        <f t="shared" ca="1" si="4"/>
        <v>0</v>
      </c>
      <c r="L56" s="6">
        <f t="shared" ca="1" si="5"/>
        <v>2849770.7186247949</v>
      </c>
      <c r="M56" s="6">
        <f t="shared" si="6"/>
        <v>0</v>
      </c>
      <c r="N56" s="6">
        <f t="shared" si="7"/>
        <v>2511702.0039144135</v>
      </c>
      <c r="O56" s="6">
        <f t="shared" ca="1" si="8"/>
        <v>10027076.381054629</v>
      </c>
      <c r="P56" s="6"/>
      <c r="Q56" s="15"/>
    </row>
    <row r="57" spans="1:17">
      <c r="A57" s="20">
        <f>'Monthly Data'!A57</f>
        <v>42583</v>
      </c>
      <c r="B57">
        <f t="shared" si="1"/>
        <v>8</v>
      </c>
      <c r="C57">
        <f t="shared" si="2"/>
        <v>2016</v>
      </c>
      <c r="D57" s="6">
        <f>'Monthly Data'!J57</f>
        <v>10586850.475766674</v>
      </c>
      <c r="E57" s="6">
        <f t="shared" ca="1" si="42"/>
        <v>8.0000000000000071E-2</v>
      </c>
      <c r="F57" s="6">
        <f t="shared" ref="F57" ca="1" si="53">F45</f>
        <v>169.11894736842078</v>
      </c>
      <c r="G57">
        <f>'Monthly Data'!CI57</f>
        <v>0</v>
      </c>
      <c r="H57">
        <f>'Monthly Data'!BA57</f>
        <v>251</v>
      </c>
      <c r="J57" s="6">
        <f t="shared" si="3"/>
        <v>4665603.6585154198</v>
      </c>
      <c r="K57" s="6">
        <f t="shared" ca="1" si="4"/>
        <v>347.0493665616587</v>
      </c>
      <c r="L57" s="6">
        <f t="shared" ca="1" si="5"/>
        <v>2539781.2365525188</v>
      </c>
      <c r="M57" s="6">
        <f t="shared" si="6"/>
        <v>0</v>
      </c>
      <c r="N57" s="6">
        <f t="shared" si="7"/>
        <v>2525790.0760517539</v>
      </c>
      <c r="O57" s="6">
        <f t="shared" ca="1" si="8"/>
        <v>9731522.0204862542</v>
      </c>
      <c r="P57" s="6"/>
      <c r="Q57" s="15"/>
    </row>
    <row r="58" spans="1:17">
      <c r="A58" s="20">
        <f>'Monthly Data'!A58</f>
        <v>42614</v>
      </c>
      <c r="B58">
        <f t="shared" si="1"/>
        <v>9</v>
      </c>
      <c r="C58">
        <f t="shared" si="2"/>
        <v>2016</v>
      </c>
      <c r="D58" s="6">
        <f>'Monthly Data'!J58</f>
        <v>8524200.2556404732</v>
      </c>
      <c r="E58" s="6">
        <f t="shared" ca="1" si="42"/>
        <v>12.280000000000001</v>
      </c>
      <c r="F58" s="6">
        <f t="shared" ref="F58" ca="1" si="54">F46</f>
        <v>77.220526315789357</v>
      </c>
      <c r="G58">
        <f>'Monthly Data'!CI58</f>
        <v>0</v>
      </c>
      <c r="H58">
        <f>'Monthly Data'!BA58</f>
        <v>248.4</v>
      </c>
      <c r="J58" s="6">
        <f t="shared" si="3"/>
        <v>4665603.6585154198</v>
      </c>
      <c r="K58" s="6">
        <f t="shared" ca="1" si="4"/>
        <v>53272.07776721457</v>
      </c>
      <c r="L58" s="6">
        <f t="shared" ca="1" si="5"/>
        <v>1159676.351262422</v>
      </c>
      <c r="M58" s="6">
        <f t="shared" si="6"/>
        <v>0</v>
      </c>
      <c r="N58" s="6">
        <f t="shared" si="7"/>
        <v>2499626.5135109788</v>
      </c>
      <c r="O58" s="6">
        <f t="shared" ca="1" si="8"/>
        <v>8378178.6010560356</v>
      </c>
      <c r="P58" s="6"/>
      <c r="Q58" s="15"/>
    </row>
    <row r="59" spans="1:17">
      <c r="A59" s="20">
        <f>'Monthly Data'!A59</f>
        <v>42644</v>
      </c>
      <c r="B59">
        <f t="shared" si="1"/>
        <v>10</v>
      </c>
      <c r="C59">
        <f t="shared" si="2"/>
        <v>2016</v>
      </c>
      <c r="D59" s="6">
        <f>'Monthly Data'!J59</f>
        <v>7901315.6122177718</v>
      </c>
      <c r="E59" s="6">
        <f t="shared" ca="1" si="42"/>
        <v>111.21000000000001</v>
      </c>
      <c r="F59" s="6">
        <f t="shared" ref="F59" ca="1" si="55">F47</f>
        <v>16.868947368421004</v>
      </c>
      <c r="G59">
        <f>'Monthly Data'!CI59</f>
        <v>0</v>
      </c>
      <c r="H59">
        <f>'Monthly Data'!BA59</f>
        <v>247.4</v>
      </c>
      <c r="J59" s="6">
        <f t="shared" si="3"/>
        <v>4665603.6585154198</v>
      </c>
      <c r="K59" s="6">
        <f t="shared" ca="1" si="4"/>
        <v>482442.00069152541</v>
      </c>
      <c r="L59" s="6">
        <f t="shared" ca="1" si="5"/>
        <v>253333.15204105698</v>
      </c>
      <c r="M59" s="6">
        <f t="shared" si="6"/>
        <v>0</v>
      </c>
      <c r="N59" s="6">
        <f t="shared" si="7"/>
        <v>2489563.6048414502</v>
      </c>
      <c r="O59" s="6">
        <f t="shared" ca="1" si="8"/>
        <v>7890942.4160894528</v>
      </c>
      <c r="P59" s="6"/>
      <c r="Q59" s="15"/>
    </row>
    <row r="60" spans="1:17">
      <c r="A60" s="20">
        <f>'Monthly Data'!A60</f>
        <v>42675</v>
      </c>
      <c r="B60">
        <f t="shared" si="1"/>
        <v>11</v>
      </c>
      <c r="C60">
        <f t="shared" si="2"/>
        <v>2016</v>
      </c>
      <c r="D60" s="6">
        <f>'Monthly Data'!J60</f>
        <v>7994603.2368015721</v>
      </c>
      <c r="E60" s="6">
        <f t="shared" ca="1" si="42"/>
        <v>297.28000000000003</v>
      </c>
      <c r="F60" s="6">
        <f t="shared" ref="F60" ca="1" si="56">F48</f>
        <v>1.2689473684210384</v>
      </c>
      <c r="G60">
        <f>'Monthly Data'!CI60</f>
        <v>0</v>
      </c>
      <c r="H60">
        <f>'Monthly Data'!BA60</f>
        <v>242.2</v>
      </c>
      <c r="J60" s="6">
        <f t="shared" si="3"/>
        <v>4665603.6585154198</v>
      </c>
      <c r="K60" s="6">
        <f t="shared" ca="1" si="4"/>
        <v>1289635.4461431226</v>
      </c>
      <c r="L60" s="6">
        <f t="shared" ca="1" si="5"/>
        <v>19056.698061557621</v>
      </c>
      <c r="M60" s="6">
        <f t="shared" si="6"/>
        <v>0</v>
      </c>
      <c r="N60" s="6">
        <f t="shared" si="7"/>
        <v>2437236.4797598994</v>
      </c>
      <c r="O60" s="6">
        <f t="shared" ca="1" si="8"/>
        <v>8411532.2824799996</v>
      </c>
      <c r="P60" s="6"/>
      <c r="Q60" s="15"/>
    </row>
    <row r="61" spans="1:17">
      <c r="A61" s="20">
        <f>'Monthly Data'!A61</f>
        <v>42705</v>
      </c>
      <c r="B61">
        <f>MONTH(A61)</f>
        <v>12</v>
      </c>
      <c r="C61">
        <f>YEAR(A61)</f>
        <v>2016</v>
      </c>
      <c r="D61" s="6">
        <f>'Monthly Data'!J61</f>
        <v>9430061.9246487729</v>
      </c>
      <c r="E61" s="6">
        <f t="shared" ca="1" si="42"/>
        <v>440.25</v>
      </c>
      <c r="F61" s="6">
        <f t="shared" ref="F61" ca="1" si="57">F49</f>
        <v>0</v>
      </c>
      <c r="G61">
        <f>'Monthly Data'!CI61</f>
        <v>0</v>
      </c>
      <c r="H61">
        <f>'Monthly Data'!BA61</f>
        <v>241.1</v>
      </c>
      <c r="J61" s="6">
        <f t="shared" si="3"/>
        <v>4665603.6585154198</v>
      </c>
      <c r="K61" s="6">
        <f t="shared" ca="1" si="4"/>
        <v>1909856.0453596264</v>
      </c>
      <c r="L61" s="6">
        <f t="shared" ca="1" si="5"/>
        <v>0</v>
      </c>
      <c r="M61" s="6">
        <f t="shared" si="6"/>
        <v>0</v>
      </c>
      <c r="N61" s="6">
        <f t="shared" si="7"/>
        <v>2426167.280223418</v>
      </c>
      <c r="O61" s="6">
        <f t="shared" ca="1" si="8"/>
        <v>9001626.9840984643</v>
      </c>
      <c r="P61" s="6"/>
      <c r="Q61" s="15"/>
    </row>
    <row r="62" spans="1:17">
      <c r="A62" s="20">
        <f>'Monthly Data'!A62</f>
        <v>42736</v>
      </c>
      <c r="B62">
        <f>MONTH(A62)</f>
        <v>1</v>
      </c>
      <c r="C62">
        <f>YEAR(A62)</f>
        <v>2017</v>
      </c>
      <c r="D62" s="6">
        <f>'Monthly Data'!J62</f>
        <v>9394536.1409439929</v>
      </c>
      <c r="E62" s="6">
        <f t="shared" ca="1" si="42"/>
        <v>564.86</v>
      </c>
      <c r="F62" s="6">
        <f t="shared" ref="F62" ca="1" si="58">F50</f>
        <v>0</v>
      </c>
      <c r="G62">
        <f>'Monthly Data'!CI62</f>
        <v>0</v>
      </c>
      <c r="H62">
        <f>'Monthly Data'!BA62</f>
        <v>238.5</v>
      </c>
      <c r="J62" s="6">
        <f t="shared" si="3"/>
        <v>4665603.6585154198</v>
      </c>
      <c r="K62" s="6">
        <f t="shared" ca="1" si="4"/>
        <v>2450428.8149502296</v>
      </c>
      <c r="L62" s="6">
        <f t="shared" ca="1" si="5"/>
        <v>0</v>
      </c>
      <c r="M62" s="6">
        <f t="shared" si="6"/>
        <v>0</v>
      </c>
      <c r="N62" s="6">
        <f t="shared" si="7"/>
        <v>2400003.7176826429</v>
      </c>
      <c r="O62" s="6">
        <f t="shared" ca="1" si="8"/>
        <v>9516036.1911482923</v>
      </c>
      <c r="P62" s="6"/>
      <c r="Q62" s="15"/>
    </row>
    <row r="63" spans="1:17">
      <c r="A63" s="20">
        <f>'Monthly Data'!A63</f>
        <v>42767</v>
      </c>
      <c r="B63">
        <f>MONTH(A63)</f>
        <v>2</v>
      </c>
      <c r="C63">
        <f>YEAR(A63)</f>
        <v>2017</v>
      </c>
      <c r="D63" s="6">
        <f>'Monthly Data'!J63</f>
        <v>8205817.9846679755</v>
      </c>
      <c r="E63" s="6">
        <f t="shared" ca="1" si="42"/>
        <v>516.43000000000006</v>
      </c>
      <c r="F63" s="6">
        <f t="shared" ref="F63" ca="1" si="59">F51</f>
        <v>0</v>
      </c>
      <c r="G63">
        <f>'Monthly Data'!CI63</f>
        <v>0</v>
      </c>
      <c r="H63">
        <f>'Monthly Data'!BA63</f>
        <v>241.2</v>
      </c>
      <c r="J63" s="6">
        <f t="shared" si="3"/>
        <v>4665603.6585154198</v>
      </c>
      <c r="K63" s="6">
        <f t="shared" ca="1" si="4"/>
        <v>2240333.804667966</v>
      </c>
      <c r="L63" s="6">
        <f t="shared" ca="1" si="5"/>
        <v>0</v>
      </c>
      <c r="M63" s="6">
        <f t="shared" si="6"/>
        <v>0</v>
      </c>
      <c r="N63" s="6">
        <f t="shared" si="7"/>
        <v>2427173.5710903709</v>
      </c>
      <c r="O63" s="6">
        <f t="shared" ca="1" si="8"/>
        <v>9333111.0342737567</v>
      </c>
      <c r="P63" s="6"/>
      <c r="Q63" s="15"/>
    </row>
    <row r="64" spans="1:17">
      <c r="A64" s="20">
        <f>'Monthly Data'!A64</f>
        <v>42795</v>
      </c>
      <c r="B64">
        <f>MONTH(A64)</f>
        <v>3</v>
      </c>
      <c r="C64">
        <f>YEAR(A64)</f>
        <v>2017</v>
      </c>
      <c r="D64" s="6">
        <f>'Monthly Data'!J64</f>
        <v>8991014.4320844971</v>
      </c>
      <c r="E64" s="6">
        <f t="shared" ca="1" si="42"/>
        <v>412.32</v>
      </c>
      <c r="F64" s="6">
        <f t="shared" ref="F64" ca="1" si="60">F52</f>
        <v>0.57842105263157961</v>
      </c>
      <c r="G64">
        <f>'Monthly Data'!CI64</f>
        <v>0</v>
      </c>
      <c r="H64">
        <f>'Monthly Data'!BA64</f>
        <v>243.9</v>
      </c>
      <c r="J64" s="6">
        <f t="shared" si="3"/>
        <v>4665603.6585154198</v>
      </c>
      <c r="K64" s="6">
        <f t="shared" ca="1" si="4"/>
        <v>1788692.4352587874</v>
      </c>
      <c r="L64" s="6">
        <f t="shared" ca="1" si="5"/>
        <v>8686.5662254882136</v>
      </c>
      <c r="M64" s="6">
        <f t="shared" si="6"/>
        <v>0</v>
      </c>
      <c r="N64" s="6">
        <f t="shared" si="7"/>
        <v>2454343.4244980989</v>
      </c>
      <c r="O64" s="6">
        <f t="shared" ca="1" si="8"/>
        <v>8917326.0844977945</v>
      </c>
      <c r="P64" s="6"/>
      <c r="Q64" s="15"/>
    </row>
    <row r="65" spans="1:17">
      <c r="A65" s="20">
        <f>'Monthly Data'!A65</f>
        <v>42826</v>
      </c>
      <c r="B65">
        <f t="shared" ref="B65:B96" si="61">MONTH(A65)</f>
        <v>4</v>
      </c>
      <c r="C65">
        <f t="shared" ref="C65:C96" si="62">YEAR(A65)</f>
        <v>2017</v>
      </c>
      <c r="D65" s="6">
        <f>'Monthly Data'!J65</f>
        <v>7628637.7486069882</v>
      </c>
      <c r="E65" s="6">
        <f t="shared" ca="1" si="42"/>
        <v>229.95</v>
      </c>
      <c r="F65" s="6">
        <f t="shared" ref="F65" ca="1" si="63">F53</f>
        <v>1.3889473684210429</v>
      </c>
      <c r="G65">
        <f>'Monthly Data'!CI65</f>
        <v>0</v>
      </c>
      <c r="H65">
        <f>'Monthly Data'!BA65</f>
        <v>245.6</v>
      </c>
      <c r="J65" s="6">
        <f t="shared" si="3"/>
        <v>4665603.6585154198</v>
      </c>
      <c r="K65" s="6">
        <f t="shared" ca="1" si="4"/>
        <v>997550.02301066683</v>
      </c>
      <c r="L65" s="6">
        <f t="shared" ca="1" si="5"/>
        <v>20858.824630630763</v>
      </c>
      <c r="M65" s="6">
        <f t="shared" si="6"/>
        <v>0</v>
      </c>
      <c r="N65" s="6">
        <f t="shared" si="7"/>
        <v>2471450.3692362979</v>
      </c>
      <c r="O65" s="6">
        <f t="shared" ca="1" si="8"/>
        <v>8155462.8753930153</v>
      </c>
      <c r="P65" s="6"/>
      <c r="Q65" s="15"/>
    </row>
    <row r="66" spans="1:17">
      <c r="A66" s="20">
        <f>'Monthly Data'!A66</f>
        <v>42856</v>
      </c>
      <c r="B66">
        <f t="shared" si="61"/>
        <v>5</v>
      </c>
      <c r="C66">
        <f t="shared" si="62"/>
        <v>2017</v>
      </c>
      <c r="D66" s="6">
        <f>'Monthly Data'!J66</f>
        <v>7802364.6196940765</v>
      </c>
      <c r="E66" s="6">
        <f t="shared" ca="1" si="42"/>
        <v>79.77000000000001</v>
      </c>
      <c r="F66" s="6">
        <f t="shared" ref="F66" ca="1" si="64">F54</f>
        <v>52.065789473684617</v>
      </c>
      <c r="G66">
        <f>'Monthly Data'!CI66</f>
        <v>0</v>
      </c>
      <c r="H66">
        <f>'Monthly Data'!BA66</f>
        <v>248.3</v>
      </c>
      <c r="J66" s="6">
        <f t="shared" si="3"/>
        <v>4665603.6585154198</v>
      </c>
      <c r="K66" s="6">
        <f t="shared" ca="1" si="4"/>
        <v>346051.59963279369</v>
      </c>
      <c r="L66" s="6">
        <f t="shared" ca="1" si="5"/>
        <v>781909.5212524361</v>
      </c>
      <c r="M66" s="6">
        <f t="shared" si="6"/>
        <v>0</v>
      </c>
      <c r="N66" s="6">
        <f t="shared" si="7"/>
        <v>2498620.2226440259</v>
      </c>
      <c r="O66" s="6">
        <f t="shared" ca="1" si="8"/>
        <v>8292185.0020446759</v>
      </c>
      <c r="P66" s="6"/>
      <c r="Q66" s="15"/>
    </row>
    <row r="67" spans="1:17">
      <c r="A67" s="20">
        <f>'Monthly Data'!A67</f>
        <v>42887</v>
      </c>
      <c r="B67">
        <f t="shared" si="61"/>
        <v>6</v>
      </c>
      <c r="C67">
        <f t="shared" si="62"/>
        <v>2017</v>
      </c>
      <c r="D67" s="6">
        <f>'Monthly Data'!J67</f>
        <v>8568018.6844583936</v>
      </c>
      <c r="E67" s="6">
        <f t="shared" ca="1" si="42"/>
        <v>5.16</v>
      </c>
      <c r="F67" s="6">
        <f t="shared" ref="F67" ca="1" si="65">F55</f>
        <v>106.52421052631576</v>
      </c>
      <c r="G67">
        <f>'Monthly Data'!CI67</f>
        <v>0</v>
      </c>
      <c r="H67">
        <f>'Monthly Data'!BA67</f>
        <v>252.6</v>
      </c>
      <c r="J67" s="6">
        <f t="shared" ref="J67:J130" si="66">$R$7</f>
        <v>4665603.6585154198</v>
      </c>
      <c r="K67" s="6">
        <f t="shared" ref="K67:K130" ca="1" si="67">E67*$R$8</f>
        <v>22384.684143226968</v>
      </c>
      <c r="L67" s="6">
        <f t="shared" ref="L67:L130" ca="1" si="68">F67*$R$9</f>
        <v>1599750.9169917288</v>
      </c>
      <c r="M67" s="6">
        <f t="shared" ref="M67:M130" si="69">G67*$R$10</f>
        <v>0</v>
      </c>
      <c r="N67" s="6">
        <f t="shared" ref="N67:N130" si="70">H67*$R$11</f>
        <v>2541890.7299230001</v>
      </c>
      <c r="O67" s="6">
        <f t="shared" ref="O67:O130" ca="1" si="71">SUM(J67:N67)</f>
        <v>8829629.9895733763</v>
      </c>
      <c r="P67" s="6"/>
      <c r="Q67" s="15"/>
    </row>
    <row r="68" spans="1:17">
      <c r="A68" s="20">
        <f>'Monthly Data'!A68</f>
        <v>42917</v>
      </c>
      <c r="B68">
        <f t="shared" si="61"/>
        <v>7</v>
      </c>
      <c r="C68">
        <f t="shared" si="62"/>
        <v>2017</v>
      </c>
      <c r="D68" s="6">
        <f>'Monthly Data'!J68</f>
        <v>9396094.8214159403</v>
      </c>
      <c r="E68" s="6">
        <f t="shared" ca="1" si="42"/>
        <v>0</v>
      </c>
      <c r="F68" s="6">
        <f t="shared" ref="F68" ca="1" si="72">F56</f>
        <v>189.76052631578978</v>
      </c>
      <c r="G68">
        <f>'Monthly Data'!CI68</f>
        <v>0</v>
      </c>
      <c r="H68">
        <f>'Monthly Data'!BA68</f>
        <v>254.8</v>
      </c>
      <c r="J68" s="6">
        <f t="shared" si="66"/>
        <v>4665603.6585154198</v>
      </c>
      <c r="K68" s="6">
        <f t="shared" ca="1" si="67"/>
        <v>0</v>
      </c>
      <c r="L68" s="6">
        <f t="shared" ca="1" si="68"/>
        <v>2849770.7186247949</v>
      </c>
      <c r="M68" s="6">
        <f t="shared" si="69"/>
        <v>0</v>
      </c>
      <c r="N68" s="6">
        <f t="shared" si="70"/>
        <v>2564029.1289959638</v>
      </c>
      <c r="O68" s="6">
        <f t="shared" ca="1" si="71"/>
        <v>10079403.506136179</v>
      </c>
      <c r="P68" s="6"/>
      <c r="Q68" s="15"/>
    </row>
    <row r="69" spans="1:17">
      <c r="A69" s="20">
        <f>'Monthly Data'!A69</f>
        <v>42948</v>
      </c>
      <c r="B69">
        <f t="shared" si="61"/>
        <v>8</v>
      </c>
      <c r="C69">
        <f t="shared" si="62"/>
        <v>2017</v>
      </c>
      <c r="D69" s="6">
        <f>'Monthly Data'!J69</f>
        <v>9013385.7733225636</v>
      </c>
      <c r="E69" s="6">
        <f t="shared" ca="1" si="42"/>
        <v>8.0000000000000071E-2</v>
      </c>
      <c r="F69" s="6">
        <f t="shared" ref="F69" ca="1" si="73">F57</f>
        <v>169.11894736842078</v>
      </c>
      <c r="G69">
        <f>'Monthly Data'!CI69</f>
        <v>0</v>
      </c>
      <c r="H69">
        <f>'Monthly Data'!BA69</f>
        <v>251.5</v>
      </c>
      <c r="J69" s="6">
        <f t="shared" si="66"/>
        <v>4665603.6585154198</v>
      </c>
      <c r="K69" s="6">
        <f t="shared" ca="1" si="67"/>
        <v>347.0493665616587</v>
      </c>
      <c r="L69" s="6">
        <f t="shared" ca="1" si="68"/>
        <v>2539781.2365525188</v>
      </c>
      <c r="M69" s="6">
        <f t="shared" si="69"/>
        <v>0</v>
      </c>
      <c r="N69" s="6">
        <f t="shared" si="70"/>
        <v>2530821.5303865187</v>
      </c>
      <c r="O69" s="6">
        <f t="shared" ca="1" si="71"/>
        <v>9736553.4748210199</v>
      </c>
      <c r="P69" s="6"/>
      <c r="Q69" s="15"/>
    </row>
    <row r="70" spans="1:17">
      <c r="A70" s="20">
        <f>'Monthly Data'!A70</f>
        <v>42979</v>
      </c>
      <c r="B70">
        <f t="shared" si="61"/>
        <v>9</v>
      </c>
      <c r="C70">
        <f t="shared" si="62"/>
        <v>2017</v>
      </c>
      <c r="D70" s="6">
        <f>'Monthly Data'!J70</f>
        <v>8245914.4193014568</v>
      </c>
      <c r="E70" s="6">
        <f t="shared" ca="1" si="42"/>
        <v>12.280000000000001</v>
      </c>
      <c r="F70" s="6">
        <f t="shared" ref="F70" ca="1" si="74">F58</f>
        <v>77.220526315789357</v>
      </c>
      <c r="G70">
        <f>'Monthly Data'!CI70</f>
        <v>0</v>
      </c>
      <c r="H70">
        <f>'Monthly Data'!BA70</f>
        <v>246.3</v>
      </c>
      <c r="J70" s="6">
        <f t="shared" si="66"/>
        <v>4665603.6585154198</v>
      </c>
      <c r="K70" s="6">
        <f t="shared" ca="1" si="67"/>
        <v>53272.07776721457</v>
      </c>
      <c r="L70" s="6">
        <f t="shared" ca="1" si="68"/>
        <v>1159676.351262422</v>
      </c>
      <c r="M70" s="6">
        <f t="shared" si="69"/>
        <v>0</v>
      </c>
      <c r="N70" s="6">
        <f t="shared" si="70"/>
        <v>2478494.4053049684</v>
      </c>
      <c r="O70" s="6">
        <f t="shared" ca="1" si="71"/>
        <v>8357046.4928500252</v>
      </c>
      <c r="P70" s="6"/>
      <c r="Q70" s="15"/>
    </row>
    <row r="71" spans="1:17">
      <c r="A71" s="20">
        <f>'Monthly Data'!A71</f>
        <v>43009</v>
      </c>
      <c r="B71">
        <f t="shared" si="61"/>
        <v>10</v>
      </c>
      <c r="C71">
        <f t="shared" si="62"/>
        <v>2017</v>
      </c>
      <c r="D71" s="6">
        <f>'Monthly Data'!J71</f>
        <v>7746325.4601202719</v>
      </c>
      <c r="E71" s="6">
        <f t="shared" ca="1" si="42"/>
        <v>111.21000000000001</v>
      </c>
      <c r="F71" s="6">
        <f t="shared" ref="F71" ca="1" si="75">F59</f>
        <v>16.868947368421004</v>
      </c>
      <c r="G71">
        <f>'Monthly Data'!CI71</f>
        <v>0</v>
      </c>
      <c r="H71">
        <f>'Monthly Data'!BA71</f>
        <v>244.7</v>
      </c>
      <c r="J71" s="6">
        <f t="shared" si="66"/>
        <v>4665603.6585154198</v>
      </c>
      <c r="K71" s="6">
        <f t="shared" ca="1" si="67"/>
        <v>482442.00069152541</v>
      </c>
      <c r="L71" s="6">
        <f t="shared" ca="1" si="68"/>
        <v>253333.15204105698</v>
      </c>
      <c r="M71" s="6">
        <f t="shared" si="69"/>
        <v>0</v>
      </c>
      <c r="N71" s="6">
        <f t="shared" si="70"/>
        <v>2462393.7514337217</v>
      </c>
      <c r="O71" s="6">
        <f t="shared" ca="1" si="71"/>
        <v>7863772.5626817243</v>
      </c>
      <c r="P71" s="6"/>
      <c r="Q71" s="15"/>
    </row>
    <row r="72" spans="1:17">
      <c r="A72" s="20">
        <f>'Monthly Data'!A72</f>
        <v>43040</v>
      </c>
      <c r="B72">
        <f t="shared" si="61"/>
        <v>11</v>
      </c>
      <c r="C72">
        <f t="shared" si="62"/>
        <v>2017</v>
      </c>
      <c r="D72" s="6">
        <f>'Monthly Data'!J72</f>
        <v>8373365.6037009042</v>
      </c>
      <c r="E72" s="6">
        <f t="shared" ca="1" si="42"/>
        <v>297.28000000000003</v>
      </c>
      <c r="F72" s="6">
        <f t="shared" ref="F72" ca="1" si="76">F60</f>
        <v>1.2689473684210384</v>
      </c>
      <c r="G72">
        <f>'Monthly Data'!CI72</f>
        <v>0</v>
      </c>
      <c r="H72">
        <f>'Monthly Data'!BA72</f>
        <v>245.9</v>
      </c>
      <c r="J72" s="6">
        <f t="shared" si="66"/>
        <v>4665603.6585154198</v>
      </c>
      <c r="K72" s="6">
        <f t="shared" ca="1" si="67"/>
        <v>1289635.4461431226</v>
      </c>
      <c r="L72" s="6">
        <f t="shared" ca="1" si="68"/>
        <v>19056.698061557621</v>
      </c>
      <c r="M72" s="6">
        <f t="shared" si="69"/>
        <v>0</v>
      </c>
      <c r="N72" s="6">
        <f t="shared" si="70"/>
        <v>2474469.2418371569</v>
      </c>
      <c r="O72" s="6">
        <f t="shared" ca="1" si="71"/>
        <v>8448765.0445572566</v>
      </c>
      <c r="P72" s="6"/>
      <c r="Q72" s="15"/>
    </row>
    <row r="73" spans="1:17">
      <c r="A73" s="20">
        <f>'Monthly Data'!A73</f>
        <v>43070</v>
      </c>
      <c r="B73">
        <f t="shared" si="61"/>
        <v>12</v>
      </c>
      <c r="C73">
        <f t="shared" si="62"/>
        <v>2017</v>
      </c>
      <c r="D73" s="6">
        <f>'Monthly Data'!J73</f>
        <v>9299039.0866151359</v>
      </c>
      <c r="E73" s="6">
        <f t="shared" ca="1" si="42"/>
        <v>440.25</v>
      </c>
      <c r="F73" s="6">
        <f t="shared" ref="F73" ca="1" si="77">F61</f>
        <v>0</v>
      </c>
      <c r="G73">
        <f>'Monthly Data'!CI73</f>
        <v>0</v>
      </c>
      <c r="H73">
        <f>'Monthly Data'!BA73</f>
        <v>246.8</v>
      </c>
      <c r="J73" s="6">
        <f t="shared" si="66"/>
        <v>4665603.6585154198</v>
      </c>
      <c r="K73" s="6">
        <f t="shared" ca="1" si="67"/>
        <v>1909856.0453596264</v>
      </c>
      <c r="L73" s="6">
        <f t="shared" ca="1" si="68"/>
        <v>0</v>
      </c>
      <c r="M73" s="6">
        <f t="shared" si="69"/>
        <v>0</v>
      </c>
      <c r="N73" s="6">
        <f t="shared" si="70"/>
        <v>2483525.8596397326</v>
      </c>
      <c r="O73" s="6">
        <f t="shared" ca="1" si="71"/>
        <v>9058985.5635147784</v>
      </c>
      <c r="P73" s="6"/>
      <c r="Q73" s="15"/>
    </row>
    <row r="74" spans="1:17">
      <c r="A74" s="20">
        <f>'Monthly Data'!A74</f>
        <v>43101</v>
      </c>
      <c r="B74">
        <f t="shared" si="61"/>
        <v>1</v>
      </c>
      <c r="C74">
        <f t="shared" si="62"/>
        <v>2018</v>
      </c>
      <c r="D74" s="6">
        <f>'Monthly Data'!J74</f>
        <v>9887375.4825748149</v>
      </c>
      <c r="E74" s="6">
        <f t="shared" ca="1" si="42"/>
        <v>564.86</v>
      </c>
      <c r="F74" s="6">
        <f t="shared" ref="F74" ca="1" si="78">F62</f>
        <v>0</v>
      </c>
      <c r="G74">
        <f>'Monthly Data'!CI74</f>
        <v>0</v>
      </c>
      <c r="H74">
        <f>'Monthly Data'!BA74</f>
        <v>246.6</v>
      </c>
      <c r="J74" s="6">
        <f t="shared" si="66"/>
        <v>4665603.6585154198</v>
      </c>
      <c r="K74" s="6">
        <f t="shared" ca="1" si="67"/>
        <v>2450428.8149502296</v>
      </c>
      <c r="L74" s="6">
        <f t="shared" ca="1" si="68"/>
        <v>0</v>
      </c>
      <c r="M74" s="6">
        <f t="shared" si="69"/>
        <v>0</v>
      </c>
      <c r="N74" s="6">
        <f t="shared" si="70"/>
        <v>2481513.2779058269</v>
      </c>
      <c r="O74" s="6">
        <f t="shared" ca="1" si="71"/>
        <v>9597545.7513714768</v>
      </c>
      <c r="P74" s="6"/>
      <c r="Q74" s="15"/>
    </row>
    <row r="75" spans="1:17">
      <c r="A75" s="20">
        <f>'Monthly Data'!A75</f>
        <v>43132</v>
      </c>
      <c r="B75">
        <f t="shared" si="61"/>
        <v>2</v>
      </c>
      <c r="C75">
        <f t="shared" si="62"/>
        <v>2018</v>
      </c>
      <c r="D75" s="6">
        <f>'Monthly Data'!J75</f>
        <v>8512331.4271643814</v>
      </c>
      <c r="E75" s="6">
        <f t="shared" ca="1" si="42"/>
        <v>516.43000000000006</v>
      </c>
      <c r="F75" s="6">
        <f t="shared" ref="F75" ca="1" si="79">F63</f>
        <v>0</v>
      </c>
      <c r="G75">
        <f>'Monthly Data'!CI75</f>
        <v>0</v>
      </c>
      <c r="H75">
        <f>'Monthly Data'!BA75</f>
        <v>249</v>
      </c>
      <c r="J75" s="6">
        <f t="shared" si="66"/>
        <v>4665603.6585154198</v>
      </c>
      <c r="K75" s="6">
        <f t="shared" ca="1" si="67"/>
        <v>2240333.804667966</v>
      </c>
      <c r="L75" s="6">
        <f t="shared" ca="1" si="68"/>
        <v>0</v>
      </c>
      <c r="M75" s="6">
        <f t="shared" si="69"/>
        <v>0</v>
      </c>
      <c r="N75" s="6">
        <f t="shared" si="70"/>
        <v>2505664.2587126964</v>
      </c>
      <c r="O75" s="6">
        <f t="shared" ca="1" si="71"/>
        <v>9411601.7218960822</v>
      </c>
      <c r="P75" s="6"/>
      <c r="Q75" s="15"/>
    </row>
    <row r="76" spans="1:17">
      <c r="A76" s="20">
        <f>'Monthly Data'!A76</f>
        <v>43160</v>
      </c>
      <c r="B76">
        <f t="shared" si="61"/>
        <v>3</v>
      </c>
      <c r="C76">
        <f t="shared" si="62"/>
        <v>2018</v>
      </c>
      <c r="D76" s="6">
        <f>'Monthly Data'!J76</f>
        <v>8970271.9821998216</v>
      </c>
      <c r="E76" s="6">
        <f t="shared" ca="1" si="42"/>
        <v>412.32</v>
      </c>
      <c r="F76" s="6">
        <f t="shared" ref="F76" ca="1" si="80">F64</f>
        <v>0.57842105263157961</v>
      </c>
      <c r="G76">
        <f>'Monthly Data'!CI76</f>
        <v>0</v>
      </c>
      <c r="H76">
        <f>'Monthly Data'!BA76</f>
        <v>250.6</v>
      </c>
      <c r="J76" s="6">
        <f t="shared" si="66"/>
        <v>4665603.6585154198</v>
      </c>
      <c r="K76" s="6">
        <f t="shared" ca="1" si="67"/>
        <v>1788692.4352587874</v>
      </c>
      <c r="L76" s="6">
        <f t="shared" ca="1" si="68"/>
        <v>8686.5662254882136</v>
      </c>
      <c r="M76" s="6">
        <f t="shared" si="69"/>
        <v>0</v>
      </c>
      <c r="N76" s="6">
        <f t="shared" si="70"/>
        <v>2521764.9125839425</v>
      </c>
      <c r="O76" s="6">
        <f t="shared" ca="1" si="71"/>
        <v>8984747.5725836381</v>
      </c>
      <c r="P76" s="6"/>
      <c r="Q76" s="15"/>
    </row>
    <row r="77" spans="1:17">
      <c r="A77" s="20">
        <f>'Monthly Data'!A77</f>
        <v>43191</v>
      </c>
      <c r="B77">
        <f t="shared" si="61"/>
        <v>4</v>
      </c>
      <c r="C77">
        <f t="shared" si="62"/>
        <v>2018</v>
      </c>
      <c r="D77" s="6">
        <f>'Monthly Data'!J77</f>
        <v>8297636.6351806959</v>
      </c>
      <c r="E77" s="6">
        <f t="shared" ca="1" si="42"/>
        <v>229.95</v>
      </c>
      <c r="F77" s="6">
        <f t="shared" ref="F77" ca="1" si="81">F65</f>
        <v>1.3889473684210429</v>
      </c>
      <c r="G77">
        <f>'Monthly Data'!CI77</f>
        <v>0</v>
      </c>
      <c r="H77">
        <f>'Monthly Data'!BA77</f>
        <v>253.2</v>
      </c>
      <c r="J77" s="6">
        <f t="shared" si="66"/>
        <v>4665603.6585154198</v>
      </c>
      <c r="K77" s="6">
        <f t="shared" ca="1" si="67"/>
        <v>997550.02301066683</v>
      </c>
      <c r="L77" s="6">
        <f t="shared" ca="1" si="68"/>
        <v>20858.824630630763</v>
      </c>
      <c r="M77" s="6">
        <f t="shared" si="69"/>
        <v>0</v>
      </c>
      <c r="N77" s="6">
        <f t="shared" si="70"/>
        <v>2547928.4751247177</v>
      </c>
      <c r="O77" s="6">
        <f t="shared" ca="1" si="71"/>
        <v>8231940.9812814351</v>
      </c>
      <c r="P77" s="6"/>
      <c r="Q77" s="15"/>
    </row>
    <row r="78" spans="1:17">
      <c r="A78" s="20">
        <f>'Monthly Data'!A78</f>
        <v>43221</v>
      </c>
      <c r="B78">
        <f t="shared" si="61"/>
        <v>5</v>
      </c>
      <c r="C78">
        <f t="shared" si="62"/>
        <v>2018</v>
      </c>
      <c r="D78" s="6">
        <f>'Monthly Data'!J78</f>
        <v>8249231.8735396629</v>
      </c>
      <c r="E78" s="6">
        <f t="shared" ca="1" si="42"/>
        <v>79.77000000000001</v>
      </c>
      <c r="F78" s="6">
        <f t="shared" ref="F78" ca="1" si="82">F66</f>
        <v>52.065789473684617</v>
      </c>
      <c r="G78">
        <f>'Monthly Data'!CI78</f>
        <v>0</v>
      </c>
      <c r="H78">
        <f>'Monthly Data'!BA78</f>
        <v>255.4</v>
      </c>
      <c r="J78" s="6">
        <f t="shared" si="66"/>
        <v>4665603.6585154198</v>
      </c>
      <c r="K78" s="6">
        <f t="shared" ca="1" si="67"/>
        <v>346051.59963279369</v>
      </c>
      <c r="L78" s="6">
        <f t="shared" ca="1" si="68"/>
        <v>781909.5212524361</v>
      </c>
      <c r="M78" s="6">
        <f t="shared" si="69"/>
        <v>0</v>
      </c>
      <c r="N78" s="6">
        <f t="shared" si="70"/>
        <v>2570066.8741976814</v>
      </c>
      <c r="O78" s="6">
        <f t="shared" ca="1" si="71"/>
        <v>8363631.6535983318</v>
      </c>
      <c r="P78" s="6"/>
      <c r="Q78" s="15"/>
    </row>
    <row r="79" spans="1:17">
      <c r="A79" s="20">
        <f>'Monthly Data'!A79</f>
        <v>43252</v>
      </c>
      <c r="B79">
        <f t="shared" si="61"/>
        <v>6</v>
      </c>
      <c r="C79">
        <f t="shared" si="62"/>
        <v>2018</v>
      </c>
      <c r="D79" s="6">
        <f>'Monthly Data'!J79</f>
        <v>8373888.3241558662</v>
      </c>
      <c r="E79" s="6">
        <f t="shared" ref="E79:E110" ca="1" si="83">E67</f>
        <v>5.16</v>
      </c>
      <c r="F79" s="6">
        <f t="shared" ref="F79" ca="1" si="84">F67</f>
        <v>106.52421052631576</v>
      </c>
      <c r="G79">
        <f>'Monthly Data'!CI79</f>
        <v>0</v>
      </c>
      <c r="H79">
        <f>'Monthly Data'!BA79</f>
        <v>259.3</v>
      </c>
      <c r="J79" s="6">
        <f t="shared" si="66"/>
        <v>4665603.6585154198</v>
      </c>
      <c r="K79" s="6">
        <f t="shared" ca="1" si="67"/>
        <v>22384.684143226968</v>
      </c>
      <c r="L79" s="6">
        <f t="shared" ca="1" si="68"/>
        <v>1599750.9169917288</v>
      </c>
      <c r="M79" s="6">
        <f t="shared" si="69"/>
        <v>0</v>
      </c>
      <c r="N79" s="6">
        <f t="shared" si="70"/>
        <v>2609312.2180088442</v>
      </c>
      <c r="O79" s="6">
        <f t="shared" ca="1" si="71"/>
        <v>8897051.4776592199</v>
      </c>
      <c r="P79" s="6"/>
      <c r="Q79" s="15"/>
    </row>
    <row r="80" spans="1:17">
      <c r="A80" s="20">
        <f>'Monthly Data'!A80</f>
        <v>43282</v>
      </c>
      <c r="B80">
        <f t="shared" si="61"/>
        <v>7</v>
      </c>
      <c r="C80">
        <f t="shared" si="62"/>
        <v>2018</v>
      </c>
      <c r="D80" s="6">
        <f>'Monthly Data'!J80</f>
        <v>9741782.1239099316</v>
      </c>
      <c r="E80" s="6">
        <f t="shared" ca="1" si="83"/>
        <v>0</v>
      </c>
      <c r="F80" s="6">
        <f t="shared" ref="F80" ca="1" si="85">F68</f>
        <v>189.76052631578978</v>
      </c>
      <c r="G80">
        <f>'Monthly Data'!CI80</f>
        <v>0</v>
      </c>
      <c r="H80">
        <f>'Monthly Data'!BA80</f>
        <v>263.3</v>
      </c>
      <c r="J80" s="6">
        <f t="shared" si="66"/>
        <v>4665603.6585154198</v>
      </c>
      <c r="K80" s="6">
        <f t="shared" ca="1" si="67"/>
        <v>0</v>
      </c>
      <c r="L80" s="6">
        <f t="shared" ca="1" si="68"/>
        <v>2849770.7186247949</v>
      </c>
      <c r="M80" s="6">
        <f t="shared" si="69"/>
        <v>0</v>
      </c>
      <c r="N80" s="6">
        <f t="shared" si="70"/>
        <v>2649563.8526869598</v>
      </c>
      <c r="O80" s="6">
        <f t="shared" ca="1" si="71"/>
        <v>10164938.229827175</v>
      </c>
      <c r="P80" s="6"/>
      <c r="Q80" s="15"/>
    </row>
    <row r="81" spans="1:17">
      <c r="A81" s="20">
        <f>'Monthly Data'!A81</f>
        <v>43313</v>
      </c>
      <c r="B81">
        <f t="shared" si="61"/>
        <v>8</v>
      </c>
      <c r="C81">
        <f t="shared" si="62"/>
        <v>2018</v>
      </c>
      <c r="D81" s="6">
        <f>'Monthly Data'!J81</f>
        <v>9820589.6786198616</v>
      </c>
      <c r="E81" s="6">
        <f t="shared" ca="1" si="83"/>
        <v>8.0000000000000071E-2</v>
      </c>
      <c r="F81" s="6">
        <f t="shared" ref="F81" ca="1" si="86">F69</f>
        <v>169.11894736842078</v>
      </c>
      <c r="G81">
        <f>'Monthly Data'!CI81</f>
        <v>0</v>
      </c>
      <c r="H81">
        <f>'Monthly Data'!BA81</f>
        <v>264.60000000000002</v>
      </c>
      <c r="J81" s="6">
        <f t="shared" si="66"/>
        <v>4665603.6585154198</v>
      </c>
      <c r="K81" s="6">
        <f t="shared" ca="1" si="67"/>
        <v>347.0493665616587</v>
      </c>
      <c r="L81" s="6">
        <f t="shared" ca="1" si="68"/>
        <v>2539781.2365525188</v>
      </c>
      <c r="M81" s="6">
        <f t="shared" si="69"/>
        <v>0</v>
      </c>
      <c r="N81" s="6">
        <f t="shared" si="70"/>
        <v>2662645.6339573474</v>
      </c>
      <c r="O81" s="6">
        <f t="shared" ca="1" si="71"/>
        <v>9868377.5783918481</v>
      </c>
      <c r="P81" s="6"/>
      <c r="Q81" s="15"/>
    </row>
    <row r="82" spans="1:17">
      <c r="A82" s="20">
        <f>'Monthly Data'!A82</f>
        <v>43344</v>
      </c>
      <c r="B82">
        <f t="shared" si="61"/>
        <v>9</v>
      </c>
      <c r="C82">
        <f t="shared" si="62"/>
        <v>2018</v>
      </c>
      <c r="D82" s="6">
        <f>'Monthly Data'!J82</f>
        <v>8296767.5050907237</v>
      </c>
      <c r="E82" s="6">
        <f t="shared" ca="1" si="83"/>
        <v>12.280000000000001</v>
      </c>
      <c r="F82" s="6">
        <f t="shared" ref="F82" ca="1" si="87">F70</f>
        <v>77.220526315789357</v>
      </c>
      <c r="G82">
        <f>'Monthly Data'!CI82</f>
        <v>0</v>
      </c>
      <c r="H82">
        <f>'Monthly Data'!BA82</f>
        <v>263.3</v>
      </c>
      <c r="J82" s="6">
        <f t="shared" si="66"/>
        <v>4665603.6585154198</v>
      </c>
      <c r="K82" s="6">
        <f t="shared" ca="1" si="67"/>
        <v>53272.07776721457</v>
      </c>
      <c r="L82" s="6">
        <f t="shared" ca="1" si="68"/>
        <v>1159676.351262422</v>
      </c>
      <c r="M82" s="6">
        <f t="shared" si="69"/>
        <v>0</v>
      </c>
      <c r="N82" s="6">
        <f t="shared" si="70"/>
        <v>2649563.8526869598</v>
      </c>
      <c r="O82" s="6">
        <f t="shared" ca="1" si="71"/>
        <v>8528115.9402320161</v>
      </c>
      <c r="P82" s="6"/>
      <c r="Q82" s="15"/>
    </row>
    <row r="83" spans="1:17">
      <c r="A83" s="20">
        <f>'Monthly Data'!A83</f>
        <v>43374</v>
      </c>
      <c r="B83">
        <f t="shared" si="61"/>
        <v>10</v>
      </c>
      <c r="C83">
        <f t="shared" si="62"/>
        <v>2018</v>
      </c>
      <c r="D83" s="6">
        <f>'Monthly Data'!J83</f>
        <v>7823378.1220731037</v>
      </c>
      <c r="E83" s="6">
        <f t="shared" ca="1" si="83"/>
        <v>111.21000000000001</v>
      </c>
      <c r="F83" s="6">
        <f t="shared" ref="F83" ca="1" si="88">F71</f>
        <v>16.868947368421004</v>
      </c>
      <c r="G83">
        <f>'Monthly Data'!CI83</f>
        <v>0</v>
      </c>
      <c r="H83">
        <f>'Monthly Data'!BA83</f>
        <v>261.8</v>
      </c>
      <c r="J83" s="6">
        <f t="shared" si="66"/>
        <v>4665603.6585154198</v>
      </c>
      <c r="K83" s="6">
        <f t="shared" ca="1" si="67"/>
        <v>482442.00069152541</v>
      </c>
      <c r="L83" s="6">
        <f t="shared" ca="1" si="68"/>
        <v>253333.15204105698</v>
      </c>
      <c r="M83" s="6">
        <f t="shared" si="69"/>
        <v>0</v>
      </c>
      <c r="N83" s="6">
        <f t="shared" si="70"/>
        <v>2634469.4896826665</v>
      </c>
      <c r="O83" s="6">
        <f t="shared" ca="1" si="71"/>
        <v>8035848.3009306695</v>
      </c>
      <c r="P83" s="6"/>
      <c r="Q83" s="15"/>
    </row>
    <row r="84" spans="1:17">
      <c r="A84" s="20">
        <f>'Monthly Data'!A84</f>
        <v>43405</v>
      </c>
      <c r="B84">
        <f t="shared" si="61"/>
        <v>11</v>
      </c>
      <c r="C84">
        <f t="shared" si="62"/>
        <v>2018</v>
      </c>
      <c r="D84" s="6">
        <f>'Monthly Data'!J84</f>
        <v>8565433.8271822594</v>
      </c>
      <c r="E84" s="6">
        <f t="shared" ca="1" si="83"/>
        <v>297.28000000000003</v>
      </c>
      <c r="F84" s="6">
        <f t="shared" ref="F84" ca="1" si="89">F72</f>
        <v>1.2689473684210384</v>
      </c>
      <c r="G84">
        <f>'Monthly Data'!CI84</f>
        <v>0</v>
      </c>
      <c r="H84">
        <f>'Monthly Data'!BA84</f>
        <v>257</v>
      </c>
      <c r="J84" s="6">
        <f t="shared" si="66"/>
        <v>4665603.6585154198</v>
      </c>
      <c r="K84" s="6">
        <f t="shared" ca="1" si="67"/>
        <v>1289635.4461431226</v>
      </c>
      <c r="L84" s="6">
        <f t="shared" ca="1" si="68"/>
        <v>19056.698061557621</v>
      </c>
      <c r="M84" s="6">
        <f t="shared" si="69"/>
        <v>0</v>
      </c>
      <c r="N84" s="6">
        <f t="shared" si="70"/>
        <v>2586167.5280689276</v>
      </c>
      <c r="O84" s="6">
        <f t="shared" ca="1" si="71"/>
        <v>8560463.3307890277</v>
      </c>
      <c r="P84" s="6"/>
      <c r="Q84" s="15"/>
    </row>
    <row r="85" spans="1:17">
      <c r="A85" s="20">
        <f>'Monthly Data'!A85</f>
        <v>43435</v>
      </c>
      <c r="B85">
        <f t="shared" si="61"/>
        <v>12</v>
      </c>
      <c r="C85">
        <f t="shared" si="62"/>
        <v>2018</v>
      </c>
      <c r="D85" s="6">
        <f>'Monthly Data'!J85</f>
        <v>8828754.4656966105</v>
      </c>
      <c r="E85" s="6">
        <f t="shared" ca="1" si="83"/>
        <v>440.25</v>
      </c>
      <c r="F85" s="6">
        <f t="shared" ref="F85" ca="1" si="90">F73</f>
        <v>0</v>
      </c>
      <c r="G85">
        <f>'Monthly Data'!CI85</f>
        <v>0</v>
      </c>
      <c r="H85">
        <f>'Monthly Data'!BA85</f>
        <v>255.8</v>
      </c>
      <c r="J85" s="6">
        <f t="shared" si="66"/>
        <v>4665603.6585154198</v>
      </c>
      <c r="K85" s="6">
        <f t="shared" ca="1" si="67"/>
        <v>1909856.0453596264</v>
      </c>
      <c r="L85" s="6">
        <f t="shared" ca="1" si="68"/>
        <v>0</v>
      </c>
      <c r="M85" s="6">
        <f t="shared" si="69"/>
        <v>0</v>
      </c>
      <c r="N85" s="6">
        <f t="shared" si="70"/>
        <v>2574092.0376654929</v>
      </c>
      <c r="O85" s="6">
        <f t="shared" ca="1" si="71"/>
        <v>9149551.74154054</v>
      </c>
      <c r="P85" s="6"/>
      <c r="Q85" s="15"/>
    </row>
    <row r="86" spans="1:17">
      <c r="A86" s="20">
        <f>'Monthly Data'!A86</f>
        <v>43466</v>
      </c>
      <c r="B86">
        <f t="shared" si="61"/>
        <v>1</v>
      </c>
      <c r="C86">
        <f t="shared" si="62"/>
        <v>2019</v>
      </c>
      <c r="D86" s="6">
        <f>'Monthly Data'!J86</f>
        <v>9605510.1381623745</v>
      </c>
      <c r="E86" s="6">
        <f t="shared" ca="1" si="83"/>
        <v>564.86</v>
      </c>
      <c r="F86" s="6">
        <f t="shared" ref="F86" ca="1" si="91">F74</f>
        <v>0</v>
      </c>
      <c r="G86">
        <f>'Monthly Data'!CI86</f>
        <v>0</v>
      </c>
      <c r="H86">
        <f>'Monthly Data'!BA86</f>
        <v>254.9</v>
      </c>
      <c r="J86" s="6">
        <f t="shared" si="66"/>
        <v>4665603.6585154198</v>
      </c>
      <c r="K86" s="6">
        <f t="shared" ca="1" si="67"/>
        <v>2450428.8149502296</v>
      </c>
      <c r="L86" s="6">
        <f t="shared" ca="1" si="68"/>
        <v>0</v>
      </c>
      <c r="M86" s="6">
        <f t="shared" si="69"/>
        <v>0</v>
      </c>
      <c r="N86" s="6">
        <f t="shared" si="70"/>
        <v>2565035.4198629167</v>
      </c>
      <c r="O86" s="6">
        <f t="shared" ca="1" si="71"/>
        <v>9681067.8933285661</v>
      </c>
      <c r="P86" s="6"/>
      <c r="Q86" s="15"/>
    </row>
    <row r="87" spans="1:17">
      <c r="A87" s="20">
        <f>'Monthly Data'!A87</f>
        <v>43497</v>
      </c>
      <c r="B87">
        <f t="shared" si="61"/>
        <v>2</v>
      </c>
      <c r="C87">
        <f t="shared" si="62"/>
        <v>2019</v>
      </c>
      <c r="D87" s="6">
        <f>'Monthly Data'!J87</f>
        <v>9040925.1381623745</v>
      </c>
      <c r="E87" s="6">
        <f t="shared" ca="1" si="83"/>
        <v>516.43000000000006</v>
      </c>
      <c r="F87" s="6">
        <f t="shared" ref="F87" ca="1" si="92">F75</f>
        <v>0</v>
      </c>
      <c r="G87">
        <f>'Monthly Data'!CI87</f>
        <v>0</v>
      </c>
      <c r="H87">
        <f>'Monthly Data'!BA87</f>
        <v>254.6</v>
      </c>
      <c r="J87" s="6">
        <f t="shared" si="66"/>
        <v>4665603.6585154198</v>
      </c>
      <c r="K87" s="6">
        <f t="shared" ca="1" si="67"/>
        <v>2240333.804667966</v>
      </c>
      <c r="L87" s="6">
        <f t="shared" ca="1" si="68"/>
        <v>0</v>
      </c>
      <c r="M87" s="6">
        <f t="shared" si="69"/>
        <v>0</v>
      </c>
      <c r="N87" s="6">
        <f t="shared" si="70"/>
        <v>2562016.5472620581</v>
      </c>
      <c r="O87" s="6">
        <f t="shared" ca="1" si="71"/>
        <v>9467954.0104454439</v>
      </c>
      <c r="P87" s="6"/>
      <c r="Q87" s="15"/>
    </row>
    <row r="88" spans="1:17">
      <c r="A88" s="20">
        <f>'Monthly Data'!A88</f>
        <v>43525</v>
      </c>
      <c r="B88">
        <f t="shared" si="61"/>
        <v>3</v>
      </c>
      <c r="C88">
        <f t="shared" si="62"/>
        <v>2019</v>
      </c>
      <c r="D88" s="6">
        <f>'Monthly Data'!J88</f>
        <v>9197067.1381623745</v>
      </c>
      <c r="E88" s="6">
        <f t="shared" ca="1" si="83"/>
        <v>412.32</v>
      </c>
      <c r="F88" s="6">
        <f t="shared" ref="F88" ca="1" si="93">F76</f>
        <v>0.57842105263157961</v>
      </c>
      <c r="G88">
        <f>'Monthly Data'!CI88</f>
        <v>0</v>
      </c>
      <c r="H88">
        <f>'Monthly Data'!BA88</f>
        <v>252</v>
      </c>
      <c r="J88" s="6">
        <f t="shared" si="66"/>
        <v>4665603.6585154198</v>
      </c>
      <c r="K88" s="6">
        <f t="shared" ca="1" si="67"/>
        <v>1788692.4352587874</v>
      </c>
      <c r="L88" s="6">
        <f t="shared" ca="1" si="68"/>
        <v>8686.5662254882136</v>
      </c>
      <c r="M88" s="6">
        <f t="shared" si="69"/>
        <v>0</v>
      </c>
      <c r="N88" s="6">
        <f t="shared" si="70"/>
        <v>2535852.984721283</v>
      </c>
      <c r="O88" s="6">
        <f t="shared" ca="1" si="71"/>
        <v>8998835.644720979</v>
      </c>
      <c r="P88" s="6"/>
      <c r="Q88" s="15"/>
    </row>
    <row r="89" spans="1:17">
      <c r="A89" s="20">
        <f>'Monthly Data'!A89</f>
        <v>43556</v>
      </c>
      <c r="B89">
        <f t="shared" si="61"/>
        <v>4</v>
      </c>
      <c r="C89">
        <f t="shared" si="62"/>
        <v>2019</v>
      </c>
      <c r="D89" s="6">
        <f>'Monthly Data'!J89</f>
        <v>8127529.1381623745</v>
      </c>
      <c r="E89" s="6">
        <f t="shared" ca="1" si="83"/>
        <v>229.95</v>
      </c>
      <c r="F89" s="6">
        <f t="shared" ref="F89" ca="1" si="94">F77</f>
        <v>1.3889473684210429</v>
      </c>
      <c r="G89">
        <f>'Monthly Data'!CI89</f>
        <v>0</v>
      </c>
      <c r="H89">
        <f>'Monthly Data'!BA89</f>
        <v>249.6</v>
      </c>
      <c r="J89" s="6">
        <f t="shared" si="66"/>
        <v>4665603.6585154198</v>
      </c>
      <c r="K89" s="6">
        <f t="shared" ca="1" si="67"/>
        <v>997550.02301066683</v>
      </c>
      <c r="L89" s="6">
        <f t="shared" ca="1" si="68"/>
        <v>20858.824630630763</v>
      </c>
      <c r="M89" s="6">
        <f t="shared" si="69"/>
        <v>0</v>
      </c>
      <c r="N89" s="6">
        <f t="shared" si="70"/>
        <v>2511702.0039144135</v>
      </c>
      <c r="O89" s="6">
        <f t="shared" ca="1" si="71"/>
        <v>8195714.5100711305</v>
      </c>
      <c r="P89" s="6"/>
      <c r="Q89" s="15"/>
    </row>
    <row r="90" spans="1:17">
      <c r="A90" s="20">
        <f>'Monthly Data'!A90</f>
        <v>43586</v>
      </c>
      <c r="B90">
        <f t="shared" si="61"/>
        <v>5</v>
      </c>
      <c r="C90">
        <f t="shared" si="62"/>
        <v>2019</v>
      </c>
      <c r="D90" s="6">
        <f>'Monthly Data'!J90</f>
        <v>7917097.1381623745</v>
      </c>
      <c r="E90" s="6">
        <f t="shared" ca="1" si="83"/>
        <v>79.77000000000001</v>
      </c>
      <c r="F90" s="6">
        <f t="shared" ref="F90" ca="1" si="95">F78</f>
        <v>52.065789473684617</v>
      </c>
      <c r="G90">
        <f>'Monthly Data'!CI90</f>
        <v>0</v>
      </c>
      <c r="H90">
        <f>'Monthly Data'!BA90</f>
        <v>247.3</v>
      </c>
      <c r="J90" s="6">
        <f t="shared" si="66"/>
        <v>4665603.6585154198</v>
      </c>
      <c r="K90" s="6">
        <f t="shared" ca="1" si="67"/>
        <v>346051.59963279369</v>
      </c>
      <c r="L90" s="6">
        <f t="shared" ca="1" si="68"/>
        <v>781909.5212524361</v>
      </c>
      <c r="M90" s="6">
        <f t="shared" si="69"/>
        <v>0</v>
      </c>
      <c r="N90" s="6">
        <f t="shared" si="70"/>
        <v>2488557.3139744974</v>
      </c>
      <c r="O90" s="6">
        <f t="shared" ca="1" si="71"/>
        <v>8282122.0933751483</v>
      </c>
      <c r="P90" s="6"/>
      <c r="Q90" s="15"/>
    </row>
    <row r="91" spans="1:17">
      <c r="A91" s="20">
        <f>'Monthly Data'!A91</f>
        <v>43617</v>
      </c>
      <c r="B91">
        <f t="shared" si="61"/>
        <v>6</v>
      </c>
      <c r="C91">
        <f t="shared" si="62"/>
        <v>2019</v>
      </c>
      <c r="D91" s="6">
        <f>'Monthly Data'!J91</f>
        <v>8152023.1381623745</v>
      </c>
      <c r="E91" s="6">
        <f t="shared" ca="1" si="83"/>
        <v>5.16</v>
      </c>
      <c r="F91" s="6">
        <f t="shared" ref="F91" ca="1" si="96">F79</f>
        <v>106.52421052631576</v>
      </c>
      <c r="G91">
        <f>'Monthly Data'!CI91</f>
        <v>0</v>
      </c>
      <c r="H91">
        <f>'Monthly Data'!BA91</f>
        <v>250.5</v>
      </c>
      <c r="J91" s="6">
        <f t="shared" si="66"/>
        <v>4665603.6585154198</v>
      </c>
      <c r="K91" s="6">
        <f t="shared" ca="1" si="67"/>
        <v>22384.684143226968</v>
      </c>
      <c r="L91" s="6">
        <f t="shared" ca="1" si="68"/>
        <v>1599750.9169917288</v>
      </c>
      <c r="M91" s="6">
        <f t="shared" si="69"/>
        <v>0</v>
      </c>
      <c r="N91" s="6">
        <f t="shared" si="70"/>
        <v>2520758.6217169897</v>
      </c>
      <c r="O91" s="6">
        <f t="shared" ca="1" si="71"/>
        <v>8808497.8813673649</v>
      </c>
      <c r="P91" s="6"/>
      <c r="Q91" s="15"/>
    </row>
    <row r="92" spans="1:17">
      <c r="A92" s="20">
        <f>'Monthly Data'!A92</f>
        <v>43647</v>
      </c>
      <c r="B92">
        <f t="shared" si="61"/>
        <v>7</v>
      </c>
      <c r="C92">
        <f t="shared" si="62"/>
        <v>2019</v>
      </c>
      <c r="D92" s="6">
        <f>'Monthly Data'!J92</f>
        <v>10489533.138162374</v>
      </c>
      <c r="E92" s="6">
        <f t="shared" ca="1" si="83"/>
        <v>0</v>
      </c>
      <c r="F92" s="6">
        <f t="shared" ref="F92" ca="1" si="97">F80</f>
        <v>189.76052631578978</v>
      </c>
      <c r="G92">
        <f>'Monthly Data'!CI92</f>
        <v>0</v>
      </c>
      <c r="H92">
        <f>'Monthly Data'!BA92</f>
        <v>250.7</v>
      </c>
      <c r="J92" s="6">
        <f t="shared" si="66"/>
        <v>4665603.6585154198</v>
      </c>
      <c r="K92" s="6">
        <f t="shared" ca="1" si="67"/>
        <v>0</v>
      </c>
      <c r="L92" s="6">
        <f t="shared" ca="1" si="68"/>
        <v>2849770.7186247949</v>
      </c>
      <c r="M92" s="6">
        <f t="shared" si="69"/>
        <v>0</v>
      </c>
      <c r="N92" s="6">
        <f t="shared" si="70"/>
        <v>2522771.2034508954</v>
      </c>
      <c r="O92" s="6">
        <f t="shared" ca="1" si="71"/>
        <v>10038145.580591111</v>
      </c>
      <c r="P92" s="6"/>
      <c r="Q92" s="15"/>
    </row>
    <row r="93" spans="1:17">
      <c r="A93" s="20">
        <f>'Monthly Data'!A93</f>
        <v>43678</v>
      </c>
      <c r="B93">
        <f t="shared" si="61"/>
        <v>8</v>
      </c>
      <c r="C93">
        <f t="shared" si="62"/>
        <v>2019</v>
      </c>
      <c r="D93" s="6">
        <f>'Monthly Data'!J93</f>
        <v>9622269.1381623745</v>
      </c>
      <c r="E93" s="6">
        <f t="shared" ca="1" si="83"/>
        <v>8.0000000000000071E-2</v>
      </c>
      <c r="F93" s="6">
        <f t="shared" ref="F93" ca="1" si="98">F81</f>
        <v>169.11894736842078</v>
      </c>
      <c r="G93">
        <f>'Monthly Data'!CI93</f>
        <v>0</v>
      </c>
      <c r="H93">
        <f>'Monthly Data'!BA93</f>
        <v>256.2</v>
      </c>
      <c r="J93" s="6">
        <f t="shared" si="66"/>
        <v>4665603.6585154198</v>
      </c>
      <c r="K93" s="6">
        <f t="shared" ca="1" si="67"/>
        <v>347.0493665616587</v>
      </c>
      <c r="L93" s="6">
        <f t="shared" ca="1" si="68"/>
        <v>2539781.2365525188</v>
      </c>
      <c r="M93" s="6">
        <f t="shared" si="69"/>
        <v>0</v>
      </c>
      <c r="N93" s="6">
        <f t="shared" si="70"/>
        <v>2578117.2011333043</v>
      </c>
      <c r="O93" s="6">
        <f t="shared" ca="1" si="71"/>
        <v>9783849.1455678046</v>
      </c>
      <c r="P93" s="6"/>
      <c r="Q93" s="15"/>
    </row>
    <row r="94" spans="1:17">
      <c r="A94" s="20">
        <f>'Monthly Data'!A94</f>
        <v>43709</v>
      </c>
      <c r="B94">
        <f t="shared" si="61"/>
        <v>9</v>
      </c>
      <c r="C94">
        <f t="shared" si="62"/>
        <v>2019</v>
      </c>
      <c r="D94" s="6">
        <f>'Monthly Data'!J94</f>
        <v>8273598.1381623745</v>
      </c>
      <c r="E94" s="6">
        <f t="shared" ca="1" si="83"/>
        <v>12.280000000000001</v>
      </c>
      <c r="F94" s="6">
        <f t="shared" ref="F94" ca="1" si="99">F82</f>
        <v>77.220526315789357</v>
      </c>
      <c r="G94">
        <f>'Monthly Data'!CI94</f>
        <v>0</v>
      </c>
      <c r="H94">
        <f>'Monthly Data'!BA94</f>
        <v>257.3</v>
      </c>
      <c r="J94" s="6">
        <f t="shared" si="66"/>
        <v>4665603.6585154198</v>
      </c>
      <c r="K94" s="6">
        <f t="shared" ca="1" si="67"/>
        <v>53272.07776721457</v>
      </c>
      <c r="L94" s="6">
        <f t="shared" ca="1" si="68"/>
        <v>1159676.351262422</v>
      </c>
      <c r="M94" s="6">
        <f t="shared" si="69"/>
        <v>0</v>
      </c>
      <c r="N94" s="6">
        <f t="shared" si="70"/>
        <v>2589186.4006697861</v>
      </c>
      <c r="O94" s="6">
        <f t="shared" ca="1" si="71"/>
        <v>8467738.488214843</v>
      </c>
      <c r="P94" s="6"/>
      <c r="Q94" s="15"/>
    </row>
    <row r="95" spans="1:17">
      <c r="A95" s="20">
        <f>'Monthly Data'!A95</f>
        <v>43739</v>
      </c>
      <c r="B95">
        <f t="shared" si="61"/>
        <v>10</v>
      </c>
      <c r="C95">
        <f t="shared" si="62"/>
        <v>2019</v>
      </c>
      <c r="D95" s="6">
        <f>'Monthly Data'!J95</f>
        <v>7800425.1381623745</v>
      </c>
      <c r="E95" s="6">
        <f t="shared" ca="1" si="83"/>
        <v>111.21000000000001</v>
      </c>
      <c r="F95" s="6">
        <f t="shared" ref="F95" ca="1" si="100">F83</f>
        <v>16.868947368421004</v>
      </c>
      <c r="G95">
        <f>'Monthly Data'!CI95</f>
        <v>0</v>
      </c>
      <c r="H95">
        <f>'Monthly Data'!BA95</f>
        <v>261.3</v>
      </c>
      <c r="J95" s="6">
        <f t="shared" si="66"/>
        <v>4665603.6585154198</v>
      </c>
      <c r="K95" s="6">
        <f t="shared" ca="1" si="67"/>
        <v>482442.00069152541</v>
      </c>
      <c r="L95" s="6">
        <f t="shared" ca="1" si="68"/>
        <v>253333.15204105698</v>
      </c>
      <c r="M95" s="6">
        <f t="shared" si="69"/>
        <v>0</v>
      </c>
      <c r="N95" s="6">
        <f t="shared" si="70"/>
        <v>2629438.0353479018</v>
      </c>
      <c r="O95" s="6">
        <f t="shared" ca="1" si="71"/>
        <v>8030816.8465959039</v>
      </c>
      <c r="P95" s="6"/>
      <c r="Q95" s="15"/>
    </row>
    <row r="96" spans="1:17">
      <c r="A96" s="20">
        <f>'Monthly Data'!A96</f>
        <v>43770</v>
      </c>
      <c r="B96">
        <f t="shared" si="61"/>
        <v>11</v>
      </c>
      <c r="C96">
        <f t="shared" si="62"/>
        <v>2019</v>
      </c>
      <c r="D96" s="6">
        <f>'Monthly Data'!J96</f>
        <v>8616007.1381623745</v>
      </c>
      <c r="E96" s="6">
        <f t="shared" ca="1" si="83"/>
        <v>297.28000000000003</v>
      </c>
      <c r="F96" s="6">
        <f t="shared" ref="F96" ca="1" si="101">F84</f>
        <v>1.2689473684210384</v>
      </c>
      <c r="G96">
        <f>'Monthly Data'!CI96</f>
        <v>0</v>
      </c>
      <c r="H96">
        <f>'Monthly Data'!BA96</f>
        <v>265.2</v>
      </c>
      <c r="J96" s="6">
        <f t="shared" si="66"/>
        <v>4665603.6585154198</v>
      </c>
      <c r="K96" s="6">
        <f t="shared" ca="1" si="67"/>
        <v>1289635.4461431226</v>
      </c>
      <c r="L96" s="6">
        <f t="shared" ca="1" si="68"/>
        <v>19056.698061557621</v>
      </c>
      <c r="M96" s="6">
        <f t="shared" si="69"/>
        <v>0</v>
      </c>
      <c r="N96" s="6">
        <f t="shared" si="70"/>
        <v>2668683.3791590645</v>
      </c>
      <c r="O96" s="6">
        <f t="shared" ca="1" si="71"/>
        <v>8642979.1818791647</v>
      </c>
      <c r="P96" s="6"/>
      <c r="Q96" s="15"/>
    </row>
    <row r="97" spans="1:17">
      <c r="A97" s="20">
        <f>'Monthly Data'!A97</f>
        <v>43800</v>
      </c>
      <c r="B97">
        <f t="shared" ref="B97:B118" si="102">MONTH(A97)</f>
        <v>12</v>
      </c>
      <c r="C97">
        <f t="shared" ref="C97:C118" si="103">YEAR(A97)</f>
        <v>2019</v>
      </c>
      <c r="D97" s="6">
        <f>'Monthly Data'!J97</f>
        <v>9248236.1381623745</v>
      </c>
      <c r="E97" s="6">
        <f t="shared" ca="1" si="83"/>
        <v>440.25</v>
      </c>
      <c r="F97" s="6">
        <f t="shared" ref="F97" ca="1" si="104">F85</f>
        <v>0</v>
      </c>
      <c r="G97">
        <f>'Monthly Data'!CI97</f>
        <v>0</v>
      </c>
      <c r="H97">
        <f>'Monthly Data'!BA97</f>
        <v>264.5</v>
      </c>
      <c r="J97" s="6">
        <f t="shared" si="66"/>
        <v>4665603.6585154198</v>
      </c>
      <c r="K97" s="6">
        <f t="shared" ca="1" si="67"/>
        <v>1909856.0453596264</v>
      </c>
      <c r="L97" s="6">
        <f t="shared" ca="1" si="68"/>
        <v>0</v>
      </c>
      <c r="M97" s="6">
        <f t="shared" si="69"/>
        <v>0</v>
      </c>
      <c r="N97" s="6">
        <f t="shared" si="70"/>
        <v>2661639.343090394</v>
      </c>
      <c r="O97" s="6">
        <f t="shared" ca="1" si="71"/>
        <v>9237099.0469654407</v>
      </c>
      <c r="P97" s="6"/>
      <c r="Q97" s="15"/>
    </row>
    <row r="98" spans="1:17">
      <c r="A98" s="20">
        <f>'Monthly Data'!A98</f>
        <v>43831</v>
      </c>
      <c r="B98">
        <f t="shared" si="102"/>
        <v>1</v>
      </c>
      <c r="C98">
        <f t="shared" si="103"/>
        <v>2020</v>
      </c>
      <c r="D98" s="6">
        <f>'Monthly Data'!J98</f>
        <v>9374978.422756426</v>
      </c>
      <c r="E98" s="6">
        <f t="shared" ca="1" si="83"/>
        <v>564.86</v>
      </c>
      <c r="F98" s="6">
        <f t="shared" ref="F98" ca="1" si="105">F86</f>
        <v>0</v>
      </c>
      <c r="G98">
        <f>'Monthly Data'!CI98</f>
        <v>0</v>
      </c>
      <c r="H98">
        <f>'Monthly Data'!BA98</f>
        <v>266.39999999999998</v>
      </c>
      <c r="J98" s="6">
        <f t="shared" si="66"/>
        <v>4665603.6585154198</v>
      </c>
      <c r="K98" s="6">
        <f t="shared" ca="1" si="67"/>
        <v>2450428.8149502296</v>
      </c>
      <c r="L98" s="6">
        <f t="shared" ca="1" si="68"/>
        <v>0</v>
      </c>
      <c r="M98" s="6">
        <f t="shared" si="69"/>
        <v>0</v>
      </c>
      <c r="N98" s="6">
        <f t="shared" si="70"/>
        <v>2680758.8695624988</v>
      </c>
      <c r="O98" s="6">
        <f t="shared" ca="1" si="71"/>
        <v>9796791.3430281486</v>
      </c>
      <c r="P98" s="6"/>
      <c r="Q98" s="15"/>
    </row>
    <row r="99" spans="1:17">
      <c r="A99" s="20">
        <f>'Monthly Data'!A99</f>
        <v>43862</v>
      </c>
      <c r="B99">
        <f t="shared" si="102"/>
        <v>2</v>
      </c>
      <c r="C99">
        <f t="shared" si="103"/>
        <v>2020</v>
      </c>
      <c r="D99" s="6">
        <f>'Monthly Data'!J99</f>
        <v>8821961.5697564259</v>
      </c>
      <c r="E99" s="6">
        <f t="shared" ca="1" si="83"/>
        <v>516.43000000000006</v>
      </c>
      <c r="F99" s="6">
        <f t="shared" ref="F99" ca="1" si="106">F87</f>
        <v>0</v>
      </c>
      <c r="G99">
        <f>'Monthly Data'!CI99</f>
        <v>0</v>
      </c>
      <c r="H99">
        <f>'Monthly Data'!BA99</f>
        <v>266</v>
      </c>
      <c r="J99" s="6">
        <f t="shared" si="66"/>
        <v>4665603.6585154198</v>
      </c>
      <c r="K99" s="6">
        <f t="shared" ca="1" si="67"/>
        <v>2240333.804667966</v>
      </c>
      <c r="L99" s="6">
        <f t="shared" ca="1" si="68"/>
        <v>0</v>
      </c>
      <c r="M99" s="6">
        <f t="shared" si="69"/>
        <v>0</v>
      </c>
      <c r="N99" s="6">
        <f t="shared" si="70"/>
        <v>2676733.7060946878</v>
      </c>
      <c r="O99" s="6">
        <f t="shared" ca="1" si="71"/>
        <v>9582671.1692780741</v>
      </c>
      <c r="P99" s="6"/>
      <c r="Q99" s="15"/>
    </row>
    <row r="100" spans="1:17">
      <c r="A100" s="20">
        <f>'Monthly Data'!A100</f>
        <v>43891</v>
      </c>
      <c r="B100">
        <f t="shared" si="102"/>
        <v>3</v>
      </c>
      <c r="C100">
        <f t="shared" si="103"/>
        <v>2020</v>
      </c>
      <c r="D100" s="6">
        <f>'Monthly Data'!J100</f>
        <v>8206844.4992564246</v>
      </c>
      <c r="E100" s="6">
        <f t="shared" ca="1" si="83"/>
        <v>412.32</v>
      </c>
      <c r="F100" s="6">
        <f t="shared" ref="F100" ca="1" si="107">F88</f>
        <v>0.57842105263157961</v>
      </c>
      <c r="G100">
        <f>'Monthly Data'!CI100</f>
        <v>0.5</v>
      </c>
      <c r="H100">
        <f>'Monthly Data'!BA100</f>
        <v>264.10000000000002</v>
      </c>
      <c r="J100" s="6">
        <f t="shared" si="66"/>
        <v>4665603.6585154198</v>
      </c>
      <c r="K100" s="6">
        <f t="shared" ca="1" si="67"/>
        <v>1788692.4352587874</v>
      </c>
      <c r="L100" s="6">
        <f t="shared" ca="1" si="68"/>
        <v>8686.5662254882136</v>
      </c>
      <c r="M100" s="6">
        <f t="shared" si="69"/>
        <v>-501241.025755635</v>
      </c>
      <c r="N100" s="6">
        <f t="shared" si="70"/>
        <v>2657614.1796225831</v>
      </c>
      <c r="O100" s="6">
        <f t="shared" ca="1" si="71"/>
        <v>8619355.8138666432</v>
      </c>
      <c r="P100" s="6"/>
      <c r="Q100" s="15"/>
    </row>
    <row r="101" spans="1:17">
      <c r="A101" s="20">
        <f>'Monthly Data'!A101</f>
        <v>43922</v>
      </c>
      <c r="B101">
        <f t="shared" si="102"/>
        <v>4</v>
      </c>
      <c r="C101">
        <f t="shared" si="103"/>
        <v>2020</v>
      </c>
      <c r="D101" s="6">
        <f>'Monthly Data'!J101</f>
        <v>6776050.0758564249</v>
      </c>
      <c r="E101" s="6">
        <f t="shared" ca="1" si="83"/>
        <v>229.95</v>
      </c>
      <c r="F101" s="6">
        <f t="shared" ref="F101" ca="1" si="108">F89</f>
        <v>1.3889473684210429</v>
      </c>
      <c r="G101">
        <f>'Monthly Data'!CI101</f>
        <v>1</v>
      </c>
      <c r="H101">
        <f>'Monthly Data'!BA101</f>
        <v>248.2</v>
      </c>
      <c r="J101" s="6">
        <f t="shared" si="66"/>
        <v>4665603.6585154198</v>
      </c>
      <c r="K101" s="6">
        <f t="shared" ca="1" si="67"/>
        <v>997550.02301066683</v>
      </c>
      <c r="L101" s="6">
        <f t="shared" ca="1" si="68"/>
        <v>20858.824630630763</v>
      </c>
      <c r="M101" s="6">
        <f t="shared" si="69"/>
        <v>-1002482.05151127</v>
      </c>
      <c r="N101" s="6">
        <f t="shared" si="70"/>
        <v>2497613.9317770731</v>
      </c>
      <c r="O101" s="6">
        <f t="shared" ca="1" si="71"/>
        <v>7179144.3864225205</v>
      </c>
      <c r="P101" s="6"/>
      <c r="Q101" s="15"/>
    </row>
    <row r="102" spans="1:17">
      <c r="A102" s="20">
        <f>'Monthly Data'!A102</f>
        <v>43952</v>
      </c>
      <c r="B102">
        <f t="shared" si="102"/>
        <v>5</v>
      </c>
      <c r="C102">
        <f t="shared" si="103"/>
        <v>2020</v>
      </c>
      <c r="D102" s="6">
        <f>'Monthly Data'!J102</f>
        <v>6981050.1180564258</v>
      </c>
      <c r="E102" s="6">
        <f t="shared" ca="1" si="83"/>
        <v>79.77000000000001</v>
      </c>
      <c r="F102" s="6">
        <f t="shared" ref="F102" ca="1" si="109">F90</f>
        <v>52.065789473684617</v>
      </c>
      <c r="G102">
        <f>'Monthly Data'!CI102</f>
        <v>1</v>
      </c>
      <c r="H102">
        <f>'Monthly Data'!BA102</f>
        <v>238.2</v>
      </c>
      <c r="J102" s="6">
        <f t="shared" si="66"/>
        <v>4665603.6585154198</v>
      </c>
      <c r="K102" s="6">
        <f t="shared" ca="1" si="67"/>
        <v>346051.59963279369</v>
      </c>
      <c r="L102" s="6">
        <f t="shared" ca="1" si="68"/>
        <v>781909.5212524361</v>
      </c>
      <c r="M102" s="6">
        <f t="shared" si="69"/>
        <v>-1002482.05151127</v>
      </c>
      <c r="N102" s="6">
        <f t="shared" si="70"/>
        <v>2396984.8450817838</v>
      </c>
      <c r="O102" s="6">
        <f t="shared" ca="1" si="71"/>
        <v>7188067.5729711642</v>
      </c>
      <c r="P102" s="6"/>
      <c r="Q102" s="15"/>
    </row>
    <row r="103" spans="1:17">
      <c r="A103" s="20">
        <f>'Monthly Data'!A103</f>
        <v>43983</v>
      </c>
      <c r="B103">
        <f t="shared" si="102"/>
        <v>6</v>
      </c>
      <c r="C103">
        <f t="shared" si="103"/>
        <v>2020</v>
      </c>
      <c r="D103" s="6">
        <f>'Monthly Data'!J103</f>
        <v>7938603.4933564244</v>
      </c>
      <c r="E103" s="6">
        <f t="shared" ca="1" si="83"/>
        <v>5.16</v>
      </c>
      <c r="F103" s="6">
        <f t="shared" ref="F103" ca="1" si="110">F91</f>
        <v>106.52421052631576</v>
      </c>
      <c r="G103">
        <f>'Monthly Data'!CI103</f>
        <v>0.5</v>
      </c>
      <c r="H103">
        <f>'Monthly Data'!BA103</f>
        <v>240.3</v>
      </c>
      <c r="J103" s="6">
        <f t="shared" si="66"/>
        <v>4665603.6585154198</v>
      </c>
      <c r="K103" s="6">
        <f t="shared" ca="1" si="67"/>
        <v>22384.684143226968</v>
      </c>
      <c r="L103" s="6">
        <f t="shared" ca="1" si="68"/>
        <v>1599750.9169917288</v>
      </c>
      <c r="M103" s="6">
        <f t="shared" si="69"/>
        <v>-501241.025755635</v>
      </c>
      <c r="N103" s="6">
        <f t="shared" si="70"/>
        <v>2418116.9532877947</v>
      </c>
      <c r="O103" s="6">
        <f t="shared" ca="1" si="71"/>
        <v>8204615.1871825363</v>
      </c>
      <c r="P103" s="6"/>
      <c r="Q103" s="15"/>
    </row>
    <row r="104" spans="1:17">
      <c r="A104" s="20">
        <f>'Monthly Data'!A104</f>
        <v>44013</v>
      </c>
      <c r="B104">
        <f t="shared" si="102"/>
        <v>7</v>
      </c>
      <c r="C104">
        <f t="shared" si="103"/>
        <v>2020</v>
      </c>
      <c r="D104" s="6">
        <f>'Monthly Data'!J104</f>
        <v>9807070.2790564243</v>
      </c>
      <c r="E104" s="6">
        <f t="shared" ca="1" si="83"/>
        <v>0</v>
      </c>
      <c r="F104" s="6">
        <f t="shared" ref="F104" ca="1" si="111">F92</f>
        <v>189.76052631578978</v>
      </c>
      <c r="G104">
        <f>'Monthly Data'!CI104</f>
        <v>0.5</v>
      </c>
      <c r="H104">
        <f>'Monthly Data'!BA104</f>
        <v>253.1</v>
      </c>
      <c r="J104" s="6">
        <f t="shared" si="66"/>
        <v>4665603.6585154198</v>
      </c>
      <c r="K104" s="6">
        <f t="shared" ca="1" si="67"/>
        <v>0</v>
      </c>
      <c r="L104" s="6">
        <f t="shared" ca="1" si="68"/>
        <v>2849770.7186247949</v>
      </c>
      <c r="M104" s="6">
        <f t="shared" si="69"/>
        <v>-501241.025755635</v>
      </c>
      <c r="N104" s="6">
        <f t="shared" si="70"/>
        <v>2546922.1842577648</v>
      </c>
      <c r="O104" s="6">
        <f t="shared" ca="1" si="71"/>
        <v>9561055.5356423445</v>
      </c>
      <c r="P104" s="6"/>
      <c r="Q104" s="15"/>
    </row>
    <row r="105" spans="1:17">
      <c r="A105" s="20">
        <f>'Monthly Data'!A105</f>
        <v>44044</v>
      </c>
      <c r="B105">
        <f t="shared" si="102"/>
        <v>8</v>
      </c>
      <c r="C105">
        <f t="shared" si="103"/>
        <v>2020</v>
      </c>
      <c r="D105" s="6">
        <f>'Monthly Data'!J105</f>
        <v>9120086.2182564251</v>
      </c>
      <c r="E105" s="6">
        <f t="shared" ca="1" si="83"/>
        <v>8.0000000000000071E-2</v>
      </c>
      <c r="F105" s="6">
        <f t="shared" ref="F105" ca="1" si="112">F93</f>
        <v>169.11894736842078</v>
      </c>
      <c r="G105">
        <f>'Monthly Data'!CI105</f>
        <v>0.5</v>
      </c>
      <c r="H105">
        <f>'Monthly Data'!BA105</f>
        <v>262.10000000000002</v>
      </c>
      <c r="J105" s="6">
        <f t="shared" si="66"/>
        <v>4665603.6585154198</v>
      </c>
      <c r="K105" s="6">
        <f t="shared" ca="1" si="67"/>
        <v>347.0493665616587</v>
      </c>
      <c r="L105" s="6">
        <f t="shared" ca="1" si="68"/>
        <v>2539781.2365525188</v>
      </c>
      <c r="M105" s="6">
        <f t="shared" si="69"/>
        <v>-501241.025755635</v>
      </c>
      <c r="N105" s="6">
        <f t="shared" si="70"/>
        <v>2637488.3622835251</v>
      </c>
      <c r="O105" s="6">
        <f t="shared" ca="1" si="71"/>
        <v>9341979.280962389</v>
      </c>
      <c r="P105" s="6"/>
      <c r="Q105" s="15"/>
    </row>
    <row r="106" spans="1:17">
      <c r="A106" s="20">
        <f>'Monthly Data'!A106</f>
        <v>44075</v>
      </c>
      <c r="B106">
        <f t="shared" si="102"/>
        <v>9</v>
      </c>
      <c r="C106">
        <f t="shared" si="103"/>
        <v>2020</v>
      </c>
      <c r="D106" s="6">
        <f>'Monthly Data'!J106</f>
        <v>7766243.024256425</v>
      </c>
      <c r="E106" s="6">
        <f t="shared" ca="1" si="83"/>
        <v>12.280000000000001</v>
      </c>
      <c r="F106" s="6">
        <f t="shared" ref="F106" ca="1" si="113">F94</f>
        <v>77.220526315789357</v>
      </c>
      <c r="G106">
        <f>'Monthly Data'!CI106</f>
        <v>0.5</v>
      </c>
      <c r="H106">
        <f>'Monthly Data'!BA106</f>
        <v>263</v>
      </c>
      <c r="J106" s="6">
        <f t="shared" si="66"/>
        <v>4665603.6585154198</v>
      </c>
      <c r="K106" s="6">
        <f t="shared" ca="1" si="67"/>
        <v>53272.07776721457</v>
      </c>
      <c r="L106" s="6">
        <f t="shared" ca="1" si="68"/>
        <v>1159676.351262422</v>
      </c>
      <c r="M106" s="6">
        <f t="shared" si="69"/>
        <v>-501241.025755635</v>
      </c>
      <c r="N106" s="6">
        <f t="shared" si="70"/>
        <v>2646544.9800861008</v>
      </c>
      <c r="O106" s="6">
        <f t="shared" ca="1" si="71"/>
        <v>8023856.0418755226</v>
      </c>
      <c r="P106" s="6"/>
      <c r="Q106" s="15"/>
    </row>
    <row r="107" spans="1:17">
      <c r="A107" s="20">
        <f>'Monthly Data'!A107</f>
        <v>44105</v>
      </c>
      <c r="B107">
        <f t="shared" si="102"/>
        <v>10</v>
      </c>
      <c r="C107">
        <f t="shared" si="103"/>
        <v>2020</v>
      </c>
      <c r="D107" s="6">
        <f>'Monthly Data'!J107</f>
        <v>7704166.380056425</v>
      </c>
      <c r="E107" s="6">
        <f t="shared" ca="1" si="83"/>
        <v>111.21000000000001</v>
      </c>
      <c r="F107" s="6">
        <f t="shared" ref="F107" ca="1" si="114">F95</f>
        <v>16.868947368421004</v>
      </c>
      <c r="G107">
        <f>'Monthly Data'!CI107</f>
        <v>0.5</v>
      </c>
      <c r="H107">
        <f>'Monthly Data'!BA107</f>
        <v>263.60000000000002</v>
      </c>
      <c r="J107" s="6">
        <f t="shared" si="66"/>
        <v>4665603.6585154198</v>
      </c>
      <c r="K107" s="6">
        <f t="shared" ca="1" si="67"/>
        <v>482442.00069152541</v>
      </c>
      <c r="L107" s="6">
        <f t="shared" ca="1" si="68"/>
        <v>253333.15204105698</v>
      </c>
      <c r="M107" s="6">
        <f t="shared" si="69"/>
        <v>-501241.025755635</v>
      </c>
      <c r="N107" s="6">
        <f t="shared" si="70"/>
        <v>2652582.7252878183</v>
      </c>
      <c r="O107" s="6">
        <f t="shared" ca="1" si="71"/>
        <v>7552720.5107801864</v>
      </c>
      <c r="P107" s="6"/>
      <c r="Q107" s="15"/>
    </row>
    <row r="108" spans="1:17">
      <c r="A108" s="20">
        <f>'Monthly Data'!A108</f>
        <v>44136</v>
      </c>
      <c r="B108">
        <f t="shared" si="102"/>
        <v>11</v>
      </c>
      <c r="C108">
        <f t="shared" si="103"/>
        <v>2020</v>
      </c>
      <c r="D108" s="6">
        <f>'Monthly Data'!J108</f>
        <v>8129284.6763564246</v>
      </c>
      <c r="E108" s="6">
        <f t="shared" ca="1" si="83"/>
        <v>297.28000000000003</v>
      </c>
      <c r="F108" s="6">
        <f t="shared" ref="F108" ca="1" si="115">F96</f>
        <v>1.2689473684210384</v>
      </c>
      <c r="G108">
        <f>'Monthly Data'!CI108</f>
        <v>0.5</v>
      </c>
      <c r="H108">
        <f>'Monthly Data'!BA108</f>
        <v>261.89999999999998</v>
      </c>
      <c r="J108" s="6">
        <f t="shared" si="66"/>
        <v>4665603.6585154198</v>
      </c>
      <c r="K108" s="6">
        <f t="shared" ca="1" si="67"/>
        <v>1289635.4461431226</v>
      </c>
      <c r="L108" s="6">
        <f t="shared" ca="1" si="68"/>
        <v>19056.698061557621</v>
      </c>
      <c r="M108" s="6">
        <f t="shared" si="69"/>
        <v>-501241.025755635</v>
      </c>
      <c r="N108" s="6">
        <f t="shared" si="70"/>
        <v>2635475.7805496189</v>
      </c>
      <c r="O108" s="6">
        <f t="shared" ca="1" si="71"/>
        <v>8108530.5575140845</v>
      </c>
      <c r="P108" s="6"/>
      <c r="Q108" s="15"/>
    </row>
    <row r="109" spans="1:17">
      <c r="A109" s="20">
        <f>'Monthly Data'!A109</f>
        <v>44166</v>
      </c>
      <c r="B109">
        <f t="shared" si="102"/>
        <v>12</v>
      </c>
      <c r="C109">
        <f t="shared" si="103"/>
        <v>2020</v>
      </c>
      <c r="D109" s="6">
        <f>'Monthly Data'!J109</f>
        <v>9024138.0849564262</v>
      </c>
      <c r="E109" s="6">
        <f t="shared" ca="1" si="83"/>
        <v>440.25</v>
      </c>
      <c r="F109" s="6">
        <f t="shared" ref="F109" ca="1" si="116">F97</f>
        <v>0</v>
      </c>
      <c r="G109">
        <f>'Monthly Data'!CI109</f>
        <v>0.5</v>
      </c>
      <c r="H109">
        <f>'Monthly Data'!BA109</f>
        <v>264.10000000000002</v>
      </c>
      <c r="J109" s="6">
        <f t="shared" si="66"/>
        <v>4665603.6585154198</v>
      </c>
      <c r="K109" s="6">
        <f t="shared" ca="1" si="67"/>
        <v>1909856.0453596264</v>
      </c>
      <c r="L109" s="6">
        <f t="shared" ca="1" si="68"/>
        <v>0</v>
      </c>
      <c r="M109" s="6">
        <f t="shared" si="69"/>
        <v>-501241.025755635</v>
      </c>
      <c r="N109" s="6">
        <f t="shared" si="70"/>
        <v>2657614.1796225831</v>
      </c>
      <c r="O109" s="6">
        <f t="shared" ca="1" si="71"/>
        <v>8731832.8577419948</v>
      </c>
      <c r="P109" s="6"/>
      <c r="Q109" s="15"/>
    </row>
    <row r="110" spans="1:17">
      <c r="A110" s="20">
        <f>'Monthly Data'!A110</f>
        <v>44197</v>
      </c>
      <c r="B110">
        <f t="shared" si="102"/>
        <v>1</v>
      </c>
      <c r="C110">
        <f t="shared" si="103"/>
        <v>2021</v>
      </c>
      <c r="D110" s="6">
        <f>'Monthly Data'!J110</f>
        <v>8980228.7675743923</v>
      </c>
      <c r="E110" s="6">
        <f t="shared" ca="1" si="83"/>
        <v>564.86</v>
      </c>
      <c r="F110" s="6">
        <f t="shared" ref="F110" ca="1" si="117">F98</f>
        <v>0</v>
      </c>
      <c r="G110">
        <f>'Monthly Data'!CI110</f>
        <v>0.5</v>
      </c>
      <c r="H110">
        <f>'Monthly Data'!BA110</f>
        <v>265.5</v>
      </c>
      <c r="J110" s="6">
        <f t="shared" si="66"/>
        <v>4665603.6585154198</v>
      </c>
      <c r="K110" s="6">
        <f t="shared" ca="1" si="67"/>
        <v>2450428.8149502296</v>
      </c>
      <c r="L110" s="6">
        <f t="shared" ca="1" si="68"/>
        <v>0</v>
      </c>
      <c r="M110" s="6">
        <f t="shared" si="69"/>
        <v>-501241.025755635</v>
      </c>
      <c r="N110" s="6">
        <f t="shared" si="70"/>
        <v>2671702.2517599231</v>
      </c>
      <c r="O110" s="6">
        <f t="shared" ca="1" si="71"/>
        <v>9286493.6994699389</v>
      </c>
      <c r="P110" s="6"/>
      <c r="Q110" s="15"/>
    </row>
    <row r="111" spans="1:17">
      <c r="A111" s="20">
        <f>'Monthly Data'!A111</f>
        <v>44228</v>
      </c>
      <c r="B111">
        <f t="shared" si="102"/>
        <v>2</v>
      </c>
      <c r="C111">
        <f t="shared" si="103"/>
        <v>2021</v>
      </c>
      <c r="D111" s="6">
        <f>'Monthly Data'!J111</f>
        <v>8656506.8509763945</v>
      </c>
      <c r="E111" s="6">
        <f t="shared" ref="E111:E142" ca="1" si="118">E99</f>
        <v>516.43000000000006</v>
      </c>
      <c r="F111" s="6">
        <f t="shared" ref="F111" ca="1" si="119">F99</f>
        <v>0</v>
      </c>
      <c r="G111">
        <f>'Monthly Data'!CI111</f>
        <v>0.5</v>
      </c>
      <c r="H111">
        <f>'Monthly Data'!BA111</f>
        <v>269.3</v>
      </c>
      <c r="J111" s="6">
        <f t="shared" si="66"/>
        <v>4665603.6585154198</v>
      </c>
      <c r="K111" s="6">
        <f t="shared" ca="1" si="67"/>
        <v>2240333.804667966</v>
      </c>
      <c r="L111" s="6">
        <f t="shared" ca="1" si="68"/>
        <v>0</v>
      </c>
      <c r="M111" s="6">
        <f t="shared" si="69"/>
        <v>-501241.025755635</v>
      </c>
      <c r="N111" s="6">
        <f t="shared" si="70"/>
        <v>2709941.304704133</v>
      </c>
      <c r="O111" s="6">
        <f t="shared" ca="1" si="71"/>
        <v>9114637.7421318851</v>
      </c>
      <c r="P111" s="6"/>
      <c r="Q111" s="15"/>
    </row>
    <row r="112" spans="1:17">
      <c r="A112" s="20">
        <f>'Monthly Data'!A112</f>
        <v>44256</v>
      </c>
      <c r="B112">
        <f t="shared" si="102"/>
        <v>3</v>
      </c>
      <c r="C112">
        <f t="shared" si="103"/>
        <v>2021</v>
      </c>
      <c r="D112" s="6">
        <f>'Monthly Data'!J112</f>
        <v>8547610.3388163969</v>
      </c>
      <c r="E112" s="6">
        <f t="shared" ca="1" si="118"/>
        <v>412.32</v>
      </c>
      <c r="F112" s="6">
        <f t="shared" ref="F112" ca="1" si="120">F100</f>
        <v>0.57842105263157961</v>
      </c>
      <c r="G112">
        <f>'Monthly Data'!CI112</f>
        <v>0.5</v>
      </c>
      <c r="H112">
        <f>'Monthly Data'!BA112</f>
        <v>271.60000000000002</v>
      </c>
      <c r="J112" s="6">
        <f t="shared" si="66"/>
        <v>4665603.6585154198</v>
      </c>
      <c r="K112" s="6">
        <f t="shared" ca="1" si="67"/>
        <v>1788692.4352587874</v>
      </c>
      <c r="L112" s="6">
        <f t="shared" ca="1" si="68"/>
        <v>8686.5662254882136</v>
      </c>
      <c r="M112" s="6">
        <f t="shared" si="69"/>
        <v>-501241.025755635</v>
      </c>
      <c r="N112" s="6">
        <f t="shared" si="70"/>
        <v>2733085.9946440496</v>
      </c>
      <c r="O112" s="6">
        <f t="shared" ca="1" si="71"/>
        <v>8694827.6288881097</v>
      </c>
      <c r="P112" s="6"/>
      <c r="Q112" s="15"/>
    </row>
    <row r="113" spans="1:17">
      <c r="A113" s="20">
        <f>'Monthly Data'!A113</f>
        <v>44287</v>
      </c>
      <c r="B113">
        <f t="shared" si="102"/>
        <v>4</v>
      </c>
      <c r="C113">
        <f t="shared" si="103"/>
        <v>2021</v>
      </c>
      <c r="D113" s="6">
        <f>'Monthly Data'!J113</f>
        <v>7437605.7805074044</v>
      </c>
      <c r="E113" s="6">
        <f t="shared" ca="1" si="118"/>
        <v>229.95</v>
      </c>
      <c r="F113" s="6">
        <f t="shared" ref="F113" ca="1" si="121">F101</f>
        <v>1.3889473684210429</v>
      </c>
      <c r="G113">
        <f>'Monthly Data'!CI113</f>
        <v>0.5</v>
      </c>
      <c r="H113">
        <f>'Monthly Data'!BA113</f>
        <v>275.60000000000002</v>
      </c>
      <c r="J113" s="6">
        <f t="shared" si="66"/>
        <v>4665603.6585154198</v>
      </c>
      <c r="K113" s="6">
        <f t="shared" ca="1" si="67"/>
        <v>997550.02301066683</v>
      </c>
      <c r="L113" s="6">
        <f t="shared" ca="1" si="68"/>
        <v>20858.824630630763</v>
      </c>
      <c r="M113" s="6">
        <f t="shared" si="69"/>
        <v>-501241.025755635</v>
      </c>
      <c r="N113" s="6">
        <f t="shared" si="70"/>
        <v>2773337.6293221652</v>
      </c>
      <c r="O113" s="6">
        <f t="shared" ca="1" si="71"/>
        <v>7956109.1097232476</v>
      </c>
      <c r="P113" s="6"/>
      <c r="Q113" s="15"/>
    </row>
    <row r="114" spans="1:17">
      <c r="A114" s="20">
        <f>'Monthly Data'!A114</f>
        <v>44317</v>
      </c>
      <c r="B114">
        <f t="shared" si="102"/>
        <v>5</v>
      </c>
      <c r="C114">
        <f t="shared" si="103"/>
        <v>2021</v>
      </c>
      <c r="D114" s="6">
        <f>'Monthly Data'!J114</f>
        <v>7624172.4321373999</v>
      </c>
      <c r="E114" s="6">
        <f t="shared" ca="1" si="118"/>
        <v>79.77000000000001</v>
      </c>
      <c r="F114" s="6">
        <f t="shared" ref="F114" ca="1" si="122">F102</f>
        <v>52.065789473684617</v>
      </c>
      <c r="G114">
        <f>'Monthly Data'!CI114</f>
        <v>0.5</v>
      </c>
      <c r="H114">
        <f>'Monthly Data'!BA114</f>
        <v>277.10000000000002</v>
      </c>
      <c r="J114" s="6">
        <f t="shared" si="66"/>
        <v>4665603.6585154198</v>
      </c>
      <c r="K114" s="6">
        <f t="shared" ca="1" si="67"/>
        <v>346051.59963279369</v>
      </c>
      <c r="L114" s="6">
        <f t="shared" ca="1" si="68"/>
        <v>781909.5212524361</v>
      </c>
      <c r="M114" s="6">
        <f t="shared" si="69"/>
        <v>-501241.025755635</v>
      </c>
      <c r="N114" s="6">
        <f t="shared" si="70"/>
        <v>2788431.9923264585</v>
      </c>
      <c r="O114" s="6">
        <f t="shared" ca="1" si="71"/>
        <v>8080755.7459714748</v>
      </c>
      <c r="P114" s="6"/>
      <c r="Q114" s="15"/>
    </row>
    <row r="115" spans="1:17">
      <c r="A115" s="20">
        <f>'Monthly Data'!A115</f>
        <v>44348</v>
      </c>
      <c r="B115">
        <f t="shared" si="102"/>
        <v>6</v>
      </c>
      <c r="C115">
        <f t="shared" si="103"/>
        <v>2021</v>
      </c>
      <c r="D115" s="6">
        <f>'Monthly Data'!J115</f>
        <v>8939305.3996103965</v>
      </c>
      <c r="E115" s="6">
        <f t="shared" ca="1" si="118"/>
        <v>5.16</v>
      </c>
      <c r="F115" s="6">
        <f t="shared" ref="F115" ca="1" si="123">F103</f>
        <v>106.52421052631576</v>
      </c>
      <c r="G115">
        <f>'Monthly Data'!CI115</f>
        <v>0.5</v>
      </c>
      <c r="H115">
        <f>'Monthly Data'!BA115</f>
        <v>281.2</v>
      </c>
      <c r="J115" s="6">
        <f t="shared" si="66"/>
        <v>4665603.6585154198</v>
      </c>
      <c r="K115" s="6">
        <f t="shared" ca="1" si="67"/>
        <v>22384.684143226968</v>
      </c>
      <c r="L115" s="6">
        <f t="shared" ca="1" si="68"/>
        <v>1599750.9169917288</v>
      </c>
      <c r="M115" s="6">
        <f t="shared" si="69"/>
        <v>-501241.025755635</v>
      </c>
      <c r="N115" s="6">
        <f t="shared" si="70"/>
        <v>2829689.9178715269</v>
      </c>
      <c r="O115" s="6">
        <f t="shared" ca="1" si="71"/>
        <v>8616188.1517662685</v>
      </c>
      <c r="P115" s="6"/>
      <c r="Q115" s="15"/>
    </row>
    <row r="116" spans="1:17">
      <c r="A116" s="20">
        <f>'Monthly Data'!A116</f>
        <v>44378</v>
      </c>
      <c r="B116">
        <f t="shared" si="102"/>
        <v>7</v>
      </c>
      <c r="C116">
        <f t="shared" si="103"/>
        <v>2021</v>
      </c>
      <c r="D116" s="6">
        <f>'Monthly Data'!J116</f>
        <v>9619348.627058398</v>
      </c>
      <c r="E116" s="6">
        <f t="shared" ca="1" si="118"/>
        <v>0</v>
      </c>
      <c r="F116" s="6">
        <f t="shared" ref="F116" ca="1" si="124">F104</f>
        <v>189.76052631578978</v>
      </c>
      <c r="G116">
        <f>'Monthly Data'!CI116</f>
        <v>0.5</v>
      </c>
      <c r="H116">
        <f>'Monthly Data'!BA116</f>
        <v>283.5</v>
      </c>
      <c r="J116" s="6">
        <f t="shared" si="66"/>
        <v>4665603.6585154198</v>
      </c>
      <c r="K116" s="6">
        <f t="shared" ca="1" si="67"/>
        <v>0</v>
      </c>
      <c r="L116" s="6">
        <f t="shared" ca="1" si="68"/>
        <v>2849770.7186247949</v>
      </c>
      <c r="M116" s="6">
        <f t="shared" si="69"/>
        <v>-501241.025755635</v>
      </c>
      <c r="N116" s="6">
        <f t="shared" si="70"/>
        <v>2852834.6078114435</v>
      </c>
      <c r="O116" s="6">
        <f t="shared" ca="1" si="71"/>
        <v>9866967.9591960236</v>
      </c>
      <c r="P116" s="6"/>
      <c r="Q116" s="15"/>
    </row>
    <row r="117" spans="1:17">
      <c r="A117" s="20">
        <f>'Monthly Data'!A117</f>
        <v>44409</v>
      </c>
      <c r="B117">
        <f t="shared" si="102"/>
        <v>8</v>
      </c>
      <c r="C117">
        <f t="shared" si="103"/>
        <v>2021</v>
      </c>
      <c r="D117" s="6">
        <f>'Monthly Data'!J117</f>
        <v>10353279.138714399</v>
      </c>
      <c r="E117" s="6">
        <f t="shared" ca="1" si="118"/>
        <v>8.0000000000000071E-2</v>
      </c>
      <c r="F117" s="6">
        <f t="shared" ref="F117" ca="1" si="125">F105</f>
        <v>169.11894736842078</v>
      </c>
      <c r="G117">
        <f>'Monthly Data'!CI117</f>
        <v>0.5</v>
      </c>
      <c r="H117">
        <f>'Monthly Data'!BA117</f>
        <v>286.60000000000002</v>
      </c>
      <c r="J117" s="6">
        <f t="shared" si="66"/>
        <v>4665603.6585154198</v>
      </c>
      <c r="K117" s="6">
        <f t="shared" ca="1" si="67"/>
        <v>347.0493665616587</v>
      </c>
      <c r="L117" s="6">
        <f t="shared" ca="1" si="68"/>
        <v>2539781.2365525188</v>
      </c>
      <c r="M117" s="6">
        <f t="shared" si="69"/>
        <v>-501241.025755635</v>
      </c>
      <c r="N117" s="6">
        <f t="shared" si="70"/>
        <v>2884029.6246869829</v>
      </c>
      <c r="O117" s="6">
        <f t="shared" ca="1" si="71"/>
        <v>9588520.5433658473</v>
      </c>
      <c r="P117" s="6"/>
      <c r="Q117" s="15"/>
    </row>
    <row r="118" spans="1:17">
      <c r="A118" s="20">
        <f>'Monthly Data'!A118</f>
        <v>44440</v>
      </c>
      <c r="B118">
        <f t="shared" si="102"/>
        <v>9</v>
      </c>
      <c r="C118">
        <f t="shared" si="103"/>
        <v>2021</v>
      </c>
      <c r="D118" s="6">
        <f>'Monthly Data'!J118</f>
        <v>8403763.8862593919</v>
      </c>
      <c r="E118" s="6">
        <f t="shared" ca="1" si="118"/>
        <v>12.280000000000001</v>
      </c>
      <c r="F118" s="6">
        <f t="shared" ref="F118" ca="1" si="126">F106</f>
        <v>77.220526315789357</v>
      </c>
      <c r="G118">
        <f>'Monthly Data'!CI118</f>
        <v>0.5</v>
      </c>
      <c r="H118">
        <f>'Monthly Data'!BA118</f>
        <v>283.60000000000002</v>
      </c>
      <c r="J118" s="6">
        <f t="shared" si="66"/>
        <v>4665603.6585154198</v>
      </c>
      <c r="K118" s="6">
        <f t="shared" ca="1" si="67"/>
        <v>53272.07776721457</v>
      </c>
      <c r="L118" s="6">
        <f t="shared" ca="1" si="68"/>
        <v>1159676.351262422</v>
      </c>
      <c r="M118" s="6">
        <f t="shared" si="69"/>
        <v>-501241.025755635</v>
      </c>
      <c r="N118" s="6">
        <f t="shared" si="70"/>
        <v>2853840.8986783964</v>
      </c>
      <c r="O118" s="6">
        <f t="shared" ca="1" si="71"/>
        <v>8231151.9604678173</v>
      </c>
      <c r="P118" s="6"/>
      <c r="Q118" s="15"/>
    </row>
    <row r="119" spans="1:17">
      <c r="A119" s="20">
        <f>'Monthly Data'!A119</f>
        <v>44470</v>
      </c>
      <c r="B119">
        <f t="shared" ref="B119:B122" si="127">MONTH(A119)</f>
        <v>10</v>
      </c>
      <c r="C119">
        <f t="shared" ref="C119:C122" si="128">YEAR(A119)</f>
        <v>2021</v>
      </c>
      <c r="D119" s="6">
        <f>'Monthly Data'!J119</f>
        <v>8109369.5811114041</v>
      </c>
      <c r="E119" s="6">
        <f t="shared" ca="1" si="118"/>
        <v>111.21000000000001</v>
      </c>
      <c r="F119" s="6">
        <f t="shared" ref="F119" ca="1" si="129">F107</f>
        <v>16.868947368421004</v>
      </c>
      <c r="G119">
        <f>'Monthly Data'!CI119</f>
        <v>0.5</v>
      </c>
      <c r="H119">
        <f>'Monthly Data'!BA119</f>
        <v>284.3</v>
      </c>
      <c r="J119" s="6">
        <f t="shared" si="66"/>
        <v>4665603.6585154198</v>
      </c>
      <c r="K119" s="6">
        <f t="shared" ca="1" si="67"/>
        <v>482442.00069152541</v>
      </c>
      <c r="L119" s="6">
        <f t="shared" ca="1" si="68"/>
        <v>253333.15204105698</v>
      </c>
      <c r="M119" s="6">
        <f t="shared" si="69"/>
        <v>-501241.025755635</v>
      </c>
      <c r="N119" s="6">
        <f t="shared" si="70"/>
        <v>2860884.9347470663</v>
      </c>
      <c r="O119" s="6">
        <f t="shared" ca="1" si="71"/>
        <v>7761022.7202394344</v>
      </c>
      <c r="P119" s="6"/>
      <c r="Q119" s="15"/>
    </row>
    <row r="120" spans="1:17">
      <c r="A120" s="20">
        <f>'Monthly Data'!A120</f>
        <v>44501</v>
      </c>
      <c r="B120">
        <f t="shared" si="127"/>
        <v>11</v>
      </c>
      <c r="C120">
        <f t="shared" si="128"/>
        <v>2021</v>
      </c>
      <c r="D120" s="6">
        <f>'Monthly Data'!J120</f>
        <v>8522239.7704183962</v>
      </c>
      <c r="E120" s="6">
        <f t="shared" ca="1" si="118"/>
        <v>297.28000000000003</v>
      </c>
      <c r="F120" s="6">
        <f t="shared" ref="F120" ca="1" si="130">F108</f>
        <v>1.2689473684210384</v>
      </c>
      <c r="G120">
        <f>'Monthly Data'!CI120</f>
        <v>0.5</v>
      </c>
      <c r="H120">
        <f>'Monthly Data'!BA120</f>
        <v>286</v>
      </c>
      <c r="J120" s="6">
        <f t="shared" si="66"/>
        <v>4665603.6585154198</v>
      </c>
      <c r="K120" s="6">
        <f t="shared" ca="1" si="67"/>
        <v>1289635.4461431226</v>
      </c>
      <c r="L120" s="6">
        <f t="shared" ca="1" si="68"/>
        <v>19056.698061557621</v>
      </c>
      <c r="M120" s="6">
        <f t="shared" si="69"/>
        <v>-501241.025755635</v>
      </c>
      <c r="N120" s="6">
        <f t="shared" si="70"/>
        <v>2877991.8794852654</v>
      </c>
      <c r="O120" s="6">
        <f t="shared" ca="1" si="71"/>
        <v>8351046.6564497305</v>
      </c>
      <c r="P120" s="6"/>
      <c r="Q120" s="15"/>
    </row>
    <row r="121" spans="1:17">
      <c r="A121" s="20">
        <f>'Monthly Data'!A121</f>
        <v>44531</v>
      </c>
      <c r="B121">
        <f t="shared" si="127"/>
        <v>12</v>
      </c>
      <c r="C121">
        <f t="shared" si="128"/>
        <v>2021</v>
      </c>
      <c r="D121" s="6">
        <f>'Monthly Data'!J121</f>
        <v>9116150.4407464005</v>
      </c>
      <c r="E121" s="6">
        <f t="shared" ca="1" si="118"/>
        <v>440.25</v>
      </c>
      <c r="F121" s="6">
        <f t="shared" ref="F121:F133" ca="1" si="131">F109</f>
        <v>0</v>
      </c>
      <c r="G121">
        <f>'Monthly Data'!CI121</f>
        <v>0.5</v>
      </c>
      <c r="H121">
        <f>'Monthly Data'!BA121</f>
        <v>290.60000000000002</v>
      </c>
      <c r="I121" t="str">
        <f>'Res Normalized Monthly'!M121</f>
        <v>COVID</v>
      </c>
      <c r="J121" s="6">
        <f t="shared" si="66"/>
        <v>4665603.6585154198</v>
      </c>
      <c r="K121" s="6">
        <f t="shared" ca="1" si="67"/>
        <v>1909856.0453596264</v>
      </c>
      <c r="L121" s="6">
        <f t="shared" ca="1" si="68"/>
        <v>0</v>
      </c>
      <c r="M121" s="6">
        <f t="shared" si="69"/>
        <v>-501241.025755635</v>
      </c>
      <c r="N121" s="6">
        <f t="shared" si="70"/>
        <v>2924281.2593650986</v>
      </c>
      <c r="O121" s="6">
        <f t="shared" ca="1" si="71"/>
        <v>8998499.9374845102</v>
      </c>
      <c r="P121" s="6"/>
      <c r="Q121" s="15"/>
    </row>
    <row r="122" spans="1:17">
      <c r="A122" s="20">
        <f>'Monthly Data'!A122</f>
        <v>44562</v>
      </c>
      <c r="B122">
        <f t="shared" si="127"/>
        <v>1</v>
      </c>
      <c r="C122">
        <f t="shared" si="128"/>
        <v>2022</v>
      </c>
      <c r="D122" s="6">
        <f>'Monthly Data'!J122</f>
        <v>10085148.487455031</v>
      </c>
      <c r="E122" s="6">
        <f t="shared" ca="1" si="118"/>
        <v>564.86</v>
      </c>
      <c r="F122" s="6">
        <f t="shared" ca="1" si="131"/>
        <v>0</v>
      </c>
      <c r="G122">
        <f>'Monthly Data'!CI122</f>
        <v>0.25</v>
      </c>
      <c r="H122">
        <f>'Monthly Data'!BA122</f>
        <v>292.3</v>
      </c>
      <c r="I122" s="89">
        <f>'Res Normalized Monthly'!M122</f>
        <v>0.5</v>
      </c>
      <c r="J122" s="6">
        <f t="shared" si="66"/>
        <v>4665603.6585154198</v>
      </c>
      <c r="K122" s="6">
        <f t="shared" ca="1" si="67"/>
        <v>2450428.8149502296</v>
      </c>
      <c r="L122" s="6">
        <f t="shared" ca="1" si="68"/>
        <v>0</v>
      </c>
      <c r="M122" s="6">
        <f t="shared" si="69"/>
        <v>-250620.5128778175</v>
      </c>
      <c r="N122" s="6">
        <f t="shared" si="70"/>
        <v>2941388.2041032976</v>
      </c>
      <c r="O122" s="187">
        <f t="shared" ca="1" si="71"/>
        <v>9806800.1646911297</v>
      </c>
      <c r="Q122" s="6"/>
    </row>
    <row r="123" spans="1:17">
      <c r="A123" s="20">
        <f>'Monthly Data'!A123</f>
        <v>44593</v>
      </c>
      <c r="B123">
        <f t="shared" ref="B123:B133" si="132">MONTH(A123)</f>
        <v>2</v>
      </c>
      <c r="C123">
        <f t="shared" ref="C123:C133" si="133">YEAR(A123)</f>
        <v>2022</v>
      </c>
      <c r="D123" s="6">
        <f>'Monthly Data'!J123</f>
        <v>9138293.4874550309</v>
      </c>
      <c r="E123" s="6">
        <f t="shared" ca="1" si="118"/>
        <v>516.43000000000006</v>
      </c>
      <c r="F123" s="6">
        <f t="shared" ca="1" si="131"/>
        <v>0</v>
      </c>
      <c r="G123">
        <f>'Monthly Data'!CI123</f>
        <v>0.25</v>
      </c>
      <c r="H123">
        <f>'Monthly Data'!BA123</f>
        <v>293</v>
      </c>
      <c r="I123" s="89">
        <f>'Res Normalized Monthly'!M123</f>
        <v>0.5</v>
      </c>
      <c r="J123" s="6">
        <f t="shared" si="66"/>
        <v>4665603.6585154198</v>
      </c>
      <c r="K123" s="6">
        <f t="shared" ca="1" si="67"/>
        <v>2240333.804667966</v>
      </c>
      <c r="L123" s="6">
        <f t="shared" ca="1" si="68"/>
        <v>0</v>
      </c>
      <c r="M123" s="6">
        <f t="shared" si="69"/>
        <v>-250620.5128778175</v>
      </c>
      <c r="N123" s="6">
        <f t="shared" si="70"/>
        <v>2948432.240171968</v>
      </c>
      <c r="O123" s="187">
        <f t="shared" ca="1" si="71"/>
        <v>9603749.190477537</v>
      </c>
      <c r="Q123" s="6"/>
    </row>
    <row r="124" spans="1:17">
      <c r="A124" s="20">
        <f>'Monthly Data'!A124</f>
        <v>44621</v>
      </c>
      <c r="B124">
        <f t="shared" si="132"/>
        <v>3</v>
      </c>
      <c r="C124">
        <f t="shared" si="133"/>
        <v>2022</v>
      </c>
      <c r="D124" s="6">
        <f>'Monthly Data'!J124</f>
        <v>9332810.4874550309</v>
      </c>
      <c r="E124" s="6">
        <f t="shared" ca="1" si="118"/>
        <v>412.32</v>
      </c>
      <c r="F124" s="6">
        <f t="shared" ca="1" si="131"/>
        <v>0.57842105263157961</v>
      </c>
      <c r="G124">
        <f>'Monthly Data'!CI124</f>
        <v>0.25</v>
      </c>
      <c r="H124">
        <f>'Monthly Data'!BA124</f>
        <v>294.8</v>
      </c>
      <c r="I124" s="89">
        <f>'Res Normalized Monthly'!M124</f>
        <v>0.5</v>
      </c>
      <c r="J124" s="6">
        <f t="shared" si="66"/>
        <v>4665603.6585154198</v>
      </c>
      <c r="K124" s="6">
        <f t="shared" ca="1" si="67"/>
        <v>1788692.4352587874</v>
      </c>
      <c r="L124" s="6">
        <f t="shared" ca="1" si="68"/>
        <v>8686.5662254882136</v>
      </c>
      <c r="M124" s="6">
        <f t="shared" si="69"/>
        <v>-250620.5128778175</v>
      </c>
      <c r="N124" s="6">
        <f t="shared" si="70"/>
        <v>2966545.4757771199</v>
      </c>
      <c r="O124" s="187">
        <f t="shared" ca="1" si="71"/>
        <v>9178907.6228989977</v>
      </c>
    </row>
    <row r="125" spans="1:17">
      <c r="A125" s="20">
        <f>'Monthly Data'!A125</f>
        <v>44652</v>
      </c>
      <c r="B125">
        <f t="shared" si="132"/>
        <v>4</v>
      </c>
      <c r="C125">
        <f t="shared" si="133"/>
        <v>2022</v>
      </c>
      <c r="D125" s="6">
        <f>'Monthly Data'!J125</f>
        <v>8348962.48745503</v>
      </c>
      <c r="E125" s="6">
        <f t="shared" ca="1" si="118"/>
        <v>229.95</v>
      </c>
      <c r="F125" s="6">
        <f t="shared" ca="1" si="131"/>
        <v>1.3889473684210429</v>
      </c>
      <c r="G125">
        <f>'Monthly Data'!CI125</f>
        <v>0.25</v>
      </c>
      <c r="H125">
        <f>'Monthly Data'!BA125</f>
        <v>296.8</v>
      </c>
      <c r="I125" s="89">
        <f>'Res Normalized Monthly'!M125</f>
        <v>0.5</v>
      </c>
      <c r="J125" s="6">
        <f t="shared" si="66"/>
        <v>4665603.6585154198</v>
      </c>
      <c r="K125" s="6">
        <f t="shared" ca="1" si="67"/>
        <v>997550.02301066683</v>
      </c>
      <c r="L125" s="6">
        <f t="shared" ca="1" si="68"/>
        <v>20858.824630630763</v>
      </c>
      <c r="M125" s="6">
        <f t="shared" si="69"/>
        <v>-250620.5128778175</v>
      </c>
      <c r="N125" s="6">
        <f t="shared" si="70"/>
        <v>2986671.2931161779</v>
      </c>
      <c r="O125" s="187">
        <f t="shared" ca="1" si="71"/>
        <v>8420063.2863950785</v>
      </c>
    </row>
    <row r="126" spans="1:17">
      <c r="A126" s="20">
        <f>'Monthly Data'!A126</f>
        <v>44682</v>
      </c>
      <c r="B126">
        <f t="shared" si="132"/>
        <v>5</v>
      </c>
      <c r="C126">
        <f t="shared" si="133"/>
        <v>2022</v>
      </c>
      <c r="D126" s="6">
        <f>'Monthly Data'!J126</f>
        <v>8504691.4874550309</v>
      </c>
      <c r="E126" s="6">
        <f t="shared" ca="1" si="118"/>
        <v>79.77000000000001</v>
      </c>
      <c r="F126" s="6">
        <f t="shared" ca="1" si="131"/>
        <v>52.065789473684617</v>
      </c>
      <c r="G126">
        <f>'Monthly Data'!CI126</f>
        <v>0.25</v>
      </c>
      <c r="H126">
        <f>'Monthly Data'!BA126</f>
        <v>299.2</v>
      </c>
      <c r="I126" s="89">
        <f>'Res Normalized Monthly'!M126</f>
        <v>0.5</v>
      </c>
      <c r="J126" s="6">
        <f t="shared" si="66"/>
        <v>4665603.6585154198</v>
      </c>
      <c r="K126" s="6">
        <f t="shared" ca="1" si="67"/>
        <v>346051.59963279369</v>
      </c>
      <c r="L126" s="6">
        <f t="shared" ca="1" si="68"/>
        <v>781909.5212524361</v>
      </c>
      <c r="M126" s="6">
        <f t="shared" si="69"/>
        <v>-250620.5128778175</v>
      </c>
      <c r="N126" s="6">
        <f t="shared" si="70"/>
        <v>3010822.2739230469</v>
      </c>
      <c r="O126" s="187">
        <f t="shared" ca="1" si="71"/>
        <v>8553766.5404458791</v>
      </c>
    </row>
    <row r="127" spans="1:17">
      <c r="A127" s="20">
        <f>'Monthly Data'!A127</f>
        <v>44713</v>
      </c>
      <c r="B127">
        <f t="shared" si="132"/>
        <v>6</v>
      </c>
      <c r="C127">
        <f t="shared" si="133"/>
        <v>2022</v>
      </c>
      <c r="D127" s="6">
        <f>'Monthly Data'!J127</f>
        <v>9198410.4874550309</v>
      </c>
      <c r="E127" s="6">
        <f t="shared" ca="1" si="118"/>
        <v>5.16</v>
      </c>
      <c r="F127" s="6">
        <f t="shared" ca="1" si="131"/>
        <v>106.52421052631576</v>
      </c>
      <c r="G127">
        <f>'Monthly Data'!CI127</f>
        <v>0.25</v>
      </c>
      <c r="H127">
        <f>'Monthly Data'!BA127</f>
        <v>298.5</v>
      </c>
      <c r="I127" s="89">
        <f>'Res Normalized Monthly'!M127</f>
        <v>0.5</v>
      </c>
      <c r="J127" s="6">
        <f t="shared" si="66"/>
        <v>4665603.6585154198</v>
      </c>
      <c r="K127" s="6">
        <f t="shared" ca="1" si="67"/>
        <v>22384.684143226968</v>
      </c>
      <c r="L127" s="6">
        <f t="shared" ca="1" si="68"/>
        <v>1599750.9169917288</v>
      </c>
      <c r="M127" s="6">
        <f t="shared" si="69"/>
        <v>-250620.5128778175</v>
      </c>
      <c r="N127" s="6">
        <f t="shared" si="70"/>
        <v>3003778.2378543769</v>
      </c>
      <c r="O127" s="187">
        <f t="shared" ca="1" si="71"/>
        <v>9040896.9846269358</v>
      </c>
    </row>
    <row r="128" spans="1:17">
      <c r="A128" s="20">
        <f>'Monthly Data'!A128</f>
        <v>44743</v>
      </c>
      <c r="B128">
        <f t="shared" si="132"/>
        <v>7</v>
      </c>
      <c r="C128">
        <f t="shared" si="133"/>
        <v>2022</v>
      </c>
      <c r="D128" s="6">
        <f>'Monthly Data'!J128</f>
        <v>10146642.487455031</v>
      </c>
      <c r="E128" s="6">
        <f t="shared" ca="1" si="118"/>
        <v>0</v>
      </c>
      <c r="F128" s="6">
        <f t="shared" ca="1" si="131"/>
        <v>189.76052631578978</v>
      </c>
      <c r="G128">
        <f>'Monthly Data'!CI128</f>
        <v>0.25</v>
      </c>
      <c r="H128">
        <f>'Monthly Data'!BA128</f>
        <v>298.7</v>
      </c>
      <c r="I128" s="89">
        <f>'Res Normalized Monthly'!M128</f>
        <v>0.5</v>
      </c>
      <c r="J128" s="6">
        <f t="shared" si="66"/>
        <v>4665603.6585154198</v>
      </c>
      <c r="K128" s="6">
        <f t="shared" ca="1" si="67"/>
        <v>0</v>
      </c>
      <c r="L128" s="6">
        <f t="shared" ca="1" si="68"/>
        <v>2849770.7186247949</v>
      </c>
      <c r="M128" s="6">
        <f t="shared" si="69"/>
        <v>-250620.5128778175</v>
      </c>
      <c r="N128" s="6">
        <f t="shared" si="70"/>
        <v>3005790.8195882826</v>
      </c>
      <c r="O128" s="187">
        <f t="shared" ca="1" si="71"/>
        <v>10270544.68385068</v>
      </c>
    </row>
    <row r="129" spans="1:15">
      <c r="A129" s="20">
        <f>'Monthly Data'!A129</f>
        <v>44774</v>
      </c>
      <c r="B129">
        <f t="shared" si="132"/>
        <v>8</v>
      </c>
      <c r="C129">
        <f t="shared" si="133"/>
        <v>2022</v>
      </c>
      <c r="D129" s="6">
        <f>'Monthly Data'!J129</f>
        <v>10166797.487455031</v>
      </c>
      <c r="E129" s="6">
        <f t="shared" ca="1" si="118"/>
        <v>8.0000000000000071E-2</v>
      </c>
      <c r="F129" s="6">
        <f t="shared" ca="1" si="131"/>
        <v>169.11894736842078</v>
      </c>
      <c r="G129">
        <f>'Monthly Data'!CI129</f>
        <v>0.25</v>
      </c>
      <c r="H129">
        <f>'Monthly Data'!BA129</f>
        <v>295.39999999999998</v>
      </c>
      <c r="I129" s="89">
        <f>'Res Normalized Monthly'!M129</f>
        <v>0.5</v>
      </c>
      <c r="J129" s="6">
        <f t="shared" si="66"/>
        <v>4665603.6585154198</v>
      </c>
      <c r="K129" s="6">
        <f t="shared" ca="1" si="67"/>
        <v>347.0493665616587</v>
      </c>
      <c r="L129" s="6">
        <f t="shared" ca="1" si="68"/>
        <v>2539781.2365525188</v>
      </c>
      <c r="M129" s="6">
        <f t="shared" si="69"/>
        <v>-250620.5128778175</v>
      </c>
      <c r="N129" s="6">
        <f t="shared" si="70"/>
        <v>2972583.220978837</v>
      </c>
      <c r="O129" s="187">
        <f t="shared" ca="1" si="71"/>
        <v>9927694.6525355205</v>
      </c>
    </row>
    <row r="130" spans="1:15">
      <c r="A130" s="20">
        <f>'Monthly Data'!A130</f>
        <v>44805</v>
      </c>
      <c r="B130">
        <f t="shared" si="132"/>
        <v>9</v>
      </c>
      <c r="C130">
        <f t="shared" si="133"/>
        <v>2022</v>
      </c>
      <c r="D130" s="6">
        <f>'Monthly Data'!J130</f>
        <v>8698705.4874550309</v>
      </c>
      <c r="E130" s="6">
        <f t="shared" ca="1" si="118"/>
        <v>12.280000000000001</v>
      </c>
      <c r="F130" s="6">
        <f t="shared" ca="1" si="131"/>
        <v>77.220526315789357</v>
      </c>
      <c r="G130">
        <f>'Monthly Data'!CI130</f>
        <v>0.25</v>
      </c>
      <c r="H130">
        <f>'Monthly Data'!BA130</f>
        <v>295.3</v>
      </c>
      <c r="I130" s="89">
        <f>'Res Normalized Monthly'!M130</f>
        <v>0.5</v>
      </c>
      <c r="J130" s="6">
        <f t="shared" si="66"/>
        <v>4665603.6585154198</v>
      </c>
      <c r="K130" s="6">
        <f t="shared" ca="1" si="67"/>
        <v>53272.07776721457</v>
      </c>
      <c r="L130" s="6">
        <f t="shared" ca="1" si="68"/>
        <v>1159676.351262422</v>
      </c>
      <c r="M130" s="6">
        <f t="shared" si="69"/>
        <v>-250620.5128778175</v>
      </c>
      <c r="N130" s="6">
        <f t="shared" si="70"/>
        <v>2971576.9301118846</v>
      </c>
      <c r="O130" s="187">
        <f t="shared" ca="1" si="71"/>
        <v>8599508.5047791246</v>
      </c>
    </row>
    <row r="131" spans="1:15">
      <c r="A131" s="20">
        <f>'Monthly Data'!A131</f>
        <v>44835</v>
      </c>
      <c r="B131">
        <f t="shared" si="132"/>
        <v>10</v>
      </c>
      <c r="C131">
        <f t="shared" si="133"/>
        <v>2022</v>
      </c>
      <c r="D131" s="6">
        <f>'Monthly Data'!J131</f>
        <v>8039425.48745503</v>
      </c>
      <c r="E131" s="6">
        <f t="shared" ca="1" si="118"/>
        <v>111.21000000000001</v>
      </c>
      <c r="F131" s="6">
        <f t="shared" ca="1" si="131"/>
        <v>16.868947368421004</v>
      </c>
      <c r="G131">
        <f>'Monthly Data'!CI131</f>
        <v>0.25</v>
      </c>
      <c r="H131">
        <f>'Monthly Data'!BA131</f>
        <v>293.3</v>
      </c>
      <c r="I131" s="89">
        <f>'Res Normalized Monthly'!M131</f>
        <v>0.5</v>
      </c>
      <c r="J131" s="6">
        <f t="shared" ref="J131:J145" si="134">$R$7</f>
        <v>4665603.6585154198</v>
      </c>
      <c r="K131" s="6">
        <f t="shared" ref="K131:K145" ca="1" si="135">E131*$R$8</f>
        <v>482442.00069152541</v>
      </c>
      <c r="L131" s="6">
        <f t="shared" ref="L131:L145" ca="1" si="136">F131*$R$9</f>
        <v>253333.15204105698</v>
      </c>
      <c r="M131" s="6">
        <f t="shared" ref="M131:M145" si="137">G131*$R$10</f>
        <v>-250620.5128778175</v>
      </c>
      <c r="N131" s="6">
        <f t="shared" ref="N131:N145" si="138">H131*$R$11</f>
        <v>2951451.1127728266</v>
      </c>
      <c r="O131" s="187">
        <f t="shared" ref="O131:O145" ca="1" si="139">SUM(J131:N131)</f>
        <v>8102209.4111430123</v>
      </c>
    </row>
    <row r="132" spans="1:15">
      <c r="A132" s="20">
        <f>'Monthly Data'!A132</f>
        <v>44866</v>
      </c>
      <c r="B132">
        <f t="shared" si="132"/>
        <v>11</v>
      </c>
      <c r="C132">
        <f t="shared" si="133"/>
        <v>2022</v>
      </c>
      <c r="D132" s="6">
        <f>'Monthly Data'!J132</f>
        <v>8511697.4874550309</v>
      </c>
      <c r="E132" s="6">
        <f t="shared" ca="1" si="118"/>
        <v>297.28000000000003</v>
      </c>
      <c r="F132" s="6">
        <f t="shared" ca="1" si="131"/>
        <v>1.2689473684210384</v>
      </c>
      <c r="G132">
        <f>'Monthly Data'!CI132</f>
        <v>0.25</v>
      </c>
      <c r="H132">
        <f>'Monthly Data'!BA132</f>
        <v>292.7</v>
      </c>
      <c r="I132" s="89">
        <f>'Res Normalized Monthly'!M132</f>
        <v>0.5</v>
      </c>
      <c r="J132" s="6">
        <f t="shared" si="134"/>
        <v>4665603.6585154198</v>
      </c>
      <c r="K132" s="6">
        <f t="shared" ca="1" si="135"/>
        <v>1289635.4461431226</v>
      </c>
      <c r="L132" s="6">
        <f t="shared" ca="1" si="136"/>
        <v>19056.698061557621</v>
      </c>
      <c r="M132" s="6">
        <f t="shared" si="137"/>
        <v>-250620.5128778175</v>
      </c>
      <c r="N132" s="6">
        <f t="shared" si="138"/>
        <v>2945413.367571109</v>
      </c>
      <c r="O132" s="187">
        <f t="shared" ca="1" si="139"/>
        <v>8669088.6574133914</v>
      </c>
    </row>
    <row r="133" spans="1:15">
      <c r="A133" s="20">
        <f>'Monthly Data'!A133</f>
        <v>44896</v>
      </c>
      <c r="B133">
        <f t="shared" si="132"/>
        <v>12</v>
      </c>
      <c r="C133">
        <f t="shared" si="133"/>
        <v>2022</v>
      </c>
      <c r="D133" s="6">
        <f>'Monthly Data'!J133</f>
        <v>9458894.4874550309</v>
      </c>
      <c r="E133" s="6">
        <f t="shared" ca="1" si="118"/>
        <v>440.25</v>
      </c>
      <c r="F133" s="6">
        <f t="shared" ca="1" si="131"/>
        <v>0</v>
      </c>
      <c r="G133">
        <f>'Monthly Data'!CI133</f>
        <v>0.25</v>
      </c>
      <c r="H133">
        <f>'Monthly Data'!BA133</f>
        <v>293.2</v>
      </c>
      <c r="I133" s="89">
        <f>'Res Normalized Monthly'!M133</f>
        <v>0.5</v>
      </c>
      <c r="J133" s="6">
        <f t="shared" si="134"/>
        <v>4665603.6585154198</v>
      </c>
      <c r="K133" s="6">
        <f t="shared" ca="1" si="135"/>
        <v>1909856.0453596264</v>
      </c>
      <c r="L133" s="6">
        <f t="shared" ca="1" si="136"/>
        <v>0</v>
      </c>
      <c r="M133" s="6">
        <f t="shared" si="137"/>
        <v>-250620.5128778175</v>
      </c>
      <c r="N133" s="6">
        <f t="shared" si="138"/>
        <v>2950444.8219058737</v>
      </c>
      <c r="O133" s="187">
        <f t="shared" ca="1" si="139"/>
        <v>9275284.0129031017</v>
      </c>
    </row>
    <row r="134" spans="1:15">
      <c r="A134" s="186">
        <v>44927</v>
      </c>
      <c r="B134" s="89">
        <f t="shared" ref="B134:B145" si="140">MONTH(A134)</f>
        <v>1</v>
      </c>
      <c r="C134" s="89">
        <f t="shared" ref="C134:C145" si="141">YEAR(A134)</f>
        <v>2023</v>
      </c>
      <c r="D134" s="89"/>
      <c r="E134" s="187">
        <f t="shared" ca="1" si="118"/>
        <v>564.86</v>
      </c>
      <c r="F134" s="187">
        <f t="shared" ref="F134" ca="1" si="142">F122</f>
        <v>0</v>
      </c>
      <c r="G134" s="89">
        <f t="shared" ref="G134:G145" si="143">0.5*I134</f>
        <v>0.125</v>
      </c>
      <c r="H134" s="188">
        <f>'Economic Variables'!F244</f>
        <v>296.78990000000005</v>
      </c>
      <c r="I134" s="89">
        <f>'Res Normalized Monthly'!M134</f>
        <v>0.25</v>
      </c>
      <c r="J134" s="6">
        <f t="shared" si="134"/>
        <v>4665603.6585154198</v>
      </c>
      <c r="K134" s="6">
        <f t="shared" ca="1" si="135"/>
        <v>2450428.8149502296</v>
      </c>
      <c r="L134" s="6">
        <f t="shared" ca="1" si="136"/>
        <v>0</v>
      </c>
      <c r="M134" s="6">
        <f t="shared" si="137"/>
        <v>-125310.25643890875</v>
      </c>
      <c r="N134" s="6">
        <f t="shared" si="138"/>
        <v>2986569.6577386158</v>
      </c>
      <c r="O134" s="187">
        <f t="shared" ca="1" si="139"/>
        <v>9977291.8747653551</v>
      </c>
    </row>
    <row r="135" spans="1:15">
      <c r="A135" s="186">
        <v>44958</v>
      </c>
      <c r="B135" s="89">
        <f t="shared" si="140"/>
        <v>2</v>
      </c>
      <c r="C135" s="89">
        <f t="shared" si="141"/>
        <v>2023</v>
      </c>
      <c r="D135" s="89"/>
      <c r="E135" s="187">
        <f t="shared" ca="1" si="118"/>
        <v>516.43000000000006</v>
      </c>
      <c r="F135" s="187">
        <f t="shared" ref="F135" ca="1" si="144">F123</f>
        <v>0</v>
      </c>
      <c r="G135" s="89">
        <f t="shared" si="143"/>
        <v>0.125</v>
      </c>
      <c r="H135" s="188">
        <f>'Economic Variables'!F245</f>
        <v>297.19259999999997</v>
      </c>
      <c r="I135" s="89">
        <f>'Res Normalized Monthly'!M135</f>
        <v>0.25</v>
      </c>
      <c r="J135" s="6">
        <f t="shared" si="134"/>
        <v>4665603.6585154198</v>
      </c>
      <c r="K135" s="6">
        <f t="shared" ca="1" si="135"/>
        <v>2240333.804667966</v>
      </c>
      <c r="L135" s="6">
        <f t="shared" ca="1" si="136"/>
        <v>0</v>
      </c>
      <c r="M135" s="6">
        <f t="shared" si="137"/>
        <v>-125310.25643890875</v>
      </c>
      <c r="N135" s="6">
        <f t="shared" si="138"/>
        <v>2990621.9910598346</v>
      </c>
      <c r="O135" s="187">
        <f t="shared" ca="1" si="139"/>
        <v>9771249.1978043113</v>
      </c>
    </row>
    <row r="136" spans="1:15">
      <c r="A136" s="186">
        <v>44986</v>
      </c>
      <c r="B136" s="89">
        <f t="shared" si="140"/>
        <v>3</v>
      </c>
      <c r="C136" s="89">
        <f t="shared" si="141"/>
        <v>2023</v>
      </c>
      <c r="D136" s="89"/>
      <c r="E136" s="187">
        <f t="shared" ca="1" si="118"/>
        <v>412.32</v>
      </c>
      <c r="F136" s="187">
        <f t="shared" ref="F136" ca="1" si="145">F124</f>
        <v>0.57842105263157961</v>
      </c>
      <c r="G136" s="89">
        <f t="shared" si="143"/>
        <v>0.125</v>
      </c>
      <c r="H136" s="188">
        <f>'Economic Variables'!F246</f>
        <v>299.20609999999999</v>
      </c>
      <c r="I136" s="89">
        <f>'Res Normalized Monthly'!M136</f>
        <v>0.25</v>
      </c>
      <c r="J136" s="6">
        <f t="shared" si="134"/>
        <v>4665603.6585154198</v>
      </c>
      <c r="K136" s="6">
        <f t="shared" ca="1" si="135"/>
        <v>1788692.4352587874</v>
      </c>
      <c r="L136" s="6">
        <f t="shared" ca="1" si="136"/>
        <v>8686.5662254882136</v>
      </c>
      <c r="M136" s="6">
        <f t="shared" si="137"/>
        <v>-125310.25643890875</v>
      </c>
      <c r="N136" s="6">
        <f t="shared" si="138"/>
        <v>3010883.6576659312</v>
      </c>
      <c r="O136" s="187">
        <f t="shared" ca="1" si="139"/>
        <v>9348556.0612267181</v>
      </c>
    </row>
    <row r="137" spans="1:15">
      <c r="A137" s="186">
        <v>45017</v>
      </c>
      <c r="B137" s="89">
        <f t="shared" si="140"/>
        <v>4</v>
      </c>
      <c r="C137" s="89">
        <f t="shared" si="141"/>
        <v>2023</v>
      </c>
      <c r="D137" s="89"/>
      <c r="E137" s="187">
        <f t="shared" ca="1" si="118"/>
        <v>229.95</v>
      </c>
      <c r="F137" s="187">
        <f t="shared" ref="F137" ca="1" si="146">F125</f>
        <v>1.3889473684210429</v>
      </c>
      <c r="G137" s="89">
        <f t="shared" si="143"/>
        <v>0.125</v>
      </c>
      <c r="H137" s="188">
        <f>'Economic Variables'!F247</f>
        <v>300.61555000000004</v>
      </c>
      <c r="I137" s="89">
        <f>'Res Normalized Monthly'!M137</f>
        <v>0.25</v>
      </c>
      <c r="J137" s="6">
        <f t="shared" si="134"/>
        <v>4665603.6585154198</v>
      </c>
      <c r="K137" s="6">
        <f t="shared" ca="1" si="135"/>
        <v>997550.02301066683</v>
      </c>
      <c r="L137" s="6">
        <f t="shared" ca="1" si="136"/>
        <v>20858.824630630763</v>
      </c>
      <c r="M137" s="6">
        <f t="shared" si="137"/>
        <v>-125310.25643890875</v>
      </c>
      <c r="N137" s="6">
        <f t="shared" si="138"/>
        <v>3025066.8242901992</v>
      </c>
      <c r="O137" s="187">
        <f t="shared" ca="1" si="139"/>
        <v>8583769.0740080066</v>
      </c>
    </row>
    <row r="138" spans="1:15">
      <c r="A138" s="186">
        <v>45047</v>
      </c>
      <c r="B138" s="89">
        <f t="shared" si="140"/>
        <v>5</v>
      </c>
      <c r="C138" s="89">
        <f t="shared" si="141"/>
        <v>2023</v>
      </c>
      <c r="D138" s="89"/>
      <c r="E138" s="187">
        <f t="shared" ca="1" si="118"/>
        <v>79.77000000000001</v>
      </c>
      <c r="F138" s="187">
        <f t="shared" ref="F138" ca="1" si="147">F126</f>
        <v>52.065789473684617</v>
      </c>
      <c r="G138" s="89">
        <f t="shared" si="143"/>
        <v>0.125</v>
      </c>
      <c r="H138" s="188">
        <f>'Economic Variables'!F248</f>
        <v>300.51487500000002</v>
      </c>
      <c r="I138" s="89">
        <f>'Res Normalized Monthly'!M138</f>
        <v>0.25</v>
      </c>
      <c r="J138" s="6">
        <f t="shared" si="134"/>
        <v>4665603.6585154198</v>
      </c>
      <c r="K138" s="6">
        <f t="shared" ca="1" si="135"/>
        <v>346051.59963279369</v>
      </c>
      <c r="L138" s="6">
        <f t="shared" ca="1" si="136"/>
        <v>781909.5212524361</v>
      </c>
      <c r="M138" s="6">
        <f t="shared" si="137"/>
        <v>-125310.25643890875</v>
      </c>
      <c r="N138" s="6">
        <f t="shared" si="138"/>
        <v>3024053.7409598939</v>
      </c>
      <c r="O138" s="187">
        <f t="shared" ca="1" si="139"/>
        <v>8692308.2639216352</v>
      </c>
    </row>
    <row r="139" spans="1:15">
      <c r="A139" s="186">
        <v>45078</v>
      </c>
      <c r="B139" s="89">
        <f t="shared" si="140"/>
        <v>6</v>
      </c>
      <c r="C139" s="89">
        <f t="shared" si="141"/>
        <v>2023</v>
      </c>
      <c r="D139" s="89"/>
      <c r="E139" s="187">
        <f t="shared" ca="1" si="118"/>
        <v>5.16</v>
      </c>
      <c r="F139" s="187">
        <f t="shared" ref="F139" ca="1" si="148">F127</f>
        <v>106.52421052631576</v>
      </c>
      <c r="G139" s="89">
        <f t="shared" si="143"/>
        <v>0.125</v>
      </c>
      <c r="H139" s="188">
        <f>'Economic Variables'!F249</f>
        <v>296.48787500000003</v>
      </c>
      <c r="I139" s="89">
        <f>'Res Normalized Monthly'!M139</f>
        <v>0.25</v>
      </c>
      <c r="J139" s="6">
        <f t="shared" si="134"/>
        <v>4665603.6585154198</v>
      </c>
      <c r="K139" s="6">
        <f t="shared" ca="1" si="135"/>
        <v>22384.684143226968</v>
      </c>
      <c r="L139" s="6">
        <f t="shared" ca="1" si="136"/>
        <v>1599750.9169917288</v>
      </c>
      <c r="M139" s="6">
        <f t="shared" si="137"/>
        <v>-125310.25643890875</v>
      </c>
      <c r="N139" s="6">
        <f t="shared" si="138"/>
        <v>2983530.4077477013</v>
      </c>
      <c r="O139" s="187">
        <f t="shared" ca="1" si="139"/>
        <v>9145959.4109591674</v>
      </c>
    </row>
    <row r="140" spans="1:15">
      <c r="A140" s="186">
        <v>45108</v>
      </c>
      <c r="B140" s="89">
        <f t="shared" si="140"/>
        <v>7</v>
      </c>
      <c r="C140" s="89">
        <f t="shared" si="141"/>
        <v>2023</v>
      </c>
      <c r="D140" s="89"/>
      <c r="E140" s="187">
        <f t="shared" ca="1" si="118"/>
        <v>0</v>
      </c>
      <c r="F140" s="187">
        <f t="shared" ref="F140" ca="1" si="149">F128</f>
        <v>189.76052631578978</v>
      </c>
      <c r="G140" s="89">
        <f t="shared" si="143"/>
        <v>0.125</v>
      </c>
      <c r="H140" s="188">
        <f>'Economic Variables'!F250</f>
        <v>295.17910000000001</v>
      </c>
      <c r="I140" s="89">
        <f>'Res Normalized Monthly'!M140</f>
        <v>0.25</v>
      </c>
      <c r="J140" s="6">
        <f t="shared" si="134"/>
        <v>4665603.6585154198</v>
      </c>
      <c r="K140" s="6">
        <f t="shared" ca="1" si="135"/>
        <v>0</v>
      </c>
      <c r="L140" s="6">
        <f t="shared" ca="1" si="136"/>
        <v>2849770.7186247949</v>
      </c>
      <c r="M140" s="6">
        <f t="shared" si="137"/>
        <v>-125310.25643890875</v>
      </c>
      <c r="N140" s="6">
        <f t="shared" si="138"/>
        <v>2970360.3244537385</v>
      </c>
      <c r="O140" s="187">
        <f t="shared" ca="1" si="139"/>
        <v>10360424.445155043</v>
      </c>
    </row>
    <row r="141" spans="1:15">
      <c r="A141" s="186">
        <v>45139</v>
      </c>
      <c r="B141" s="89">
        <f t="shared" si="140"/>
        <v>8</v>
      </c>
      <c r="C141" s="89">
        <f t="shared" si="141"/>
        <v>2023</v>
      </c>
      <c r="D141" s="89"/>
      <c r="E141" s="187">
        <f t="shared" ca="1" si="118"/>
        <v>8.0000000000000071E-2</v>
      </c>
      <c r="F141" s="187">
        <f t="shared" ref="F141" ca="1" si="150">F129</f>
        <v>169.11894736842078</v>
      </c>
      <c r="G141" s="89">
        <f t="shared" si="143"/>
        <v>0.125</v>
      </c>
      <c r="H141" s="188">
        <f>'Economic Variables'!F251</f>
        <v>293.26627500000001</v>
      </c>
      <c r="I141" s="89">
        <f>'Res Normalized Monthly'!M141</f>
        <v>0.25</v>
      </c>
      <c r="J141" s="6">
        <f t="shared" si="134"/>
        <v>4665603.6585154198</v>
      </c>
      <c r="K141" s="6">
        <f t="shared" ca="1" si="135"/>
        <v>347.0493665616587</v>
      </c>
      <c r="L141" s="6">
        <f t="shared" ca="1" si="136"/>
        <v>2539781.2365525188</v>
      </c>
      <c r="M141" s="6">
        <f t="shared" si="137"/>
        <v>-125310.25643890875</v>
      </c>
      <c r="N141" s="6">
        <f t="shared" si="138"/>
        <v>2951111.7411779468</v>
      </c>
      <c r="O141" s="187">
        <f t="shared" ca="1" si="139"/>
        <v>10031533.429173538</v>
      </c>
    </row>
    <row r="142" spans="1:15">
      <c r="A142" s="186">
        <v>45170</v>
      </c>
      <c r="B142" s="89">
        <f t="shared" si="140"/>
        <v>9</v>
      </c>
      <c r="C142" s="89">
        <f t="shared" si="141"/>
        <v>2023</v>
      </c>
      <c r="D142" s="89"/>
      <c r="E142" s="187">
        <f t="shared" ca="1" si="118"/>
        <v>12.280000000000001</v>
      </c>
      <c r="F142" s="187">
        <f t="shared" ref="F142" ca="1" si="151">F130</f>
        <v>77.220526315789357</v>
      </c>
      <c r="G142" s="89">
        <f t="shared" si="143"/>
        <v>0.125</v>
      </c>
      <c r="H142" s="188">
        <f>'Economic Variables'!F252</f>
        <v>296.28652500000004</v>
      </c>
      <c r="I142" s="89">
        <f>'Res Normalized Monthly'!M142</f>
        <v>0.25</v>
      </c>
      <c r="J142" s="6">
        <f t="shared" si="134"/>
        <v>4665603.6585154198</v>
      </c>
      <c r="K142" s="6">
        <f t="shared" ca="1" si="135"/>
        <v>53272.07776721457</v>
      </c>
      <c r="L142" s="6">
        <f t="shared" ca="1" si="136"/>
        <v>1159676.351262422</v>
      </c>
      <c r="M142" s="6">
        <f t="shared" si="137"/>
        <v>-125310.25643890875</v>
      </c>
      <c r="N142" s="6">
        <f t="shared" si="138"/>
        <v>2981504.2410870916</v>
      </c>
      <c r="O142" s="187">
        <f t="shared" ca="1" si="139"/>
        <v>8734746.0721932389</v>
      </c>
    </row>
    <row r="143" spans="1:15">
      <c r="A143" s="186">
        <v>45200</v>
      </c>
      <c r="B143" s="89">
        <f t="shared" si="140"/>
        <v>10</v>
      </c>
      <c r="C143" s="89">
        <f t="shared" si="141"/>
        <v>2023</v>
      </c>
      <c r="D143" s="89"/>
      <c r="E143" s="187">
        <f t="shared" ref="E143:E145" ca="1" si="152">E131</f>
        <v>111.21000000000001</v>
      </c>
      <c r="F143" s="187">
        <f t="shared" ref="F143" ca="1" si="153">F131</f>
        <v>16.868947368421004</v>
      </c>
      <c r="G143" s="89">
        <f t="shared" si="143"/>
        <v>0.125</v>
      </c>
      <c r="H143" s="188">
        <f>'Economic Variables'!F253</f>
        <v>296.18585000000002</v>
      </c>
      <c r="I143" s="89">
        <f>'Res Normalized Monthly'!M143</f>
        <v>0.25</v>
      </c>
      <c r="J143" s="6">
        <f t="shared" si="134"/>
        <v>4665603.6585154198</v>
      </c>
      <c r="K143" s="6">
        <f t="shared" ca="1" si="135"/>
        <v>482442.00069152541</v>
      </c>
      <c r="L143" s="6">
        <f t="shared" ca="1" si="136"/>
        <v>253333.15204105698</v>
      </c>
      <c r="M143" s="6">
        <f t="shared" si="137"/>
        <v>-125310.25643890875</v>
      </c>
      <c r="N143" s="6">
        <f t="shared" si="138"/>
        <v>2980491.1577567868</v>
      </c>
      <c r="O143" s="187">
        <f t="shared" ca="1" si="139"/>
        <v>8256559.7125658803</v>
      </c>
    </row>
    <row r="144" spans="1:15">
      <c r="A144" s="186">
        <v>45231</v>
      </c>
      <c r="B144" s="89">
        <f t="shared" si="140"/>
        <v>11</v>
      </c>
      <c r="C144" s="89">
        <f t="shared" si="141"/>
        <v>2023</v>
      </c>
      <c r="D144" s="89"/>
      <c r="E144" s="187">
        <f t="shared" ca="1" si="152"/>
        <v>297.28000000000003</v>
      </c>
      <c r="F144" s="187">
        <f t="shared" ref="F144" ca="1" si="154">F132</f>
        <v>1.2689473684210384</v>
      </c>
      <c r="G144" s="89">
        <f t="shared" si="143"/>
        <v>0.125</v>
      </c>
      <c r="H144" s="188">
        <f>'Economic Variables'!F254</f>
        <v>297.49462499999998</v>
      </c>
      <c r="I144" s="89">
        <f>'Res Normalized Monthly'!M144</f>
        <v>0.25</v>
      </c>
      <c r="J144" s="6">
        <f t="shared" si="134"/>
        <v>4665603.6585154198</v>
      </c>
      <c r="K144" s="6">
        <f t="shared" ca="1" si="135"/>
        <v>1289635.4461431226</v>
      </c>
      <c r="L144" s="6">
        <f t="shared" ca="1" si="136"/>
        <v>19056.698061557621</v>
      </c>
      <c r="M144" s="6">
        <f t="shared" si="137"/>
        <v>-125310.25643890875</v>
      </c>
      <c r="N144" s="6">
        <f t="shared" si="138"/>
        <v>2993661.2410507491</v>
      </c>
      <c r="O144" s="187">
        <f t="shared" ca="1" si="139"/>
        <v>8842646.7873319387</v>
      </c>
    </row>
    <row r="145" spans="1:15">
      <c r="A145" s="186">
        <v>45261</v>
      </c>
      <c r="B145" s="89">
        <f t="shared" si="140"/>
        <v>12</v>
      </c>
      <c r="C145" s="89">
        <f t="shared" si="141"/>
        <v>2023</v>
      </c>
      <c r="D145" s="89"/>
      <c r="E145" s="187">
        <f t="shared" ca="1" si="152"/>
        <v>440.25</v>
      </c>
      <c r="F145" s="187">
        <f t="shared" ref="F145" ca="1" si="155">F133</f>
        <v>0</v>
      </c>
      <c r="G145" s="89">
        <f t="shared" si="143"/>
        <v>0.125</v>
      </c>
      <c r="H145" s="188">
        <f>'Economic Variables'!F255</f>
        <v>297.49462499999998</v>
      </c>
      <c r="I145" s="89">
        <f>'Res Normalized Monthly'!M145</f>
        <v>0.25</v>
      </c>
      <c r="J145" s="6">
        <f t="shared" si="134"/>
        <v>4665603.6585154198</v>
      </c>
      <c r="K145" s="6">
        <f t="shared" ca="1" si="135"/>
        <v>1909856.0453596264</v>
      </c>
      <c r="L145" s="6">
        <f t="shared" ca="1" si="136"/>
        <v>0</v>
      </c>
      <c r="M145" s="6">
        <f t="shared" si="137"/>
        <v>-125310.25643890875</v>
      </c>
      <c r="N145" s="6">
        <f t="shared" si="138"/>
        <v>2993661.2410507491</v>
      </c>
      <c r="O145" s="187">
        <f t="shared" ca="1" si="139"/>
        <v>9443810.6884868853</v>
      </c>
    </row>
    <row r="146" spans="1:15">
      <c r="A146" s="20"/>
      <c r="E146" s="137"/>
      <c r="F146" s="137"/>
      <c r="G146" s="137"/>
      <c r="H146" s="11"/>
      <c r="I146" s="69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Y146"/>
  <sheetViews>
    <sheetView topLeftCell="J1" workbookViewId="0">
      <selection activeCell="U2" sqref="U2:Y21"/>
    </sheetView>
  </sheetViews>
  <sheetFormatPr defaultRowHeight="15"/>
  <cols>
    <col min="1" max="1" width="12.28515625" customWidth="1"/>
    <col min="4" max="4" width="19" bestFit="1" customWidth="1"/>
    <col min="9" max="9" width="11.85546875" customWidth="1"/>
    <col min="12" max="12" width="15" bestFit="1" customWidth="1"/>
    <col min="13" max="13" width="14.85546875" customWidth="1"/>
    <col min="14" max="14" width="13.28515625" bestFit="1" customWidth="1"/>
    <col min="15" max="15" width="14.28515625" bestFit="1" customWidth="1"/>
    <col min="16" max="17" width="14.28515625" customWidth="1"/>
    <col min="18" max="18" width="14" bestFit="1" customWidth="1"/>
    <col min="19" max="19" width="16" customWidth="1"/>
    <col min="21" max="21" width="14.140625" customWidth="1"/>
    <col min="22" max="22" width="11.42578125" customWidth="1"/>
    <col min="23" max="23" width="12.85546875" customWidth="1"/>
  </cols>
  <sheetData>
    <row r="1" spans="1:25">
      <c r="A1" t="s">
        <v>0</v>
      </c>
      <c r="B1" t="s">
        <v>52</v>
      </c>
      <c r="C1" t="s">
        <v>53</v>
      </c>
      <c r="D1" t="str">
        <f>'Monthly Data'!N1</f>
        <v>GSgt50kWh_NoCDM</v>
      </c>
      <c r="E1" t="s">
        <v>179</v>
      </c>
      <c r="F1" t="s">
        <v>178</v>
      </c>
      <c r="G1" t="str">
        <f>'Monthly Data'!CF1</f>
        <v>Month Days</v>
      </c>
      <c r="H1" t="str">
        <f>'Monthly Data'!CD1</f>
        <v>Fall</v>
      </c>
      <c r="I1" t="str">
        <f>'Monthly Data'!CJ1</f>
        <v>COVID2020</v>
      </c>
      <c r="J1" t="s">
        <v>8</v>
      </c>
      <c r="L1" t="s">
        <v>85</v>
      </c>
      <c r="M1" t="str">
        <f>E1</f>
        <v>HDD14</v>
      </c>
      <c r="N1" t="str">
        <f>F1</f>
        <v>CDD16</v>
      </c>
      <c r="O1" t="str">
        <f>G1</f>
        <v>Month Days</v>
      </c>
      <c r="P1" t="str">
        <f>H1</f>
        <v>Fall</v>
      </c>
      <c r="Q1" t="str">
        <f>J1</f>
        <v>GSgt50Cust</v>
      </c>
      <c r="R1" t="str">
        <f>I1</f>
        <v>COVID2020</v>
      </c>
      <c r="S1" t="s">
        <v>86</v>
      </c>
    </row>
    <row r="2" spans="1:25">
      <c r="A2" s="20">
        <f>'Monthly Data'!A2</f>
        <v>40909</v>
      </c>
      <c r="B2">
        <f t="shared" ref="B2:B65" si="0">MONTH(A2)</f>
        <v>1</v>
      </c>
      <c r="C2">
        <f t="shared" ref="C2:C65" si="1">YEAR(A2)</f>
        <v>2012</v>
      </c>
      <c r="D2" s="6">
        <f>'Monthly Data'!N2</f>
        <v>21656892.322908267</v>
      </c>
      <c r="E2" s="91">
        <f ca="1">Weather!BO61</f>
        <v>564.86</v>
      </c>
      <c r="F2" s="91">
        <f ca="1">Weather!BB61</f>
        <v>0</v>
      </c>
      <c r="G2">
        <f>'Monthly Data'!CF2</f>
        <v>31</v>
      </c>
      <c r="H2">
        <f>'Monthly Data'!CD2</f>
        <v>0</v>
      </c>
      <c r="I2">
        <f>'Monthly Data'!CJ2</f>
        <v>0</v>
      </c>
      <c r="J2">
        <f>'Monthly Data'!P2</f>
        <v>434</v>
      </c>
      <c r="L2" s="6">
        <f t="shared" ref="L2:L33" si="2">$V$7</f>
        <v>-4550747.7974309605</v>
      </c>
      <c r="M2" s="6">
        <f ca="1">E2*$V$8</f>
        <v>4060015.2605804652</v>
      </c>
      <c r="N2" s="6">
        <f ca="1">F2*$V$9</f>
        <v>0</v>
      </c>
      <c r="O2" s="6">
        <f>G2*$V$10</f>
        <v>15176957.600351669</v>
      </c>
      <c r="P2" s="6">
        <f>H2*$V$11</f>
        <v>0</v>
      </c>
      <c r="Q2" s="6">
        <f t="shared" ref="Q2:Q33" si="3">J2*$V$12</f>
        <v>6888748.4444476245</v>
      </c>
      <c r="R2" s="6">
        <f>I2*$V$13</f>
        <v>0</v>
      </c>
      <c r="S2" s="6">
        <f t="shared" ref="S2:S33" ca="1" si="4">SUM(L2:R2)</f>
        <v>21574973.507948797</v>
      </c>
      <c r="U2" t="s">
        <v>381</v>
      </c>
    </row>
    <row r="3" spans="1:25">
      <c r="A3" s="20">
        <f>'Monthly Data'!A3</f>
        <v>40940</v>
      </c>
      <c r="B3">
        <f t="shared" si="0"/>
        <v>2</v>
      </c>
      <c r="C3">
        <f t="shared" si="1"/>
        <v>2012</v>
      </c>
      <c r="D3" s="6">
        <f>'Monthly Data'!N3</f>
        <v>19270892.776922364</v>
      </c>
      <c r="E3" s="91">
        <f ca="1">Weather!BO62</f>
        <v>516.43000000000006</v>
      </c>
      <c r="F3" s="91">
        <f ca="1">Weather!BB62</f>
        <v>0</v>
      </c>
      <c r="G3">
        <f>'Monthly Data'!CF3</f>
        <v>29</v>
      </c>
      <c r="H3">
        <f>'Monthly Data'!CD3</f>
        <v>0</v>
      </c>
      <c r="I3">
        <f>'Monthly Data'!CJ3</f>
        <v>0</v>
      </c>
      <c r="J3">
        <f>'Monthly Data'!P3</f>
        <v>436</v>
      </c>
      <c r="L3" s="6">
        <f t="shared" si="2"/>
        <v>-4550747.7974309605</v>
      </c>
      <c r="M3" s="6">
        <f t="shared" ref="M3:M66" ca="1" si="5">E3*$V$8</f>
        <v>3711917.4326763619</v>
      </c>
      <c r="N3" s="6">
        <f t="shared" ref="N3:N66" ca="1" si="6">F3*$V$9</f>
        <v>0</v>
      </c>
      <c r="O3" s="6">
        <f t="shared" ref="O3:O66" si="7">G3*$V$10</f>
        <v>14197799.04549027</v>
      </c>
      <c r="P3" s="6">
        <f t="shared" ref="P3:P66" si="8">H3*$V$11</f>
        <v>0</v>
      </c>
      <c r="Q3" s="6">
        <f t="shared" si="3"/>
        <v>6920493.8289842494</v>
      </c>
      <c r="R3" s="6">
        <f t="shared" ref="R3:R66" si="9">I3*$V$13</f>
        <v>0</v>
      </c>
      <c r="S3" s="6">
        <f t="shared" ca="1" si="4"/>
        <v>20279462.509719923</v>
      </c>
      <c r="U3" t="s">
        <v>103</v>
      </c>
    </row>
    <row r="4" spans="1:25">
      <c r="A4" s="20">
        <f>'Monthly Data'!A4</f>
        <v>40969</v>
      </c>
      <c r="B4">
        <f t="shared" si="0"/>
        <v>3</v>
      </c>
      <c r="C4">
        <f t="shared" si="1"/>
        <v>2012</v>
      </c>
      <c r="D4" s="6">
        <f>'Monthly Data'!N4</f>
        <v>20056817.881679062</v>
      </c>
      <c r="E4" s="91">
        <f ca="1">Weather!BO63</f>
        <v>412.32</v>
      </c>
      <c r="F4" s="91">
        <f ca="1">Weather!BB63</f>
        <v>1.9999999999999928E-2</v>
      </c>
      <c r="G4">
        <f>'Monthly Data'!CF4</f>
        <v>31</v>
      </c>
      <c r="H4">
        <f>'Monthly Data'!CD4</f>
        <v>0</v>
      </c>
      <c r="I4">
        <f>'Monthly Data'!CJ4</f>
        <v>0</v>
      </c>
      <c r="J4">
        <f>'Monthly Data'!P4</f>
        <v>436</v>
      </c>
      <c r="L4" s="6">
        <f t="shared" si="2"/>
        <v>-4550747.7974309605</v>
      </c>
      <c r="M4" s="6">
        <f t="shared" ca="1" si="5"/>
        <v>2963611.3235890968</v>
      </c>
      <c r="N4" s="6">
        <f t="shared" ca="1" si="6"/>
        <v>470.73649958372431</v>
      </c>
      <c r="O4" s="6">
        <f t="shared" si="7"/>
        <v>15176957.600351669</v>
      </c>
      <c r="P4" s="6">
        <f t="shared" si="8"/>
        <v>0</v>
      </c>
      <c r="Q4" s="6">
        <f t="shared" si="3"/>
        <v>6920493.8289842494</v>
      </c>
      <c r="R4" s="6">
        <f t="shared" si="9"/>
        <v>0</v>
      </c>
      <c r="S4" s="6">
        <f t="shared" ca="1" si="4"/>
        <v>20510785.691993639</v>
      </c>
      <c r="U4" t="s">
        <v>385</v>
      </c>
    </row>
    <row r="5" spans="1:25">
      <c r="A5" s="20">
        <f>'Monthly Data'!A5</f>
        <v>41000</v>
      </c>
      <c r="B5">
        <f t="shared" si="0"/>
        <v>4</v>
      </c>
      <c r="C5">
        <f t="shared" si="1"/>
        <v>2012</v>
      </c>
      <c r="D5" s="6">
        <f>'Monthly Data'!N5</f>
        <v>18860084.058233365</v>
      </c>
      <c r="E5" s="91">
        <f ca="1">Weather!BO64</f>
        <v>229.95</v>
      </c>
      <c r="F5" s="91">
        <f ca="1">Weather!BB64</f>
        <v>1.3500000000000003</v>
      </c>
      <c r="G5">
        <f>'Monthly Data'!CF5</f>
        <v>30</v>
      </c>
      <c r="H5">
        <f>'Monthly Data'!CD5</f>
        <v>0</v>
      </c>
      <c r="I5">
        <f>'Monthly Data'!CJ5</f>
        <v>0</v>
      </c>
      <c r="J5">
        <f>'Monthly Data'!P5</f>
        <v>436</v>
      </c>
      <c r="L5" s="6">
        <f t="shared" si="2"/>
        <v>-4550747.7974309605</v>
      </c>
      <c r="M5" s="6">
        <f t="shared" ca="1" si="5"/>
        <v>1652799.8250371383</v>
      </c>
      <c r="N5" s="6">
        <f t="shared" ca="1" si="6"/>
        <v>31774.713721901513</v>
      </c>
      <c r="O5" s="6">
        <f t="shared" si="7"/>
        <v>14687378.322920969</v>
      </c>
      <c r="P5" s="6">
        <f t="shared" si="8"/>
        <v>0</v>
      </c>
      <c r="Q5" s="6">
        <f t="shared" si="3"/>
        <v>6920493.8289842494</v>
      </c>
      <c r="R5" s="6">
        <f t="shared" si="9"/>
        <v>0</v>
      </c>
      <c r="S5" s="6">
        <f t="shared" ca="1" si="4"/>
        <v>18741698.893233299</v>
      </c>
    </row>
    <row r="6" spans="1:25">
      <c r="A6" s="20">
        <f>'Monthly Data'!A6</f>
        <v>41030</v>
      </c>
      <c r="B6">
        <f t="shared" si="0"/>
        <v>5</v>
      </c>
      <c r="C6">
        <f t="shared" si="1"/>
        <v>2012</v>
      </c>
      <c r="D6" s="6">
        <f>'Monthly Data'!N6</f>
        <v>18641210.416657664</v>
      </c>
      <c r="E6" s="91">
        <f ca="1">Weather!BO65</f>
        <v>79.77000000000001</v>
      </c>
      <c r="F6" s="91">
        <f ca="1">Weather!BB65</f>
        <v>42.72</v>
      </c>
      <c r="G6">
        <f>'Monthly Data'!CF6</f>
        <v>31</v>
      </c>
      <c r="H6">
        <f>'Monthly Data'!CD6</f>
        <v>0</v>
      </c>
      <c r="I6">
        <f>'Monthly Data'!CJ6</f>
        <v>0</v>
      </c>
      <c r="J6">
        <f>'Monthly Data'!P6</f>
        <v>429</v>
      </c>
      <c r="L6" s="6">
        <f t="shared" si="2"/>
        <v>-4550747.7974309605</v>
      </c>
      <c r="M6" s="6">
        <f t="shared" ca="1" si="5"/>
        <v>573358.73904419458</v>
      </c>
      <c r="N6" s="6">
        <f t="shared" ca="1" si="6"/>
        <v>1005493.1631108387</v>
      </c>
      <c r="O6" s="6">
        <f t="shared" si="7"/>
        <v>15176957.600351669</v>
      </c>
      <c r="P6" s="6">
        <f t="shared" si="8"/>
        <v>0</v>
      </c>
      <c r="Q6" s="6">
        <f t="shared" si="3"/>
        <v>6809384.9831060618</v>
      </c>
      <c r="R6" s="6">
        <f t="shared" si="9"/>
        <v>0</v>
      </c>
      <c r="S6" s="6">
        <f t="shared" ca="1" si="4"/>
        <v>19014446.688181803</v>
      </c>
      <c r="V6" t="s">
        <v>89</v>
      </c>
      <c r="W6" t="s">
        <v>90</v>
      </c>
      <c r="X6" t="s">
        <v>91</v>
      </c>
      <c r="Y6" t="s">
        <v>92</v>
      </c>
    </row>
    <row r="7" spans="1:25">
      <c r="A7" s="20">
        <f>'Monthly Data'!A7</f>
        <v>41061</v>
      </c>
      <c r="B7">
        <f t="shared" si="0"/>
        <v>6</v>
      </c>
      <c r="C7">
        <f t="shared" si="1"/>
        <v>2012</v>
      </c>
      <c r="D7" s="6">
        <f>'Monthly Data'!N7</f>
        <v>19373443.969514765</v>
      </c>
      <c r="E7" s="91">
        <f ca="1">Weather!BO66</f>
        <v>5.16</v>
      </c>
      <c r="F7" s="91">
        <f ca="1">Weather!BB66</f>
        <v>97.63000000000001</v>
      </c>
      <c r="G7">
        <f>'Monthly Data'!CF7</f>
        <v>30</v>
      </c>
      <c r="H7">
        <f>'Monthly Data'!CD7</f>
        <v>0</v>
      </c>
      <c r="I7">
        <f>'Monthly Data'!CJ7</f>
        <v>0</v>
      </c>
      <c r="J7">
        <f>'Monthly Data'!P7</f>
        <v>430</v>
      </c>
      <c r="L7" s="6">
        <f t="shared" si="2"/>
        <v>-4550747.7974309605</v>
      </c>
      <c r="M7" s="6">
        <f t="shared" ca="1" si="5"/>
        <v>37088.267437232586</v>
      </c>
      <c r="N7" s="6">
        <f t="shared" ca="1" si="6"/>
        <v>2297900.222717959</v>
      </c>
      <c r="O7" s="6">
        <f t="shared" si="7"/>
        <v>14687378.322920969</v>
      </c>
      <c r="P7" s="6">
        <f t="shared" si="8"/>
        <v>0</v>
      </c>
      <c r="Q7" s="6">
        <f t="shared" si="3"/>
        <v>6825257.6753743747</v>
      </c>
      <c r="R7" s="6">
        <f t="shared" si="9"/>
        <v>0</v>
      </c>
      <c r="S7" s="6">
        <f t="shared" ca="1" si="4"/>
        <v>19296876.691019576</v>
      </c>
      <c r="U7" t="s">
        <v>85</v>
      </c>
      <c r="V7" s="6">
        <v>-4550747.7974309605</v>
      </c>
      <c r="W7" s="70">
        <v>2096588.19784074</v>
      </c>
      <c r="X7" s="85">
        <v>-2.17054918181727</v>
      </c>
      <c r="Y7" s="240">
        <v>3.1855359179597698E-2</v>
      </c>
    </row>
    <row r="8" spans="1:25">
      <c r="A8" s="20">
        <f>'Monthly Data'!A8</f>
        <v>41091</v>
      </c>
      <c r="B8">
        <f t="shared" si="0"/>
        <v>7</v>
      </c>
      <c r="C8">
        <f t="shared" si="1"/>
        <v>2012</v>
      </c>
      <c r="D8" s="6">
        <f>'Monthly Data'!N8</f>
        <v>23546466.734313264</v>
      </c>
      <c r="E8" s="91">
        <f ca="1">Weather!BO67</f>
        <v>0</v>
      </c>
      <c r="F8" s="91">
        <f ca="1">Weather!BB67</f>
        <v>172.46999999999997</v>
      </c>
      <c r="G8">
        <f>'Monthly Data'!CF8</f>
        <v>31</v>
      </c>
      <c r="H8">
        <f>'Monthly Data'!CD8</f>
        <v>0</v>
      </c>
      <c r="I8">
        <f>'Monthly Data'!CJ8</f>
        <v>0</v>
      </c>
      <c r="J8">
        <f>'Monthly Data'!P8</f>
        <v>431</v>
      </c>
      <c r="L8" s="6">
        <f t="shared" si="2"/>
        <v>-4550747.7974309605</v>
      </c>
      <c r="M8" s="6">
        <f t="shared" ca="1" si="5"/>
        <v>0</v>
      </c>
      <c r="N8" s="6">
        <f t="shared" ca="1" si="6"/>
        <v>4059396.204160261</v>
      </c>
      <c r="O8" s="6">
        <f t="shared" si="7"/>
        <v>15176957.600351669</v>
      </c>
      <c r="P8" s="6">
        <f t="shared" si="8"/>
        <v>0</v>
      </c>
      <c r="Q8" s="6">
        <f t="shared" si="3"/>
        <v>6841130.3676426876</v>
      </c>
      <c r="R8" s="6">
        <f t="shared" si="9"/>
        <v>0</v>
      </c>
      <c r="S8" s="6">
        <f t="shared" ca="1" si="4"/>
        <v>21526736.374723658</v>
      </c>
      <c r="U8" t="s">
        <v>179</v>
      </c>
      <c r="V8" s="6">
        <v>7187.6487281458503</v>
      </c>
      <c r="W8" s="70">
        <v>415.77778521051999</v>
      </c>
      <c r="X8" s="85">
        <v>17.2872360761327</v>
      </c>
      <c r="Y8" s="240">
        <v>6.0713525690773396E-35</v>
      </c>
    </row>
    <row r="9" spans="1:25">
      <c r="A9" s="20">
        <f>'Monthly Data'!A9</f>
        <v>41122</v>
      </c>
      <c r="B9">
        <f t="shared" si="0"/>
        <v>8</v>
      </c>
      <c r="C9">
        <f t="shared" si="1"/>
        <v>2012</v>
      </c>
      <c r="D9" s="6">
        <f>'Monthly Data'!N9</f>
        <v>21799469.352462463</v>
      </c>
      <c r="E9" s="91">
        <f ca="1">Weather!BO68</f>
        <v>8.0000000000000071E-2</v>
      </c>
      <c r="F9" s="91">
        <f ca="1">Weather!BB68</f>
        <v>155.49999999999997</v>
      </c>
      <c r="G9">
        <f>'Monthly Data'!CF9</f>
        <v>31</v>
      </c>
      <c r="H9">
        <f>'Monthly Data'!CD9</f>
        <v>0</v>
      </c>
      <c r="I9">
        <f>'Monthly Data'!CJ9</f>
        <v>0</v>
      </c>
      <c r="J9">
        <f>'Monthly Data'!P9</f>
        <v>429</v>
      </c>
      <c r="L9" s="6">
        <f t="shared" si="2"/>
        <v>-4550747.7974309605</v>
      </c>
      <c r="M9" s="6">
        <f t="shared" ca="1" si="5"/>
        <v>575.01189825166853</v>
      </c>
      <c r="N9" s="6">
        <f t="shared" ca="1" si="6"/>
        <v>3659976.2842634693</v>
      </c>
      <c r="O9" s="6">
        <f t="shared" si="7"/>
        <v>15176957.600351669</v>
      </c>
      <c r="P9" s="6">
        <f t="shared" si="8"/>
        <v>0</v>
      </c>
      <c r="Q9" s="6">
        <f t="shared" si="3"/>
        <v>6809384.9831060618</v>
      </c>
      <c r="R9" s="6">
        <f t="shared" si="9"/>
        <v>0</v>
      </c>
      <c r="S9" s="6">
        <f t="shared" ca="1" si="4"/>
        <v>21096146.082188491</v>
      </c>
      <c r="U9" t="s">
        <v>178</v>
      </c>
      <c r="V9" s="6">
        <v>23536.824979186302</v>
      </c>
      <c r="W9" s="70">
        <v>1279.09022321732</v>
      </c>
      <c r="X9" s="85">
        <v>18.4012234258063</v>
      </c>
      <c r="Y9" s="240">
        <v>2.1989117840039399E-37</v>
      </c>
    </row>
    <row r="10" spans="1:25">
      <c r="A10" s="20">
        <f>'Monthly Data'!A10</f>
        <v>41153</v>
      </c>
      <c r="B10">
        <f t="shared" si="0"/>
        <v>9</v>
      </c>
      <c r="C10">
        <f t="shared" si="1"/>
        <v>2012</v>
      </c>
      <c r="D10" s="6">
        <f>'Monthly Data'!N10</f>
        <v>18204589.530658066</v>
      </c>
      <c r="E10" s="91">
        <f ca="1">Weather!BO69</f>
        <v>12.280000000000001</v>
      </c>
      <c r="F10" s="91">
        <f ca="1">Weather!BB69</f>
        <v>76.13</v>
      </c>
      <c r="G10">
        <f>'Monthly Data'!CF10</f>
        <v>30</v>
      </c>
      <c r="H10">
        <f>'Monthly Data'!CD10</f>
        <v>1</v>
      </c>
      <c r="I10">
        <f>'Monthly Data'!CJ10</f>
        <v>0</v>
      </c>
      <c r="J10">
        <f>'Monthly Data'!P10</f>
        <v>425</v>
      </c>
      <c r="L10" s="6">
        <f t="shared" si="2"/>
        <v>-4550747.7974309605</v>
      </c>
      <c r="M10" s="6">
        <f t="shared" ca="1" si="5"/>
        <v>88264.32638163105</v>
      </c>
      <c r="N10" s="6">
        <f t="shared" ca="1" si="6"/>
        <v>1791858.4856654531</v>
      </c>
      <c r="O10" s="6">
        <f t="shared" si="7"/>
        <v>14687378.322920969</v>
      </c>
      <c r="P10" s="6">
        <f t="shared" si="8"/>
        <v>463327.49867077498</v>
      </c>
      <c r="Q10" s="6">
        <f t="shared" si="3"/>
        <v>6745894.214032812</v>
      </c>
      <c r="R10" s="6">
        <f t="shared" si="9"/>
        <v>0</v>
      </c>
      <c r="S10" s="6">
        <f t="shared" ca="1" si="4"/>
        <v>19225975.050240681</v>
      </c>
      <c r="U10" t="s">
        <v>93</v>
      </c>
      <c r="V10" s="6">
        <v>489579.27743069897</v>
      </c>
      <c r="W10" s="70">
        <v>59725.500009099997</v>
      </c>
      <c r="X10" s="85">
        <v>8.1971566141113108</v>
      </c>
      <c r="Y10" s="240">
        <v>2.4997681382412702E-13</v>
      </c>
    </row>
    <row r="11" spans="1:25">
      <c r="A11" s="20">
        <f>'Monthly Data'!A11</f>
        <v>41183</v>
      </c>
      <c r="B11">
        <f t="shared" si="0"/>
        <v>10</v>
      </c>
      <c r="C11">
        <f t="shared" si="1"/>
        <v>2012</v>
      </c>
      <c r="D11" s="6">
        <f>'Monthly Data'!N11</f>
        <v>18651082.538031064</v>
      </c>
      <c r="E11" s="91">
        <f ca="1">Weather!BO70</f>
        <v>111.21000000000001</v>
      </c>
      <c r="F11" s="91">
        <f ca="1">Weather!BB70</f>
        <v>15.330000000000002</v>
      </c>
      <c r="G11">
        <f>'Monthly Data'!CF11</f>
        <v>31</v>
      </c>
      <c r="H11">
        <f>'Monthly Data'!CD11</f>
        <v>1</v>
      </c>
      <c r="I11">
        <f>'Monthly Data'!CJ11</f>
        <v>0</v>
      </c>
      <c r="J11">
        <f>'Monthly Data'!P11</f>
        <v>430</v>
      </c>
      <c r="L11" s="6">
        <f t="shared" si="2"/>
        <v>-4550747.7974309605</v>
      </c>
      <c r="M11" s="6">
        <f t="shared" ca="1" si="5"/>
        <v>799338.41505710012</v>
      </c>
      <c r="N11" s="6">
        <f t="shared" ca="1" si="6"/>
        <v>360819.52693092608</v>
      </c>
      <c r="O11" s="6">
        <f t="shared" si="7"/>
        <v>15176957.600351669</v>
      </c>
      <c r="P11" s="6">
        <f t="shared" si="8"/>
        <v>463327.49867077498</v>
      </c>
      <c r="Q11" s="6">
        <f t="shared" si="3"/>
        <v>6825257.6753743747</v>
      </c>
      <c r="R11" s="6">
        <f t="shared" si="9"/>
        <v>0</v>
      </c>
      <c r="S11" s="6">
        <f t="shared" ca="1" si="4"/>
        <v>19074952.918953884</v>
      </c>
      <c r="U11" t="s">
        <v>66</v>
      </c>
      <c r="V11" s="6">
        <v>463327.49867077498</v>
      </c>
      <c r="W11" s="70">
        <v>160337.156412485</v>
      </c>
      <c r="X11" s="85">
        <v>2.8897075951553899</v>
      </c>
      <c r="Y11" s="240">
        <v>4.5472787239374196E-3</v>
      </c>
    </row>
    <row r="12" spans="1:25">
      <c r="A12" s="20">
        <f>'Monthly Data'!A12</f>
        <v>41214</v>
      </c>
      <c r="B12">
        <f t="shared" si="0"/>
        <v>11</v>
      </c>
      <c r="C12">
        <f t="shared" si="1"/>
        <v>2012</v>
      </c>
      <c r="D12" s="6">
        <f>'Monthly Data'!N12</f>
        <v>18582249.065724567</v>
      </c>
      <c r="E12" s="91">
        <f ca="1">Weather!BO71</f>
        <v>297.28000000000003</v>
      </c>
      <c r="F12" s="91">
        <f ca="1">Weather!BB71</f>
        <v>0.76000000000000012</v>
      </c>
      <c r="G12">
        <f>'Monthly Data'!CF12</f>
        <v>30</v>
      </c>
      <c r="H12">
        <f>'Monthly Data'!CD12</f>
        <v>0</v>
      </c>
      <c r="I12">
        <f>'Monthly Data'!CJ12</f>
        <v>0</v>
      </c>
      <c r="J12">
        <f>'Monthly Data'!P12</f>
        <v>430</v>
      </c>
      <c r="L12" s="6">
        <f t="shared" si="2"/>
        <v>-4550747.7974309605</v>
      </c>
      <c r="M12" s="6">
        <f t="shared" ca="1" si="5"/>
        <v>2136744.2139031985</v>
      </c>
      <c r="N12" s="6">
        <f t="shared" ca="1" si="6"/>
        <v>17887.986984181593</v>
      </c>
      <c r="O12" s="6">
        <f t="shared" si="7"/>
        <v>14687378.322920969</v>
      </c>
      <c r="P12" s="6">
        <f t="shared" si="8"/>
        <v>0</v>
      </c>
      <c r="Q12" s="6">
        <f t="shared" si="3"/>
        <v>6825257.6753743747</v>
      </c>
      <c r="R12" s="6">
        <f t="shared" si="9"/>
        <v>0</v>
      </c>
      <c r="S12" s="6">
        <f t="shared" ca="1" si="4"/>
        <v>19116520.401751764</v>
      </c>
      <c r="U12" t="s">
        <v>8</v>
      </c>
      <c r="V12" s="6">
        <v>15872.692268312499</v>
      </c>
      <c r="W12" s="70">
        <v>2503.5250594232698</v>
      </c>
      <c r="X12" s="85">
        <v>6.3401371632241901</v>
      </c>
      <c r="Y12" s="240">
        <v>3.8119335490609597E-9</v>
      </c>
    </row>
    <row r="13" spans="1:25">
      <c r="A13" s="20">
        <f>'Monthly Data'!A13</f>
        <v>41244</v>
      </c>
      <c r="B13">
        <f t="shared" si="0"/>
        <v>12</v>
      </c>
      <c r="C13">
        <f t="shared" si="1"/>
        <v>2012</v>
      </c>
      <c r="D13" s="6">
        <f>'Monthly Data'!N13</f>
        <v>20507929.249744967</v>
      </c>
      <c r="E13" s="91">
        <f ca="1">Weather!BO72</f>
        <v>440.25</v>
      </c>
      <c r="F13" s="91">
        <f ca="1">Weather!BB72</f>
        <v>0</v>
      </c>
      <c r="G13">
        <f>'Monthly Data'!CF13</f>
        <v>31</v>
      </c>
      <c r="H13">
        <f>'Monthly Data'!CD13</f>
        <v>0</v>
      </c>
      <c r="I13">
        <f>'Monthly Data'!CJ13</f>
        <v>0</v>
      </c>
      <c r="J13">
        <f>'Monthly Data'!P13</f>
        <v>429</v>
      </c>
      <c r="L13" s="6">
        <f t="shared" si="2"/>
        <v>-4550747.7974309605</v>
      </c>
      <c r="M13" s="6">
        <f t="shared" ca="1" si="5"/>
        <v>3164362.3525662106</v>
      </c>
      <c r="N13" s="6">
        <f t="shared" ca="1" si="6"/>
        <v>0</v>
      </c>
      <c r="O13" s="6">
        <f t="shared" si="7"/>
        <v>15176957.600351669</v>
      </c>
      <c r="P13" s="6">
        <f t="shared" si="8"/>
        <v>0</v>
      </c>
      <c r="Q13" s="6">
        <f t="shared" si="3"/>
        <v>6809384.9831060618</v>
      </c>
      <c r="R13" s="6">
        <f t="shared" si="9"/>
        <v>0</v>
      </c>
      <c r="S13" s="6">
        <f t="shared" ca="1" si="4"/>
        <v>20599957.138592981</v>
      </c>
      <c r="U13" t="s">
        <v>280</v>
      </c>
      <c r="V13" s="6">
        <v>-1425864.93988958</v>
      </c>
      <c r="W13" s="70">
        <v>405063.56347202201</v>
      </c>
      <c r="X13" s="85">
        <v>-3.52010170371214</v>
      </c>
      <c r="Y13" s="240">
        <v>6.0259114952798502E-4</v>
      </c>
    </row>
    <row r="14" spans="1:25">
      <c r="A14" s="20">
        <f>'Monthly Data'!A14</f>
        <v>41275</v>
      </c>
      <c r="B14">
        <f t="shared" si="0"/>
        <v>1</v>
      </c>
      <c r="C14">
        <f t="shared" si="1"/>
        <v>2013</v>
      </c>
      <c r="D14" s="6">
        <f>'Monthly Data'!N14</f>
        <v>22574878.338350814</v>
      </c>
      <c r="E14" s="7">
        <f ca="1">E2</f>
        <v>564.86</v>
      </c>
      <c r="F14" s="7">
        <f ca="1">F2</f>
        <v>0</v>
      </c>
      <c r="G14">
        <f>'Monthly Data'!CF14</f>
        <v>31</v>
      </c>
      <c r="H14">
        <f>'Monthly Data'!CD14</f>
        <v>0</v>
      </c>
      <c r="I14">
        <f>'Monthly Data'!CJ14</f>
        <v>0</v>
      </c>
      <c r="J14">
        <f>'Monthly Data'!P14</f>
        <v>432</v>
      </c>
      <c r="L14" s="6">
        <f t="shared" si="2"/>
        <v>-4550747.7974309605</v>
      </c>
      <c r="M14" s="6">
        <f t="shared" ca="1" si="5"/>
        <v>4060015.2605804652</v>
      </c>
      <c r="N14" s="6">
        <f t="shared" ca="1" si="6"/>
        <v>0</v>
      </c>
      <c r="O14" s="6">
        <f t="shared" si="7"/>
        <v>15176957.600351669</v>
      </c>
      <c r="P14" s="6">
        <f t="shared" si="8"/>
        <v>0</v>
      </c>
      <c r="Q14" s="6">
        <f t="shared" si="3"/>
        <v>6857003.0599109996</v>
      </c>
      <c r="R14" s="6">
        <f t="shared" si="9"/>
        <v>0</v>
      </c>
      <c r="S14" s="6">
        <f t="shared" ca="1" si="4"/>
        <v>21543228.123412173</v>
      </c>
    </row>
    <row r="15" spans="1:25">
      <c r="A15" s="20">
        <f>'Monthly Data'!A15</f>
        <v>41306</v>
      </c>
      <c r="B15">
        <f t="shared" si="0"/>
        <v>2</v>
      </c>
      <c r="C15">
        <f t="shared" si="1"/>
        <v>2013</v>
      </c>
      <c r="D15" s="6">
        <f>'Monthly Data'!N15</f>
        <v>18431782.240890011</v>
      </c>
      <c r="E15" s="7">
        <f t="shared" ref="E15:F15" ca="1" si="10">E3</f>
        <v>516.43000000000006</v>
      </c>
      <c r="F15" s="7">
        <f t="shared" ca="1" si="10"/>
        <v>0</v>
      </c>
      <c r="G15">
        <f>'Monthly Data'!CF15</f>
        <v>28</v>
      </c>
      <c r="H15">
        <f>'Monthly Data'!CD15</f>
        <v>0</v>
      </c>
      <c r="I15">
        <f>'Monthly Data'!CJ15</f>
        <v>0</v>
      </c>
      <c r="J15">
        <f>'Monthly Data'!P15</f>
        <v>441</v>
      </c>
      <c r="L15" s="6">
        <f t="shared" si="2"/>
        <v>-4550747.7974309605</v>
      </c>
      <c r="M15" s="6">
        <f t="shared" ca="1" si="5"/>
        <v>3711917.4326763619</v>
      </c>
      <c r="N15" s="6">
        <f t="shared" ca="1" si="6"/>
        <v>0</v>
      </c>
      <c r="O15" s="6">
        <f t="shared" si="7"/>
        <v>13708219.76805957</v>
      </c>
      <c r="P15" s="6">
        <f t="shared" si="8"/>
        <v>0</v>
      </c>
      <c r="Q15" s="6">
        <f t="shared" si="3"/>
        <v>6999857.2903258121</v>
      </c>
      <c r="R15" s="6">
        <f t="shared" si="9"/>
        <v>0</v>
      </c>
      <c r="S15" s="6">
        <f t="shared" ca="1" si="4"/>
        <v>19869246.693630785</v>
      </c>
      <c r="U15" t="s">
        <v>190</v>
      </c>
    </row>
    <row r="16" spans="1:25">
      <c r="A16" s="20">
        <f>'Monthly Data'!A16</f>
        <v>41334</v>
      </c>
      <c r="B16">
        <f t="shared" si="0"/>
        <v>3</v>
      </c>
      <c r="C16">
        <f t="shared" si="1"/>
        <v>2013</v>
      </c>
      <c r="D16" s="6">
        <f>'Monthly Data'!N16</f>
        <v>20313644.663039513</v>
      </c>
      <c r="E16" s="7">
        <f t="shared" ref="E16:F16" ca="1" si="11">E4</f>
        <v>412.32</v>
      </c>
      <c r="F16" s="7">
        <f t="shared" ca="1" si="11"/>
        <v>1.9999999999999928E-2</v>
      </c>
      <c r="G16">
        <f>'Monthly Data'!CF16</f>
        <v>31</v>
      </c>
      <c r="H16">
        <f>'Monthly Data'!CD16</f>
        <v>0</v>
      </c>
      <c r="I16">
        <f>'Monthly Data'!CJ16</f>
        <v>0</v>
      </c>
      <c r="J16">
        <f>'Monthly Data'!P16</f>
        <v>440</v>
      </c>
      <c r="L16" s="6">
        <f t="shared" si="2"/>
        <v>-4550747.7974309605</v>
      </c>
      <c r="M16" s="6">
        <f t="shared" ca="1" si="5"/>
        <v>2963611.3235890968</v>
      </c>
      <c r="N16" s="6">
        <f t="shared" ca="1" si="6"/>
        <v>470.73649958372431</v>
      </c>
      <c r="O16" s="6">
        <f t="shared" si="7"/>
        <v>15176957.600351669</v>
      </c>
      <c r="P16" s="6">
        <f t="shared" si="8"/>
        <v>0</v>
      </c>
      <c r="Q16" s="6">
        <f t="shared" si="3"/>
        <v>6983984.5980575001</v>
      </c>
      <c r="R16" s="6">
        <f t="shared" si="9"/>
        <v>0</v>
      </c>
      <c r="S16" s="6">
        <f t="shared" ca="1" si="4"/>
        <v>20574276.461066891</v>
      </c>
      <c r="U16" t="s">
        <v>94</v>
      </c>
      <c r="V16" s="6">
        <v>19256242.9471457</v>
      </c>
      <c r="W16" t="s">
        <v>95</v>
      </c>
      <c r="X16" s="6">
        <v>1360826.1331058999</v>
      </c>
    </row>
    <row r="17" spans="1:24">
      <c r="A17" s="20">
        <f>'Monthly Data'!A17</f>
        <v>41365</v>
      </c>
      <c r="B17">
        <f t="shared" si="0"/>
        <v>4</v>
      </c>
      <c r="C17">
        <f t="shared" si="1"/>
        <v>2013</v>
      </c>
      <c r="D17" s="6">
        <f>'Monthly Data'!N17</f>
        <v>19283907.481619515</v>
      </c>
      <c r="E17" s="7">
        <f t="shared" ref="E17:F17" ca="1" si="12">E5</f>
        <v>229.95</v>
      </c>
      <c r="F17" s="7">
        <f t="shared" ca="1" si="12"/>
        <v>1.3500000000000003</v>
      </c>
      <c r="G17">
        <f>'Monthly Data'!CF17</f>
        <v>30</v>
      </c>
      <c r="H17">
        <f>'Monthly Data'!CD17</f>
        <v>0</v>
      </c>
      <c r="I17">
        <f>'Monthly Data'!CJ17</f>
        <v>0</v>
      </c>
      <c r="J17">
        <f>'Monthly Data'!P17</f>
        <v>441</v>
      </c>
      <c r="L17" s="6">
        <f t="shared" si="2"/>
        <v>-4550747.7974309605</v>
      </c>
      <c r="M17" s="6">
        <f t="shared" ca="1" si="5"/>
        <v>1652799.8250371383</v>
      </c>
      <c r="N17" s="6">
        <f t="shared" ca="1" si="6"/>
        <v>31774.713721901513</v>
      </c>
      <c r="O17" s="6">
        <f t="shared" si="7"/>
        <v>14687378.322920969</v>
      </c>
      <c r="P17" s="6">
        <f t="shared" si="8"/>
        <v>0</v>
      </c>
      <c r="Q17" s="6">
        <f t="shared" si="3"/>
        <v>6999857.2903258121</v>
      </c>
      <c r="R17" s="6">
        <f t="shared" si="9"/>
        <v>0</v>
      </c>
      <c r="S17" s="6">
        <f t="shared" ca="1" si="4"/>
        <v>18821062.354574859</v>
      </c>
      <c r="U17" t="s">
        <v>96</v>
      </c>
      <c r="V17" s="241">
        <v>40613020741744</v>
      </c>
      <c r="W17" t="s">
        <v>97</v>
      </c>
      <c r="X17" s="6">
        <v>570003.65431631403</v>
      </c>
    </row>
    <row r="18" spans="1:24">
      <c r="A18" s="20">
        <f>'Monthly Data'!A18</f>
        <v>41395</v>
      </c>
      <c r="B18">
        <f t="shared" si="0"/>
        <v>5</v>
      </c>
      <c r="C18">
        <f t="shared" si="1"/>
        <v>2013</v>
      </c>
      <c r="D18" s="6">
        <f>'Monthly Data'!N18</f>
        <v>19146377.191588316</v>
      </c>
      <c r="E18" s="7">
        <f t="shared" ref="E18:F18" ca="1" si="13">E6</f>
        <v>79.77000000000001</v>
      </c>
      <c r="F18" s="7">
        <f t="shared" ca="1" si="13"/>
        <v>42.72</v>
      </c>
      <c r="G18">
        <f>'Monthly Data'!CF18</f>
        <v>31</v>
      </c>
      <c r="H18">
        <f>'Monthly Data'!CD18</f>
        <v>0</v>
      </c>
      <c r="I18">
        <f>'Monthly Data'!CJ18</f>
        <v>0</v>
      </c>
      <c r="J18">
        <f>'Monthly Data'!P18</f>
        <v>440</v>
      </c>
      <c r="L18" s="6">
        <f t="shared" si="2"/>
        <v>-4550747.7974309605</v>
      </c>
      <c r="M18" s="6">
        <f t="shared" ca="1" si="5"/>
        <v>573358.73904419458</v>
      </c>
      <c r="N18" s="6">
        <f t="shared" ca="1" si="6"/>
        <v>1005493.1631108387</v>
      </c>
      <c r="O18" s="6">
        <f t="shared" si="7"/>
        <v>15176957.600351669</v>
      </c>
      <c r="P18" s="6">
        <f t="shared" si="8"/>
        <v>0</v>
      </c>
      <c r="Q18" s="6">
        <f t="shared" si="3"/>
        <v>6983984.5980575001</v>
      </c>
      <c r="R18" s="6">
        <f t="shared" si="9"/>
        <v>0</v>
      </c>
      <c r="S18" s="6">
        <f t="shared" ca="1" si="4"/>
        <v>19189046.303133242</v>
      </c>
      <c r="U18" t="s">
        <v>98</v>
      </c>
      <c r="V18" s="242">
        <v>0.83264309593218</v>
      </c>
      <c r="W18" t="s">
        <v>99</v>
      </c>
      <c r="X18" s="120">
        <v>0.82460996453692503</v>
      </c>
    </row>
    <row r="19" spans="1:24">
      <c r="A19" s="20">
        <f>'Monthly Data'!A19</f>
        <v>41426</v>
      </c>
      <c r="B19">
        <f t="shared" si="0"/>
        <v>6</v>
      </c>
      <c r="C19">
        <f t="shared" si="1"/>
        <v>2013</v>
      </c>
      <c r="D19" s="6">
        <f>'Monthly Data'!N19</f>
        <v>18624260.841029517</v>
      </c>
      <c r="E19" s="7">
        <f t="shared" ref="E19:F19" ca="1" si="14">E7</f>
        <v>5.16</v>
      </c>
      <c r="F19" s="7">
        <f t="shared" ca="1" si="14"/>
        <v>97.63000000000001</v>
      </c>
      <c r="G19">
        <f>'Monthly Data'!CF19</f>
        <v>30</v>
      </c>
      <c r="H19">
        <f>'Monthly Data'!CD19</f>
        <v>0</v>
      </c>
      <c r="I19">
        <f>'Monthly Data'!CJ19</f>
        <v>0</v>
      </c>
      <c r="J19">
        <f>'Monthly Data'!P19</f>
        <v>440</v>
      </c>
      <c r="L19" s="6">
        <f t="shared" si="2"/>
        <v>-4550747.7974309605</v>
      </c>
      <c r="M19" s="6">
        <f t="shared" ca="1" si="5"/>
        <v>37088.267437232586</v>
      </c>
      <c r="N19" s="6">
        <f t="shared" ca="1" si="6"/>
        <v>2297900.222717959</v>
      </c>
      <c r="O19" s="6">
        <f t="shared" si="7"/>
        <v>14687378.322920969</v>
      </c>
      <c r="P19" s="6">
        <f t="shared" si="8"/>
        <v>0</v>
      </c>
      <c r="Q19" s="6">
        <f t="shared" si="3"/>
        <v>6983984.5980575001</v>
      </c>
      <c r="R19" s="6">
        <f t="shared" si="9"/>
        <v>0</v>
      </c>
      <c r="S19" s="6">
        <f t="shared" ca="1" si="4"/>
        <v>19455603.6137027</v>
      </c>
      <c r="U19" t="s">
        <v>374</v>
      </c>
      <c r="V19" s="244">
        <v>103.482493436534</v>
      </c>
      <c r="W19" t="s">
        <v>100</v>
      </c>
      <c r="X19" s="120">
        <v>4.6693805093247E-46</v>
      </c>
    </row>
    <row r="20" spans="1:24">
      <c r="A20" s="20">
        <f>'Monthly Data'!A20</f>
        <v>41456</v>
      </c>
      <c r="B20">
        <f t="shared" si="0"/>
        <v>7</v>
      </c>
      <c r="C20">
        <f t="shared" si="1"/>
        <v>2013</v>
      </c>
      <c r="D20" s="6">
        <f>'Monthly Data'!N20</f>
        <v>22473285.336796511</v>
      </c>
      <c r="E20" s="7">
        <f t="shared" ref="E20:F20" ca="1" si="15">E8</f>
        <v>0</v>
      </c>
      <c r="F20" s="7">
        <f t="shared" ca="1" si="15"/>
        <v>172.46999999999997</v>
      </c>
      <c r="G20">
        <f>'Monthly Data'!CF20</f>
        <v>31</v>
      </c>
      <c r="H20">
        <f>'Monthly Data'!CD20</f>
        <v>0</v>
      </c>
      <c r="I20">
        <f>'Monthly Data'!CJ20</f>
        <v>0</v>
      </c>
      <c r="J20">
        <f>'Monthly Data'!P20</f>
        <v>430</v>
      </c>
      <c r="L20" s="6">
        <f t="shared" si="2"/>
        <v>-4550747.7974309605</v>
      </c>
      <c r="M20" s="6">
        <f t="shared" ca="1" si="5"/>
        <v>0</v>
      </c>
      <c r="N20" s="6">
        <f t="shared" ca="1" si="6"/>
        <v>4059396.204160261</v>
      </c>
      <c r="O20" s="6">
        <f t="shared" si="7"/>
        <v>15176957.600351669</v>
      </c>
      <c r="P20" s="6">
        <f t="shared" si="8"/>
        <v>0</v>
      </c>
      <c r="Q20" s="6">
        <f t="shared" si="3"/>
        <v>6825257.6753743747</v>
      </c>
      <c r="R20" s="6">
        <f t="shared" si="9"/>
        <v>0</v>
      </c>
      <c r="S20" s="6">
        <f t="shared" ca="1" si="4"/>
        <v>21510863.682455342</v>
      </c>
      <c r="U20" t="s">
        <v>101</v>
      </c>
      <c r="V20" s="243">
        <v>8.8121059443264892E-3</v>
      </c>
      <c r="W20" t="s">
        <v>102</v>
      </c>
      <c r="X20" s="120">
        <v>1.9698108239024701</v>
      </c>
    </row>
    <row r="21" spans="1:24">
      <c r="A21" s="20">
        <f>'Monthly Data'!A21</f>
        <v>41487</v>
      </c>
      <c r="B21">
        <f t="shared" si="0"/>
        <v>8</v>
      </c>
      <c r="C21">
        <f t="shared" si="1"/>
        <v>2013</v>
      </c>
      <c r="D21" s="6">
        <f>'Monthly Data'!N21</f>
        <v>20760425.70034701</v>
      </c>
      <c r="E21" s="7">
        <f t="shared" ref="E21:F21" ca="1" si="16">E9</f>
        <v>8.0000000000000071E-2</v>
      </c>
      <c r="F21" s="7">
        <f t="shared" ca="1" si="16"/>
        <v>155.49999999999997</v>
      </c>
      <c r="G21">
        <f>'Monthly Data'!CF21</f>
        <v>31</v>
      </c>
      <c r="H21">
        <f>'Monthly Data'!CD21</f>
        <v>0</v>
      </c>
      <c r="I21">
        <f>'Monthly Data'!CJ21</f>
        <v>0</v>
      </c>
      <c r="J21">
        <f>'Monthly Data'!P21</f>
        <v>429</v>
      </c>
      <c r="L21" s="6">
        <f t="shared" si="2"/>
        <v>-4550747.7974309605</v>
      </c>
      <c r="M21" s="6">
        <f t="shared" ca="1" si="5"/>
        <v>575.01189825166853</v>
      </c>
      <c r="N21" s="6">
        <f t="shared" ca="1" si="6"/>
        <v>3659976.2842634693</v>
      </c>
      <c r="O21" s="6">
        <f t="shared" si="7"/>
        <v>15176957.600351669</v>
      </c>
      <c r="P21" s="6">
        <f t="shared" si="8"/>
        <v>0</v>
      </c>
      <c r="Q21" s="6">
        <f t="shared" si="3"/>
        <v>6809384.9831060618</v>
      </c>
      <c r="R21" s="6">
        <f t="shared" si="9"/>
        <v>0</v>
      </c>
      <c r="S21" s="6">
        <f t="shared" ca="1" si="4"/>
        <v>21096146.082188491</v>
      </c>
    </row>
    <row r="22" spans="1:24">
      <c r="A22" s="20">
        <f>'Monthly Data'!A22</f>
        <v>41518</v>
      </c>
      <c r="B22">
        <f t="shared" si="0"/>
        <v>9</v>
      </c>
      <c r="C22">
        <f t="shared" si="1"/>
        <v>2013</v>
      </c>
      <c r="D22" s="6">
        <f>'Monthly Data'!N22</f>
        <v>18500510.052468214</v>
      </c>
      <c r="E22" s="7">
        <f t="shared" ref="E22:F22" ca="1" si="17">E10</f>
        <v>12.280000000000001</v>
      </c>
      <c r="F22" s="7">
        <f t="shared" ca="1" si="17"/>
        <v>76.13</v>
      </c>
      <c r="G22">
        <f>'Monthly Data'!CF22</f>
        <v>30</v>
      </c>
      <c r="H22">
        <f>'Monthly Data'!CD22</f>
        <v>1</v>
      </c>
      <c r="I22">
        <f>'Monthly Data'!CJ22</f>
        <v>0</v>
      </c>
      <c r="J22">
        <f>'Monthly Data'!P22</f>
        <v>440</v>
      </c>
      <c r="L22" s="6">
        <f t="shared" si="2"/>
        <v>-4550747.7974309605</v>
      </c>
      <c r="M22" s="6">
        <f t="shared" ca="1" si="5"/>
        <v>88264.32638163105</v>
      </c>
      <c r="N22" s="6">
        <f t="shared" ca="1" si="6"/>
        <v>1791858.4856654531</v>
      </c>
      <c r="O22" s="6">
        <f t="shared" si="7"/>
        <v>14687378.322920969</v>
      </c>
      <c r="P22" s="6">
        <f t="shared" si="8"/>
        <v>463327.49867077498</v>
      </c>
      <c r="Q22" s="6">
        <f t="shared" si="3"/>
        <v>6983984.5980575001</v>
      </c>
      <c r="R22" s="6">
        <f t="shared" si="9"/>
        <v>0</v>
      </c>
      <c r="S22" s="6">
        <f t="shared" ca="1" si="4"/>
        <v>19464065.434265368</v>
      </c>
    </row>
    <row r="23" spans="1:24">
      <c r="A23" s="20">
        <f>'Monthly Data'!A23</f>
        <v>41548</v>
      </c>
      <c r="B23">
        <f t="shared" si="0"/>
        <v>10</v>
      </c>
      <c r="C23">
        <f t="shared" si="1"/>
        <v>2013</v>
      </c>
      <c r="D23" s="6">
        <f>'Monthly Data'!N23</f>
        <v>20153921.133393314</v>
      </c>
      <c r="E23" s="7">
        <f t="shared" ref="E23:F23" ca="1" si="18">E11</f>
        <v>111.21000000000001</v>
      </c>
      <c r="F23" s="7">
        <f t="shared" ca="1" si="18"/>
        <v>15.330000000000002</v>
      </c>
      <c r="G23">
        <f>'Monthly Data'!CF23</f>
        <v>31</v>
      </c>
      <c r="H23">
        <f>'Monthly Data'!CD23</f>
        <v>1</v>
      </c>
      <c r="I23">
        <f>'Monthly Data'!CJ23</f>
        <v>0</v>
      </c>
      <c r="J23">
        <f>'Monthly Data'!P23</f>
        <v>433</v>
      </c>
      <c r="L23" s="6">
        <f t="shared" si="2"/>
        <v>-4550747.7974309605</v>
      </c>
      <c r="M23" s="6">
        <f t="shared" ca="1" si="5"/>
        <v>799338.41505710012</v>
      </c>
      <c r="N23" s="6">
        <f t="shared" ca="1" si="6"/>
        <v>360819.52693092608</v>
      </c>
      <c r="O23" s="6">
        <f t="shared" si="7"/>
        <v>15176957.600351669</v>
      </c>
      <c r="P23" s="6">
        <f t="shared" si="8"/>
        <v>463327.49867077498</v>
      </c>
      <c r="Q23" s="6">
        <f t="shared" si="3"/>
        <v>6872875.7521793125</v>
      </c>
      <c r="R23" s="6">
        <f t="shared" si="9"/>
        <v>0</v>
      </c>
      <c r="S23" s="6">
        <f t="shared" ca="1" si="4"/>
        <v>19122570.995758824</v>
      </c>
    </row>
    <row r="24" spans="1:24">
      <c r="A24" s="20">
        <f>'Monthly Data'!A24</f>
        <v>41579</v>
      </c>
      <c r="B24">
        <f t="shared" si="0"/>
        <v>11</v>
      </c>
      <c r="C24">
        <f t="shared" si="1"/>
        <v>2013</v>
      </c>
      <c r="D24" s="6">
        <f>'Monthly Data'!N24</f>
        <v>18711865.730132714</v>
      </c>
      <c r="E24" s="7">
        <f t="shared" ref="E24:F24" ca="1" si="19">E12</f>
        <v>297.28000000000003</v>
      </c>
      <c r="F24" s="7">
        <f t="shared" ca="1" si="19"/>
        <v>0.76000000000000012</v>
      </c>
      <c r="G24">
        <f>'Monthly Data'!CF24</f>
        <v>30</v>
      </c>
      <c r="H24">
        <f>'Monthly Data'!CD24</f>
        <v>0</v>
      </c>
      <c r="I24">
        <f>'Monthly Data'!CJ24</f>
        <v>0</v>
      </c>
      <c r="J24">
        <f>'Monthly Data'!P24</f>
        <v>405</v>
      </c>
      <c r="L24" s="6">
        <f t="shared" si="2"/>
        <v>-4550747.7974309605</v>
      </c>
      <c r="M24" s="6">
        <f t="shared" ca="1" si="5"/>
        <v>2136744.2139031985</v>
      </c>
      <c r="N24" s="6">
        <f t="shared" ca="1" si="6"/>
        <v>17887.986984181593</v>
      </c>
      <c r="O24" s="6">
        <f t="shared" si="7"/>
        <v>14687378.322920969</v>
      </c>
      <c r="P24" s="6">
        <f t="shared" si="8"/>
        <v>0</v>
      </c>
      <c r="Q24" s="6">
        <f t="shared" si="3"/>
        <v>6428440.3686665623</v>
      </c>
      <c r="R24" s="6">
        <f t="shared" si="9"/>
        <v>0</v>
      </c>
      <c r="S24" s="6">
        <f t="shared" ca="1" si="4"/>
        <v>18719703.09504395</v>
      </c>
    </row>
    <row r="25" spans="1:24">
      <c r="A25" s="20">
        <f>'Monthly Data'!A25</f>
        <v>41609</v>
      </c>
      <c r="B25">
        <f t="shared" si="0"/>
        <v>12</v>
      </c>
      <c r="C25">
        <f t="shared" si="1"/>
        <v>2013</v>
      </c>
      <c r="D25" s="6">
        <f>'Monthly Data'!N25</f>
        <v>21202370.883770712</v>
      </c>
      <c r="E25" s="7">
        <f t="shared" ref="E25:F25" ca="1" si="20">E13</f>
        <v>440.25</v>
      </c>
      <c r="F25" s="7">
        <f t="shared" ca="1" si="20"/>
        <v>0</v>
      </c>
      <c r="G25">
        <f>'Monthly Data'!CF25</f>
        <v>31</v>
      </c>
      <c r="H25">
        <f>'Monthly Data'!CD25</f>
        <v>0</v>
      </c>
      <c r="I25">
        <f>'Monthly Data'!CJ25</f>
        <v>0</v>
      </c>
      <c r="J25">
        <f>'Monthly Data'!P25</f>
        <v>399</v>
      </c>
      <c r="L25" s="6">
        <f t="shared" si="2"/>
        <v>-4550747.7974309605</v>
      </c>
      <c r="M25" s="6">
        <f t="shared" ca="1" si="5"/>
        <v>3164362.3525662106</v>
      </c>
      <c r="N25" s="6">
        <f t="shared" ca="1" si="6"/>
        <v>0</v>
      </c>
      <c r="O25" s="6">
        <f t="shared" si="7"/>
        <v>15176957.600351669</v>
      </c>
      <c r="P25" s="6">
        <f t="shared" si="8"/>
        <v>0</v>
      </c>
      <c r="Q25" s="6">
        <f t="shared" si="3"/>
        <v>6333204.2150566876</v>
      </c>
      <c r="R25" s="6">
        <f t="shared" si="9"/>
        <v>0</v>
      </c>
      <c r="S25" s="6">
        <f t="shared" ca="1" si="4"/>
        <v>20123776.370543607</v>
      </c>
    </row>
    <row r="26" spans="1:24">
      <c r="A26" s="20">
        <f>'Monthly Data'!A26</f>
        <v>41640</v>
      </c>
      <c r="B26">
        <f t="shared" si="0"/>
        <v>1</v>
      </c>
      <c r="C26">
        <f t="shared" si="1"/>
        <v>2014</v>
      </c>
      <c r="D26" s="6">
        <f>'Monthly Data'!N26</f>
        <v>21407032.927619025</v>
      </c>
      <c r="E26" s="7">
        <f t="shared" ref="E26:F29" ca="1" si="21">E14</f>
        <v>564.86</v>
      </c>
      <c r="F26" s="7">
        <f t="shared" ca="1" si="21"/>
        <v>0</v>
      </c>
      <c r="G26">
        <f>'Monthly Data'!CF26</f>
        <v>31</v>
      </c>
      <c r="H26">
        <f>'Monthly Data'!CD26</f>
        <v>0</v>
      </c>
      <c r="I26">
        <f>'Monthly Data'!CJ26</f>
        <v>0</v>
      </c>
      <c r="J26">
        <f>'Monthly Data'!P26</f>
        <v>405</v>
      </c>
      <c r="L26" s="6">
        <f t="shared" si="2"/>
        <v>-4550747.7974309605</v>
      </c>
      <c r="M26" s="6">
        <f t="shared" ca="1" si="5"/>
        <v>4060015.2605804652</v>
      </c>
      <c r="N26" s="6">
        <f t="shared" ca="1" si="6"/>
        <v>0</v>
      </c>
      <c r="O26" s="6">
        <f t="shared" si="7"/>
        <v>15176957.600351669</v>
      </c>
      <c r="P26" s="6">
        <f t="shared" si="8"/>
        <v>0</v>
      </c>
      <c r="Q26" s="6">
        <f t="shared" si="3"/>
        <v>6428440.3686665623</v>
      </c>
      <c r="R26" s="6">
        <f t="shared" si="9"/>
        <v>0</v>
      </c>
      <c r="S26" s="6">
        <f t="shared" ca="1" si="4"/>
        <v>21114665.432167735</v>
      </c>
    </row>
    <row r="27" spans="1:24">
      <c r="A27" s="20">
        <f>'Monthly Data'!A27</f>
        <v>41671</v>
      </c>
      <c r="B27">
        <f t="shared" si="0"/>
        <v>2</v>
      </c>
      <c r="C27">
        <f t="shared" si="1"/>
        <v>2014</v>
      </c>
      <c r="D27" s="6">
        <f>'Monthly Data'!N27</f>
        <v>19902756.066625524</v>
      </c>
      <c r="E27" s="7">
        <f t="shared" ca="1" si="21"/>
        <v>516.43000000000006</v>
      </c>
      <c r="F27" s="7">
        <f t="shared" ca="1" si="21"/>
        <v>0</v>
      </c>
      <c r="G27">
        <f>'Monthly Data'!CF27</f>
        <v>28</v>
      </c>
      <c r="H27">
        <f>'Monthly Data'!CD27</f>
        <v>0</v>
      </c>
      <c r="I27">
        <f>'Monthly Data'!CJ27</f>
        <v>0</v>
      </c>
      <c r="J27">
        <f>'Monthly Data'!P27</f>
        <v>405</v>
      </c>
      <c r="L27" s="6">
        <f t="shared" si="2"/>
        <v>-4550747.7974309605</v>
      </c>
      <c r="M27" s="6">
        <f t="shared" ca="1" si="5"/>
        <v>3711917.4326763619</v>
      </c>
      <c r="N27" s="6">
        <f t="shared" ca="1" si="6"/>
        <v>0</v>
      </c>
      <c r="O27" s="6">
        <f t="shared" si="7"/>
        <v>13708219.76805957</v>
      </c>
      <c r="P27" s="6">
        <f t="shared" si="8"/>
        <v>0</v>
      </c>
      <c r="Q27" s="6">
        <f t="shared" si="3"/>
        <v>6428440.3686665623</v>
      </c>
      <c r="R27" s="6">
        <f t="shared" si="9"/>
        <v>0</v>
      </c>
      <c r="S27" s="6">
        <f t="shared" ca="1" si="4"/>
        <v>19297829.771971535</v>
      </c>
    </row>
    <row r="28" spans="1:24">
      <c r="A28" s="20">
        <f>'Monthly Data'!A28</f>
        <v>41699</v>
      </c>
      <c r="B28">
        <f t="shared" si="0"/>
        <v>3</v>
      </c>
      <c r="C28">
        <f t="shared" si="1"/>
        <v>2014</v>
      </c>
      <c r="D28" s="6">
        <f>'Monthly Data'!N28</f>
        <v>21814873.450316727</v>
      </c>
      <c r="E28" s="7">
        <f t="shared" ca="1" si="21"/>
        <v>412.32</v>
      </c>
      <c r="F28" s="7">
        <f t="shared" ca="1" si="21"/>
        <v>1.9999999999999928E-2</v>
      </c>
      <c r="G28">
        <f>'Monthly Data'!CF28</f>
        <v>31</v>
      </c>
      <c r="H28">
        <f>'Monthly Data'!CD28</f>
        <v>0</v>
      </c>
      <c r="I28">
        <f>'Monthly Data'!CJ28</f>
        <v>0</v>
      </c>
      <c r="J28">
        <f>'Monthly Data'!P28</f>
        <v>406</v>
      </c>
      <c r="L28" s="6">
        <f t="shared" si="2"/>
        <v>-4550747.7974309605</v>
      </c>
      <c r="M28" s="6">
        <f t="shared" ca="1" si="5"/>
        <v>2963611.3235890968</v>
      </c>
      <c r="N28" s="6">
        <f t="shared" ca="1" si="6"/>
        <v>470.73649958372431</v>
      </c>
      <c r="O28" s="6">
        <f t="shared" si="7"/>
        <v>15176957.600351669</v>
      </c>
      <c r="P28" s="6">
        <f t="shared" si="8"/>
        <v>0</v>
      </c>
      <c r="Q28" s="6">
        <f t="shared" si="3"/>
        <v>6444313.0609348752</v>
      </c>
      <c r="R28" s="6">
        <f t="shared" si="9"/>
        <v>0</v>
      </c>
      <c r="S28" s="6">
        <f t="shared" ca="1" si="4"/>
        <v>20034604.923944265</v>
      </c>
    </row>
    <row r="29" spans="1:24">
      <c r="A29" s="20">
        <f>'Monthly Data'!A29</f>
        <v>41730</v>
      </c>
      <c r="B29">
        <f t="shared" si="0"/>
        <v>4</v>
      </c>
      <c r="C29">
        <f t="shared" si="1"/>
        <v>2014</v>
      </c>
      <c r="D29" s="6">
        <f>'Monthly Data'!N29</f>
        <v>18254278.850208424</v>
      </c>
      <c r="E29" s="7">
        <f t="shared" ca="1" si="21"/>
        <v>229.95</v>
      </c>
      <c r="F29" s="7">
        <f t="shared" ca="1" si="21"/>
        <v>1.3500000000000003</v>
      </c>
      <c r="G29">
        <f>'Monthly Data'!CF29</f>
        <v>30</v>
      </c>
      <c r="H29">
        <f>'Monthly Data'!CD29</f>
        <v>0</v>
      </c>
      <c r="I29">
        <f>'Monthly Data'!CJ29</f>
        <v>0</v>
      </c>
      <c r="J29">
        <f>'Monthly Data'!P29</f>
        <v>402</v>
      </c>
      <c r="L29" s="6">
        <f t="shared" si="2"/>
        <v>-4550747.7974309605</v>
      </c>
      <c r="M29" s="6">
        <f t="shared" ca="1" si="5"/>
        <v>1652799.8250371383</v>
      </c>
      <c r="N29" s="6">
        <f t="shared" ca="1" si="6"/>
        <v>31774.713721901513</v>
      </c>
      <c r="O29" s="6">
        <f t="shared" si="7"/>
        <v>14687378.322920969</v>
      </c>
      <c r="P29" s="6">
        <f t="shared" si="8"/>
        <v>0</v>
      </c>
      <c r="Q29" s="6">
        <f t="shared" si="3"/>
        <v>6380822.2918616245</v>
      </c>
      <c r="R29" s="6">
        <f t="shared" si="9"/>
        <v>0</v>
      </c>
      <c r="S29" s="6">
        <f t="shared" ca="1" si="4"/>
        <v>18202027.356110673</v>
      </c>
    </row>
    <row r="30" spans="1:24">
      <c r="A30" s="20">
        <f>'Monthly Data'!A30</f>
        <v>41760</v>
      </c>
      <c r="B30">
        <f t="shared" si="0"/>
        <v>5</v>
      </c>
      <c r="C30">
        <f t="shared" si="1"/>
        <v>2014</v>
      </c>
      <c r="D30" s="6">
        <f>'Monthly Data'!N30</f>
        <v>17259918.534105126</v>
      </c>
      <c r="E30" s="7">
        <f t="shared" ref="E30:F49" ca="1" si="22">E18</f>
        <v>79.77000000000001</v>
      </c>
      <c r="F30" s="7">
        <f t="shared" ca="1" si="22"/>
        <v>42.72</v>
      </c>
      <c r="G30">
        <f>'Monthly Data'!CF30</f>
        <v>31</v>
      </c>
      <c r="H30">
        <f>'Monthly Data'!CD30</f>
        <v>0</v>
      </c>
      <c r="I30">
        <f>'Monthly Data'!CJ30</f>
        <v>0</v>
      </c>
      <c r="J30">
        <f>'Monthly Data'!P30</f>
        <v>393</v>
      </c>
      <c r="L30" s="6">
        <f t="shared" si="2"/>
        <v>-4550747.7974309605</v>
      </c>
      <c r="M30" s="6">
        <f t="shared" ca="1" si="5"/>
        <v>573358.73904419458</v>
      </c>
      <c r="N30" s="6">
        <f t="shared" ca="1" si="6"/>
        <v>1005493.1631108387</v>
      </c>
      <c r="O30" s="6">
        <f t="shared" si="7"/>
        <v>15176957.600351669</v>
      </c>
      <c r="P30" s="6">
        <f t="shared" si="8"/>
        <v>0</v>
      </c>
      <c r="Q30" s="6">
        <f t="shared" si="3"/>
        <v>6237968.061446812</v>
      </c>
      <c r="R30" s="6">
        <f t="shared" si="9"/>
        <v>0</v>
      </c>
      <c r="S30" s="6">
        <f t="shared" ca="1" si="4"/>
        <v>18443029.766522553</v>
      </c>
    </row>
    <row r="31" spans="1:24">
      <c r="A31" s="20">
        <f>'Monthly Data'!A31</f>
        <v>41791</v>
      </c>
      <c r="B31">
        <f t="shared" si="0"/>
        <v>6</v>
      </c>
      <c r="C31">
        <f t="shared" si="1"/>
        <v>2014</v>
      </c>
      <c r="D31" s="6">
        <f>'Monthly Data'!N31</f>
        <v>18660682.797031526</v>
      </c>
      <c r="E31" s="7">
        <f t="shared" ca="1" si="22"/>
        <v>5.16</v>
      </c>
      <c r="F31" s="7">
        <f t="shared" ca="1" si="22"/>
        <v>97.63000000000001</v>
      </c>
      <c r="G31">
        <f>'Monthly Data'!CF31</f>
        <v>30</v>
      </c>
      <c r="H31">
        <f>'Monthly Data'!CD31</f>
        <v>0</v>
      </c>
      <c r="I31">
        <f>'Monthly Data'!CJ31</f>
        <v>0</v>
      </c>
      <c r="J31">
        <f>'Monthly Data'!P31</f>
        <v>393</v>
      </c>
      <c r="L31" s="6">
        <f t="shared" si="2"/>
        <v>-4550747.7974309605</v>
      </c>
      <c r="M31" s="6">
        <f t="shared" ca="1" si="5"/>
        <v>37088.267437232586</v>
      </c>
      <c r="N31" s="6">
        <f t="shared" ca="1" si="6"/>
        <v>2297900.222717959</v>
      </c>
      <c r="O31" s="6">
        <f t="shared" si="7"/>
        <v>14687378.322920969</v>
      </c>
      <c r="P31" s="6">
        <f t="shared" si="8"/>
        <v>0</v>
      </c>
      <c r="Q31" s="6">
        <f t="shared" si="3"/>
        <v>6237968.061446812</v>
      </c>
      <c r="R31" s="6">
        <f t="shared" si="9"/>
        <v>0</v>
      </c>
      <c r="S31" s="6">
        <f t="shared" ca="1" si="4"/>
        <v>18709587.077092014</v>
      </c>
    </row>
    <row r="32" spans="1:24">
      <c r="A32" s="20">
        <f>'Monthly Data'!A32</f>
        <v>41821</v>
      </c>
      <c r="B32">
        <f t="shared" si="0"/>
        <v>7</v>
      </c>
      <c r="C32">
        <f t="shared" si="1"/>
        <v>2014</v>
      </c>
      <c r="D32" s="6">
        <f>'Monthly Data'!N32</f>
        <v>20445599.577143326</v>
      </c>
      <c r="E32" s="7">
        <f t="shared" ca="1" si="22"/>
        <v>0</v>
      </c>
      <c r="F32" s="7">
        <f t="shared" ca="1" si="22"/>
        <v>172.46999999999997</v>
      </c>
      <c r="G32">
        <f>'Monthly Data'!CF32</f>
        <v>31</v>
      </c>
      <c r="H32">
        <f>'Monthly Data'!CD32</f>
        <v>0</v>
      </c>
      <c r="I32">
        <f>'Monthly Data'!CJ32</f>
        <v>0</v>
      </c>
      <c r="J32">
        <f>'Monthly Data'!P32</f>
        <v>395</v>
      </c>
      <c r="L32" s="6">
        <f t="shared" si="2"/>
        <v>-4550747.7974309605</v>
      </c>
      <c r="M32" s="6">
        <f t="shared" ca="1" si="5"/>
        <v>0</v>
      </c>
      <c r="N32" s="6">
        <f t="shared" ca="1" si="6"/>
        <v>4059396.204160261</v>
      </c>
      <c r="O32" s="6">
        <f t="shared" si="7"/>
        <v>15176957.600351669</v>
      </c>
      <c r="P32" s="6">
        <f t="shared" si="8"/>
        <v>0</v>
      </c>
      <c r="Q32" s="6">
        <f t="shared" si="3"/>
        <v>6269713.4459834369</v>
      </c>
      <c r="R32" s="6">
        <f t="shared" si="9"/>
        <v>0</v>
      </c>
      <c r="S32" s="6">
        <f t="shared" ca="1" si="4"/>
        <v>20955319.453064404</v>
      </c>
    </row>
    <row r="33" spans="1:19">
      <c r="A33" s="20">
        <f>'Monthly Data'!A33</f>
        <v>41852</v>
      </c>
      <c r="B33">
        <f t="shared" si="0"/>
        <v>8</v>
      </c>
      <c r="C33">
        <f t="shared" si="1"/>
        <v>2014</v>
      </c>
      <c r="D33" s="6">
        <f>'Monthly Data'!N33</f>
        <v>19474507.788008928</v>
      </c>
      <c r="E33" s="7">
        <f t="shared" ca="1" si="22"/>
        <v>8.0000000000000071E-2</v>
      </c>
      <c r="F33" s="7">
        <f t="shared" ca="1" si="22"/>
        <v>155.49999999999997</v>
      </c>
      <c r="G33">
        <f>'Monthly Data'!CF33</f>
        <v>31</v>
      </c>
      <c r="H33">
        <f>'Monthly Data'!CD33</f>
        <v>0</v>
      </c>
      <c r="I33">
        <f>'Monthly Data'!CJ33</f>
        <v>0</v>
      </c>
      <c r="J33">
        <f>'Monthly Data'!P33</f>
        <v>396</v>
      </c>
      <c r="L33" s="6">
        <f t="shared" si="2"/>
        <v>-4550747.7974309605</v>
      </c>
      <c r="M33" s="6">
        <f t="shared" ca="1" si="5"/>
        <v>575.01189825166853</v>
      </c>
      <c r="N33" s="6">
        <f t="shared" ca="1" si="6"/>
        <v>3659976.2842634693</v>
      </c>
      <c r="O33" s="6">
        <f t="shared" si="7"/>
        <v>15176957.600351669</v>
      </c>
      <c r="P33" s="6">
        <f t="shared" si="8"/>
        <v>0</v>
      </c>
      <c r="Q33" s="6">
        <f t="shared" si="3"/>
        <v>6285586.1382517498</v>
      </c>
      <c r="R33" s="6">
        <f t="shared" si="9"/>
        <v>0</v>
      </c>
      <c r="S33" s="6">
        <f t="shared" ca="1" si="4"/>
        <v>20572347.237334177</v>
      </c>
    </row>
    <row r="34" spans="1:19">
      <c r="A34" s="20">
        <f>'Monthly Data'!A34</f>
        <v>41883</v>
      </c>
      <c r="B34">
        <f t="shared" si="0"/>
        <v>9</v>
      </c>
      <c r="C34">
        <f t="shared" si="1"/>
        <v>2014</v>
      </c>
      <c r="D34" s="6">
        <f>'Monthly Data'!N34</f>
        <v>18323247.756729726</v>
      </c>
      <c r="E34" s="7">
        <f t="shared" ca="1" si="22"/>
        <v>12.280000000000001</v>
      </c>
      <c r="F34" s="7">
        <f t="shared" ca="1" si="22"/>
        <v>76.13</v>
      </c>
      <c r="G34">
        <f>'Monthly Data'!CF34</f>
        <v>30</v>
      </c>
      <c r="H34">
        <f>'Monthly Data'!CD34</f>
        <v>1</v>
      </c>
      <c r="I34">
        <f>'Monthly Data'!CJ34</f>
        <v>0</v>
      </c>
      <c r="J34">
        <f>'Monthly Data'!P34</f>
        <v>392</v>
      </c>
      <c r="L34" s="6">
        <f t="shared" ref="L34:L65" si="23">$V$7</f>
        <v>-4550747.7974309605</v>
      </c>
      <c r="M34" s="6">
        <f t="shared" ca="1" si="5"/>
        <v>88264.32638163105</v>
      </c>
      <c r="N34" s="6">
        <f t="shared" ca="1" si="6"/>
        <v>1791858.4856654531</v>
      </c>
      <c r="O34" s="6">
        <f t="shared" si="7"/>
        <v>14687378.322920969</v>
      </c>
      <c r="P34" s="6">
        <f t="shared" si="8"/>
        <v>463327.49867077498</v>
      </c>
      <c r="Q34" s="6">
        <f t="shared" ref="Q34:Q65" si="24">J34*$V$12</f>
        <v>6222095.3691785</v>
      </c>
      <c r="R34" s="6">
        <f t="shared" si="9"/>
        <v>0</v>
      </c>
      <c r="S34" s="6">
        <f t="shared" ref="S34:S65" ca="1" si="25">SUM(L34:R34)</f>
        <v>18702176.20538637</v>
      </c>
    </row>
    <row r="35" spans="1:19">
      <c r="A35" s="20">
        <f>'Monthly Data'!A35</f>
        <v>41913</v>
      </c>
      <c r="B35">
        <f t="shared" si="0"/>
        <v>10</v>
      </c>
      <c r="C35">
        <f t="shared" si="1"/>
        <v>2014</v>
      </c>
      <c r="D35" s="6">
        <f>'Monthly Data'!N35</f>
        <v>18647344.273645423</v>
      </c>
      <c r="E35" s="7">
        <f t="shared" ca="1" si="22"/>
        <v>111.21000000000001</v>
      </c>
      <c r="F35" s="7">
        <f t="shared" ca="1" si="22"/>
        <v>15.330000000000002</v>
      </c>
      <c r="G35">
        <f>'Monthly Data'!CF35</f>
        <v>31</v>
      </c>
      <c r="H35">
        <f>'Monthly Data'!CD35</f>
        <v>1</v>
      </c>
      <c r="I35">
        <f>'Monthly Data'!CJ35</f>
        <v>0</v>
      </c>
      <c r="J35">
        <f>'Monthly Data'!P35</f>
        <v>386</v>
      </c>
      <c r="L35" s="6">
        <f t="shared" si="23"/>
        <v>-4550747.7974309605</v>
      </c>
      <c r="M35" s="6">
        <f t="shared" ca="1" si="5"/>
        <v>799338.41505710012</v>
      </c>
      <c r="N35" s="6">
        <f t="shared" ca="1" si="6"/>
        <v>360819.52693092608</v>
      </c>
      <c r="O35" s="6">
        <f t="shared" si="7"/>
        <v>15176957.600351669</v>
      </c>
      <c r="P35" s="6">
        <f t="shared" si="8"/>
        <v>463327.49867077498</v>
      </c>
      <c r="Q35" s="6">
        <f t="shared" si="24"/>
        <v>6126859.2155686244</v>
      </c>
      <c r="R35" s="6">
        <f t="shared" si="9"/>
        <v>0</v>
      </c>
      <c r="S35" s="6">
        <f t="shared" ca="1" si="25"/>
        <v>18376554.459148135</v>
      </c>
    </row>
    <row r="36" spans="1:19">
      <c r="A36" s="20">
        <f>'Monthly Data'!A36</f>
        <v>41944</v>
      </c>
      <c r="B36">
        <f t="shared" si="0"/>
        <v>11</v>
      </c>
      <c r="C36">
        <f t="shared" si="1"/>
        <v>2014</v>
      </c>
      <c r="D36" s="6">
        <f>'Monthly Data'!N36</f>
        <v>18747695.454941425</v>
      </c>
      <c r="E36" s="7">
        <f t="shared" ca="1" si="22"/>
        <v>297.28000000000003</v>
      </c>
      <c r="F36" s="7">
        <f t="shared" ca="1" si="22"/>
        <v>0.76000000000000012</v>
      </c>
      <c r="G36">
        <f>'Monthly Data'!CF36</f>
        <v>30</v>
      </c>
      <c r="H36">
        <f>'Monthly Data'!CD36</f>
        <v>0</v>
      </c>
      <c r="I36">
        <f>'Monthly Data'!CJ36</f>
        <v>0</v>
      </c>
      <c r="J36">
        <f>'Monthly Data'!P36</f>
        <v>384</v>
      </c>
      <c r="L36" s="6">
        <f t="shared" si="23"/>
        <v>-4550747.7974309605</v>
      </c>
      <c r="M36" s="6">
        <f t="shared" ca="1" si="5"/>
        <v>2136744.2139031985</v>
      </c>
      <c r="N36" s="6">
        <f t="shared" ca="1" si="6"/>
        <v>17887.986984181593</v>
      </c>
      <c r="O36" s="6">
        <f t="shared" si="7"/>
        <v>14687378.322920969</v>
      </c>
      <c r="P36" s="6">
        <f t="shared" si="8"/>
        <v>0</v>
      </c>
      <c r="Q36" s="6">
        <f t="shared" si="24"/>
        <v>6095113.8310319996</v>
      </c>
      <c r="R36" s="6">
        <f t="shared" si="9"/>
        <v>0</v>
      </c>
      <c r="S36" s="6">
        <f t="shared" ca="1" si="25"/>
        <v>18386376.557409387</v>
      </c>
    </row>
    <row r="37" spans="1:19">
      <c r="A37" s="20">
        <f>'Monthly Data'!A37</f>
        <v>41974</v>
      </c>
      <c r="B37">
        <f t="shared" si="0"/>
        <v>12</v>
      </c>
      <c r="C37">
        <f t="shared" si="1"/>
        <v>2014</v>
      </c>
      <c r="D37" s="6">
        <f>'Monthly Data'!N37</f>
        <v>19946857.429488424</v>
      </c>
      <c r="E37" s="7">
        <f t="shared" ca="1" si="22"/>
        <v>440.25</v>
      </c>
      <c r="F37" s="7">
        <f t="shared" ca="1" si="22"/>
        <v>0</v>
      </c>
      <c r="G37">
        <f>'Monthly Data'!CF37</f>
        <v>31</v>
      </c>
      <c r="H37">
        <f>'Monthly Data'!CD37</f>
        <v>0</v>
      </c>
      <c r="I37">
        <f>'Monthly Data'!CJ37</f>
        <v>0</v>
      </c>
      <c r="J37">
        <f>'Monthly Data'!P37</f>
        <v>385</v>
      </c>
      <c r="L37" s="6">
        <f t="shared" si="23"/>
        <v>-4550747.7974309605</v>
      </c>
      <c r="M37" s="6">
        <f t="shared" ca="1" si="5"/>
        <v>3164362.3525662106</v>
      </c>
      <c r="N37" s="6">
        <f t="shared" ca="1" si="6"/>
        <v>0</v>
      </c>
      <c r="O37" s="6">
        <f t="shared" si="7"/>
        <v>15176957.600351669</v>
      </c>
      <c r="P37" s="6">
        <f t="shared" si="8"/>
        <v>0</v>
      </c>
      <c r="Q37" s="6">
        <f t="shared" si="24"/>
        <v>6110986.5233003125</v>
      </c>
      <c r="R37" s="6">
        <f t="shared" si="9"/>
        <v>0</v>
      </c>
      <c r="S37" s="6">
        <f t="shared" ca="1" si="25"/>
        <v>19901558.678787231</v>
      </c>
    </row>
    <row r="38" spans="1:19">
      <c r="A38" s="20">
        <f>'Monthly Data'!A38</f>
        <v>42005</v>
      </c>
      <c r="B38">
        <f t="shared" si="0"/>
        <v>1</v>
      </c>
      <c r="C38">
        <f t="shared" si="1"/>
        <v>2015</v>
      </c>
      <c r="D38" s="6">
        <f>'Monthly Data'!N38</f>
        <v>22107985.779086575</v>
      </c>
      <c r="E38" s="7">
        <f t="shared" ca="1" si="22"/>
        <v>564.86</v>
      </c>
      <c r="F38" s="7">
        <f t="shared" ca="1" si="22"/>
        <v>0</v>
      </c>
      <c r="G38">
        <f>'Monthly Data'!CF38</f>
        <v>31</v>
      </c>
      <c r="H38">
        <f>'Monthly Data'!CD38</f>
        <v>0</v>
      </c>
      <c r="I38">
        <f>'Monthly Data'!CJ38</f>
        <v>0</v>
      </c>
      <c r="J38">
        <f>'Monthly Data'!P38</f>
        <v>391</v>
      </c>
      <c r="L38" s="6">
        <f t="shared" si="23"/>
        <v>-4550747.7974309605</v>
      </c>
      <c r="M38" s="6">
        <f t="shared" ca="1" si="5"/>
        <v>4060015.2605804652</v>
      </c>
      <c r="N38" s="6">
        <f t="shared" ca="1" si="6"/>
        <v>0</v>
      </c>
      <c r="O38" s="6">
        <f t="shared" si="7"/>
        <v>15176957.600351669</v>
      </c>
      <c r="P38" s="6">
        <f t="shared" si="8"/>
        <v>0</v>
      </c>
      <c r="Q38" s="6">
        <f t="shared" si="24"/>
        <v>6206222.6769101871</v>
      </c>
      <c r="R38" s="6">
        <f t="shared" si="9"/>
        <v>0</v>
      </c>
      <c r="S38" s="6">
        <f t="shared" ca="1" si="25"/>
        <v>20892447.74041136</v>
      </c>
    </row>
    <row r="39" spans="1:19">
      <c r="A39" s="20">
        <f>'Monthly Data'!A39</f>
        <v>42036</v>
      </c>
      <c r="B39">
        <f t="shared" si="0"/>
        <v>2</v>
      </c>
      <c r="C39">
        <f t="shared" si="1"/>
        <v>2015</v>
      </c>
      <c r="D39" s="6">
        <f>'Monthly Data'!N39</f>
        <v>20769956.780525178</v>
      </c>
      <c r="E39" s="7">
        <f t="shared" ca="1" si="22"/>
        <v>516.43000000000006</v>
      </c>
      <c r="F39" s="7">
        <f t="shared" ca="1" si="22"/>
        <v>0</v>
      </c>
      <c r="G39">
        <f>'Monthly Data'!CF39</f>
        <v>28</v>
      </c>
      <c r="H39">
        <f>'Monthly Data'!CD39</f>
        <v>0</v>
      </c>
      <c r="I39">
        <f>'Monthly Data'!CJ39</f>
        <v>0</v>
      </c>
      <c r="J39">
        <f>'Monthly Data'!P39</f>
        <v>392</v>
      </c>
      <c r="L39" s="6">
        <f t="shared" si="23"/>
        <v>-4550747.7974309605</v>
      </c>
      <c r="M39" s="6">
        <f t="shared" ca="1" si="5"/>
        <v>3711917.4326763619</v>
      </c>
      <c r="N39" s="6">
        <f t="shared" ca="1" si="6"/>
        <v>0</v>
      </c>
      <c r="O39" s="6">
        <f t="shared" si="7"/>
        <v>13708219.76805957</v>
      </c>
      <c r="P39" s="6">
        <f t="shared" si="8"/>
        <v>0</v>
      </c>
      <c r="Q39" s="6">
        <f t="shared" si="24"/>
        <v>6222095.3691785</v>
      </c>
      <c r="R39" s="6">
        <f t="shared" si="9"/>
        <v>0</v>
      </c>
      <c r="S39" s="6">
        <f t="shared" ca="1" si="25"/>
        <v>19091484.772483472</v>
      </c>
    </row>
    <row r="40" spans="1:19">
      <c r="A40" s="20">
        <f>'Monthly Data'!A40</f>
        <v>42064</v>
      </c>
      <c r="B40">
        <f t="shared" si="0"/>
        <v>3</v>
      </c>
      <c r="C40">
        <f t="shared" si="1"/>
        <v>2015</v>
      </c>
      <c r="D40" s="6">
        <f>'Monthly Data'!N40</f>
        <v>20069088.302363276</v>
      </c>
      <c r="E40" s="7">
        <f t="shared" ca="1" si="22"/>
        <v>412.32</v>
      </c>
      <c r="F40" s="7">
        <f t="shared" ca="1" si="22"/>
        <v>1.9999999999999928E-2</v>
      </c>
      <c r="G40">
        <f>'Monthly Data'!CF40</f>
        <v>31</v>
      </c>
      <c r="H40">
        <f>'Monthly Data'!CD40</f>
        <v>0</v>
      </c>
      <c r="I40">
        <f>'Monthly Data'!CJ40</f>
        <v>0</v>
      </c>
      <c r="J40">
        <f>'Monthly Data'!P40</f>
        <v>388</v>
      </c>
      <c r="L40" s="6">
        <f t="shared" si="23"/>
        <v>-4550747.7974309605</v>
      </c>
      <c r="M40" s="6">
        <f t="shared" ca="1" si="5"/>
        <v>2963611.3235890968</v>
      </c>
      <c r="N40" s="6">
        <f t="shared" ca="1" si="6"/>
        <v>470.73649958372431</v>
      </c>
      <c r="O40" s="6">
        <f t="shared" si="7"/>
        <v>15176957.600351669</v>
      </c>
      <c r="P40" s="6">
        <f t="shared" si="8"/>
        <v>0</v>
      </c>
      <c r="Q40" s="6">
        <f t="shared" si="24"/>
        <v>6158604.6001052493</v>
      </c>
      <c r="R40" s="6">
        <f t="shared" si="9"/>
        <v>0</v>
      </c>
      <c r="S40" s="6">
        <f t="shared" ca="1" si="25"/>
        <v>19748896.463114638</v>
      </c>
    </row>
    <row r="41" spans="1:19">
      <c r="A41" s="20">
        <f>'Monthly Data'!A41</f>
        <v>42095</v>
      </c>
      <c r="B41">
        <f t="shared" si="0"/>
        <v>4</v>
      </c>
      <c r="C41">
        <f t="shared" si="1"/>
        <v>2015</v>
      </c>
      <c r="D41" s="6">
        <f>'Monthly Data'!N41</f>
        <v>17741254.020058475</v>
      </c>
      <c r="E41" s="7">
        <f t="shared" ca="1" si="22"/>
        <v>229.95</v>
      </c>
      <c r="F41" s="7">
        <f t="shared" ca="1" si="22"/>
        <v>1.3500000000000003</v>
      </c>
      <c r="G41">
        <f>'Monthly Data'!CF41</f>
        <v>30</v>
      </c>
      <c r="H41">
        <f>'Monthly Data'!CD41</f>
        <v>0</v>
      </c>
      <c r="I41">
        <f>'Monthly Data'!CJ41</f>
        <v>0</v>
      </c>
      <c r="J41">
        <f>'Monthly Data'!P41</f>
        <v>383</v>
      </c>
      <c r="L41" s="6">
        <f t="shared" si="23"/>
        <v>-4550747.7974309605</v>
      </c>
      <c r="M41" s="6">
        <f t="shared" ca="1" si="5"/>
        <v>1652799.8250371383</v>
      </c>
      <c r="N41" s="6">
        <f t="shared" ca="1" si="6"/>
        <v>31774.713721901513</v>
      </c>
      <c r="O41" s="6">
        <f t="shared" si="7"/>
        <v>14687378.322920969</v>
      </c>
      <c r="P41" s="6">
        <f t="shared" si="8"/>
        <v>0</v>
      </c>
      <c r="Q41" s="6">
        <f t="shared" si="24"/>
        <v>6079241.1387636876</v>
      </c>
      <c r="R41" s="6">
        <f t="shared" si="9"/>
        <v>0</v>
      </c>
      <c r="S41" s="6">
        <f t="shared" ca="1" si="25"/>
        <v>17900446.203012735</v>
      </c>
    </row>
    <row r="42" spans="1:19">
      <c r="A42" s="20">
        <f>'Monthly Data'!A42</f>
        <v>42125</v>
      </c>
      <c r="B42">
        <f t="shared" si="0"/>
        <v>5</v>
      </c>
      <c r="C42">
        <f t="shared" si="1"/>
        <v>2015</v>
      </c>
      <c r="D42" s="6">
        <f>'Monthly Data'!N42</f>
        <v>17706825.768221878</v>
      </c>
      <c r="E42" s="7">
        <f t="shared" ca="1" si="22"/>
        <v>79.77000000000001</v>
      </c>
      <c r="F42" s="7">
        <f t="shared" ca="1" si="22"/>
        <v>42.72</v>
      </c>
      <c r="G42">
        <f>'Monthly Data'!CF42</f>
        <v>31</v>
      </c>
      <c r="H42">
        <f>'Monthly Data'!CD42</f>
        <v>0</v>
      </c>
      <c r="I42">
        <f>'Monthly Data'!CJ42</f>
        <v>0</v>
      </c>
      <c r="J42">
        <f>'Monthly Data'!P42</f>
        <v>372</v>
      </c>
      <c r="L42" s="6">
        <f t="shared" si="23"/>
        <v>-4550747.7974309605</v>
      </c>
      <c r="M42" s="6">
        <f t="shared" ca="1" si="5"/>
        <v>573358.73904419458</v>
      </c>
      <c r="N42" s="6">
        <f t="shared" ca="1" si="6"/>
        <v>1005493.1631108387</v>
      </c>
      <c r="O42" s="6">
        <f t="shared" si="7"/>
        <v>15176957.600351669</v>
      </c>
      <c r="P42" s="6">
        <f t="shared" si="8"/>
        <v>0</v>
      </c>
      <c r="Q42" s="6">
        <f t="shared" si="24"/>
        <v>5904641.5238122502</v>
      </c>
      <c r="R42" s="6">
        <f t="shared" si="9"/>
        <v>0</v>
      </c>
      <c r="S42" s="6">
        <f t="shared" ca="1" si="25"/>
        <v>18109703.22888799</v>
      </c>
    </row>
    <row r="43" spans="1:19">
      <c r="A43" s="20">
        <f>'Monthly Data'!A43</f>
        <v>42156</v>
      </c>
      <c r="B43">
        <f t="shared" si="0"/>
        <v>6</v>
      </c>
      <c r="C43">
        <f t="shared" si="1"/>
        <v>2015</v>
      </c>
      <c r="D43" s="6">
        <f>'Monthly Data'!N43</f>
        <v>17937111.298871078</v>
      </c>
      <c r="E43" s="7">
        <f t="shared" ca="1" si="22"/>
        <v>5.16</v>
      </c>
      <c r="F43" s="7">
        <f t="shared" ca="1" si="22"/>
        <v>97.63000000000001</v>
      </c>
      <c r="G43">
        <f>'Monthly Data'!CF43</f>
        <v>30</v>
      </c>
      <c r="H43">
        <f>'Monthly Data'!CD43</f>
        <v>0</v>
      </c>
      <c r="I43">
        <f>'Monthly Data'!CJ43</f>
        <v>0</v>
      </c>
      <c r="J43">
        <f>'Monthly Data'!P43</f>
        <v>373</v>
      </c>
      <c r="L43" s="6">
        <f t="shared" si="23"/>
        <v>-4550747.7974309605</v>
      </c>
      <c r="M43" s="6">
        <f t="shared" ca="1" si="5"/>
        <v>37088.267437232586</v>
      </c>
      <c r="N43" s="6">
        <f t="shared" ca="1" si="6"/>
        <v>2297900.222717959</v>
      </c>
      <c r="O43" s="6">
        <f t="shared" si="7"/>
        <v>14687378.322920969</v>
      </c>
      <c r="P43" s="6">
        <f t="shared" si="8"/>
        <v>0</v>
      </c>
      <c r="Q43" s="6">
        <f t="shared" si="24"/>
        <v>5920514.2160805622</v>
      </c>
      <c r="R43" s="6">
        <f t="shared" si="9"/>
        <v>0</v>
      </c>
      <c r="S43" s="6">
        <f t="shared" ca="1" si="25"/>
        <v>18392133.231725764</v>
      </c>
    </row>
    <row r="44" spans="1:19">
      <c r="A44" s="20">
        <f>'Monthly Data'!A44</f>
        <v>42186</v>
      </c>
      <c r="B44">
        <f t="shared" si="0"/>
        <v>7</v>
      </c>
      <c r="C44">
        <f t="shared" si="1"/>
        <v>2015</v>
      </c>
      <c r="D44" s="6">
        <f>'Monthly Data'!N44</f>
        <v>20524868.937950078</v>
      </c>
      <c r="E44" s="7">
        <f t="shared" ca="1" si="22"/>
        <v>0</v>
      </c>
      <c r="F44" s="7">
        <f t="shared" ca="1" si="22"/>
        <v>172.46999999999997</v>
      </c>
      <c r="G44">
        <f>'Monthly Data'!CF44</f>
        <v>31</v>
      </c>
      <c r="H44">
        <f>'Monthly Data'!CD44</f>
        <v>0</v>
      </c>
      <c r="I44">
        <f>'Monthly Data'!CJ44</f>
        <v>0</v>
      </c>
      <c r="J44">
        <f>'Monthly Data'!P44</f>
        <v>374</v>
      </c>
      <c r="L44" s="6">
        <f t="shared" si="23"/>
        <v>-4550747.7974309605</v>
      </c>
      <c r="M44" s="6">
        <f t="shared" ca="1" si="5"/>
        <v>0</v>
      </c>
      <c r="N44" s="6">
        <f t="shared" ca="1" si="6"/>
        <v>4059396.204160261</v>
      </c>
      <c r="O44" s="6">
        <f t="shared" si="7"/>
        <v>15176957.600351669</v>
      </c>
      <c r="P44" s="6">
        <f t="shared" si="8"/>
        <v>0</v>
      </c>
      <c r="Q44" s="6">
        <f t="shared" si="24"/>
        <v>5936386.9083488751</v>
      </c>
      <c r="R44" s="6">
        <f t="shared" si="9"/>
        <v>0</v>
      </c>
      <c r="S44" s="6">
        <f t="shared" ca="1" si="25"/>
        <v>20621992.915429845</v>
      </c>
    </row>
    <row r="45" spans="1:19">
      <c r="A45" s="20">
        <f>'Monthly Data'!A45</f>
        <v>42217</v>
      </c>
      <c r="B45">
        <f t="shared" si="0"/>
        <v>8</v>
      </c>
      <c r="C45">
        <f t="shared" si="1"/>
        <v>2015</v>
      </c>
      <c r="D45" s="6">
        <f>'Monthly Data'!N45</f>
        <v>19671171.254714578</v>
      </c>
      <c r="E45" s="7">
        <f t="shared" ca="1" si="22"/>
        <v>8.0000000000000071E-2</v>
      </c>
      <c r="F45" s="7">
        <f t="shared" ca="1" si="22"/>
        <v>155.49999999999997</v>
      </c>
      <c r="G45">
        <f>'Monthly Data'!CF45</f>
        <v>31</v>
      </c>
      <c r="H45">
        <f>'Monthly Data'!CD45</f>
        <v>0</v>
      </c>
      <c r="I45">
        <f>'Monthly Data'!CJ45</f>
        <v>0</v>
      </c>
      <c r="J45">
        <f>'Monthly Data'!P45</f>
        <v>375</v>
      </c>
      <c r="L45" s="6">
        <f t="shared" si="23"/>
        <v>-4550747.7974309605</v>
      </c>
      <c r="M45" s="6">
        <f t="shared" ca="1" si="5"/>
        <v>575.01189825166853</v>
      </c>
      <c r="N45" s="6">
        <f t="shared" ca="1" si="6"/>
        <v>3659976.2842634693</v>
      </c>
      <c r="O45" s="6">
        <f t="shared" si="7"/>
        <v>15176957.600351669</v>
      </c>
      <c r="P45" s="6">
        <f t="shared" si="8"/>
        <v>0</v>
      </c>
      <c r="Q45" s="6">
        <f t="shared" si="24"/>
        <v>5952259.6006171871</v>
      </c>
      <c r="R45" s="6">
        <f t="shared" si="9"/>
        <v>0</v>
      </c>
      <c r="S45" s="6">
        <f t="shared" ca="1" si="25"/>
        <v>20239020.699699618</v>
      </c>
    </row>
    <row r="46" spans="1:19">
      <c r="A46" s="20">
        <f>'Monthly Data'!A46</f>
        <v>42248</v>
      </c>
      <c r="B46">
        <f t="shared" si="0"/>
        <v>9</v>
      </c>
      <c r="C46">
        <f t="shared" si="1"/>
        <v>2015</v>
      </c>
      <c r="D46" s="6">
        <f>'Monthly Data'!N46</f>
        <v>19122866.463099476</v>
      </c>
      <c r="E46" s="7">
        <f t="shared" ca="1" si="22"/>
        <v>12.280000000000001</v>
      </c>
      <c r="F46" s="7">
        <f t="shared" ca="1" si="22"/>
        <v>76.13</v>
      </c>
      <c r="G46">
        <f>'Monthly Data'!CF46</f>
        <v>30</v>
      </c>
      <c r="H46">
        <f>'Monthly Data'!CD46</f>
        <v>1</v>
      </c>
      <c r="I46">
        <f>'Monthly Data'!CJ46</f>
        <v>0</v>
      </c>
      <c r="J46">
        <f>'Monthly Data'!P46</f>
        <v>375</v>
      </c>
      <c r="L46" s="6">
        <f t="shared" si="23"/>
        <v>-4550747.7974309605</v>
      </c>
      <c r="M46" s="6">
        <f t="shared" ca="1" si="5"/>
        <v>88264.32638163105</v>
      </c>
      <c r="N46" s="6">
        <f t="shared" ca="1" si="6"/>
        <v>1791858.4856654531</v>
      </c>
      <c r="O46" s="6">
        <f t="shared" si="7"/>
        <v>14687378.322920969</v>
      </c>
      <c r="P46" s="6">
        <f t="shared" si="8"/>
        <v>463327.49867077498</v>
      </c>
      <c r="Q46" s="6">
        <f t="shared" si="24"/>
        <v>5952259.6006171871</v>
      </c>
      <c r="R46" s="6">
        <f t="shared" si="9"/>
        <v>0</v>
      </c>
      <c r="S46" s="6">
        <f t="shared" ca="1" si="25"/>
        <v>18432340.436825056</v>
      </c>
    </row>
    <row r="47" spans="1:19">
      <c r="A47" s="20">
        <f>'Monthly Data'!A47</f>
        <v>42278</v>
      </c>
      <c r="B47">
        <f t="shared" si="0"/>
        <v>10</v>
      </c>
      <c r="C47">
        <f t="shared" si="1"/>
        <v>2015</v>
      </c>
      <c r="D47" s="6">
        <f>'Monthly Data'!N47</f>
        <v>18089215.969800577</v>
      </c>
      <c r="E47" s="7">
        <f t="shared" ca="1" si="22"/>
        <v>111.21000000000001</v>
      </c>
      <c r="F47" s="7">
        <f t="shared" ca="1" si="22"/>
        <v>15.330000000000002</v>
      </c>
      <c r="G47">
        <f>'Monthly Data'!CF47</f>
        <v>31</v>
      </c>
      <c r="H47">
        <f>'Monthly Data'!CD47</f>
        <v>1</v>
      </c>
      <c r="I47">
        <f>'Monthly Data'!CJ47</f>
        <v>0</v>
      </c>
      <c r="J47">
        <f>'Monthly Data'!P47</f>
        <v>376</v>
      </c>
      <c r="L47" s="6">
        <f t="shared" si="23"/>
        <v>-4550747.7974309605</v>
      </c>
      <c r="M47" s="6">
        <f t="shared" ca="1" si="5"/>
        <v>799338.41505710012</v>
      </c>
      <c r="N47" s="6">
        <f t="shared" ca="1" si="6"/>
        <v>360819.52693092608</v>
      </c>
      <c r="O47" s="6">
        <f t="shared" si="7"/>
        <v>15176957.600351669</v>
      </c>
      <c r="P47" s="6">
        <f t="shared" si="8"/>
        <v>463327.49867077498</v>
      </c>
      <c r="Q47" s="6">
        <f t="shared" si="24"/>
        <v>5968132.2928855</v>
      </c>
      <c r="R47" s="6">
        <f t="shared" si="9"/>
        <v>0</v>
      </c>
      <c r="S47" s="6">
        <f t="shared" ca="1" si="25"/>
        <v>18217827.536465012</v>
      </c>
    </row>
    <row r="48" spans="1:19">
      <c r="A48" s="20">
        <f>'Monthly Data'!A48</f>
        <v>42309</v>
      </c>
      <c r="B48">
        <f t="shared" si="0"/>
        <v>11</v>
      </c>
      <c r="C48">
        <f t="shared" si="1"/>
        <v>2015</v>
      </c>
      <c r="D48" s="6">
        <f>'Monthly Data'!N48</f>
        <v>17026534.805204477</v>
      </c>
      <c r="E48" s="7">
        <f t="shared" ca="1" si="22"/>
        <v>297.28000000000003</v>
      </c>
      <c r="F48" s="7">
        <f t="shared" ca="1" si="22"/>
        <v>0.76000000000000012</v>
      </c>
      <c r="G48">
        <f>'Monthly Data'!CF48</f>
        <v>30</v>
      </c>
      <c r="H48">
        <f>'Monthly Data'!CD48</f>
        <v>0</v>
      </c>
      <c r="I48">
        <f>'Monthly Data'!CJ48</f>
        <v>0</v>
      </c>
      <c r="J48">
        <f>'Monthly Data'!P48</f>
        <v>377</v>
      </c>
      <c r="L48" s="6">
        <f t="shared" si="23"/>
        <v>-4550747.7974309605</v>
      </c>
      <c r="M48" s="6">
        <f t="shared" ca="1" si="5"/>
        <v>2136744.2139031985</v>
      </c>
      <c r="N48" s="6">
        <f t="shared" ca="1" si="6"/>
        <v>17887.986984181593</v>
      </c>
      <c r="O48" s="6">
        <f t="shared" si="7"/>
        <v>14687378.322920969</v>
      </c>
      <c r="P48" s="6">
        <f t="shared" si="8"/>
        <v>0</v>
      </c>
      <c r="Q48" s="6">
        <f t="shared" si="24"/>
        <v>5984004.985153812</v>
      </c>
      <c r="R48" s="6">
        <f t="shared" si="9"/>
        <v>0</v>
      </c>
      <c r="S48" s="6">
        <f t="shared" ca="1" si="25"/>
        <v>18275267.7115312</v>
      </c>
    </row>
    <row r="49" spans="1:19">
      <c r="A49" s="20">
        <f>'Monthly Data'!A49</f>
        <v>42339</v>
      </c>
      <c r="B49">
        <f t="shared" si="0"/>
        <v>12</v>
      </c>
      <c r="C49">
        <f t="shared" si="1"/>
        <v>2015</v>
      </c>
      <c r="D49" s="6">
        <f>'Monthly Data'!N49</f>
        <v>19197412.819288578</v>
      </c>
      <c r="E49" s="7">
        <f t="shared" ca="1" si="22"/>
        <v>440.25</v>
      </c>
      <c r="F49" s="7">
        <f t="shared" ca="1" si="22"/>
        <v>0</v>
      </c>
      <c r="G49">
        <f>'Monthly Data'!CF49</f>
        <v>31</v>
      </c>
      <c r="H49">
        <f>'Monthly Data'!CD49</f>
        <v>0</v>
      </c>
      <c r="I49">
        <f>'Monthly Data'!CJ49</f>
        <v>0</v>
      </c>
      <c r="J49">
        <f>'Monthly Data'!P49</f>
        <v>371</v>
      </c>
      <c r="L49" s="6">
        <f t="shared" si="23"/>
        <v>-4550747.7974309605</v>
      </c>
      <c r="M49" s="6">
        <f t="shared" ca="1" si="5"/>
        <v>3164362.3525662106</v>
      </c>
      <c r="N49" s="6">
        <f t="shared" ca="1" si="6"/>
        <v>0</v>
      </c>
      <c r="O49" s="6">
        <f t="shared" si="7"/>
        <v>15176957.600351669</v>
      </c>
      <c r="P49" s="6">
        <f t="shared" si="8"/>
        <v>0</v>
      </c>
      <c r="Q49" s="6">
        <f t="shared" si="24"/>
        <v>5888768.8315439373</v>
      </c>
      <c r="R49" s="6">
        <f t="shared" si="9"/>
        <v>0</v>
      </c>
      <c r="S49" s="6">
        <f t="shared" ca="1" si="25"/>
        <v>19679340.987030856</v>
      </c>
    </row>
    <row r="50" spans="1:19">
      <c r="A50" s="20">
        <f>'Monthly Data'!A50</f>
        <v>42370</v>
      </c>
      <c r="B50">
        <f t="shared" si="0"/>
        <v>1</v>
      </c>
      <c r="C50">
        <f t="shared" si="1"/>
        <v>2016</v>
      </c>
      <c r="D50" s="6">
        <f>'Monthly Data'!N50</f>
        <v>20964753.748990208</v>
      </c>
      <c r="E50" s="7">
        <f t="shared" ref="E50:F69" ca="1" si="26">E38</f>
        <v>564.86</v>
      </c>
      <c r="F50" s="7">
        <f t="shared" ca="1" si="26"/>
        <v>0</v>
      </c>
      <c r="G50">
        <f>'Monthly Data'!CF50</f>
        <v>31</v>
      </c>
      <c r="H50">
        <f>'Monthly Data'!CD50</f>
        <v>0</v>
      </c>
      <c r="I50">
        <f>'Monthly Data'!CJ50</f>
        <v>0</v>
      </c>
      <c r="J50">
        <f>'Monthly Data'!P50</f>
        <v>378</v>
      </c>
      <c r="L50" s="6">
        <f t="shared" si="23"/>
        <v>-4550747.7974309605</v>
      </c>
      <c r="M50" s="6">
        <f t="shared" ca="1" si="5"/>
        <v>4060015.2605804652</v>
      </c>
      <c r="N50" s="6">
        <f t="shared" ca="1" si="6"/>
        <v>0</v>
      </c>
      <c r="O50" s="6">
        <f t="shared" si="7"/>
        <v>15176957.600351669</v>
      </c>
      <c r="P50" s="6">
        <f t="shared" si="8"/>
        <v>0</v>
      </c>
      <c r="Q50" s="6">
        <f t="shared" si="24"/>
        <v>5999877.6774221249</v>
      </c>
      <c r="R50" s="6">
        <f t="shared" si="9"/>
        <v>0</v>
      </c>
      <c r="S50" s="6">
        <f t="shared" ca="1" si="25"/>
        <v>20686102.7409233</v>
      </c>
    </row>
    <row r="51" spans="1:19">
      <c r="A51" s="20">
        <f>'Monthly Data'!A51</f>
        <v>42401</v>
      </c>
      <c r="B51">
        <f t="shared" si="0"/>
        <v>2</v>
      </c>
      <c r="C51">
        <f t="shared" si="1"/>
        <v>2016</v>
      </c>
      <c r="D51" s="6">
        <f>'Monthly Data'!N51</f>
        <v>19381333.29994791</v>
      </c>
      <c r="E51" s="7">
        <f t="shared" ca="1" si="26"/>
        <v>516.43000000000006</v>
      </c>
      <c r="F51" s="7">
        <f t="shared" ca="1" si="26"/>
        <v>0</v>
      </c>
      <c r="G51">
        <f>'Monthly Data'!CF51</f>
        <v>29</v>
      </c>
      <c r="H51">
        <f>'Monthly Data'!CD51</f>
        <v>0</v>
      </c>
      <c r="I51">
        <f>'Monthly Data'!CJ51</f>
        <v>0</v>
      </c>
      <c r="J51">
        <f>'Monthly Data'!P51</f>
        <v>384</v>
      </c>
      <c r="L51" s="6">
        <f t="shared" si="23"/>
        <v>-4550747.7974309605</v>
      </c>
      <c r="M51" s="6">
        <f t="shared" ca="1" si="5"/>
        <v>3711917.4326763619</v>
      </c>
      <c r="N51" s="6">
        <f t="shared" ca="1" si="6"/>
        <v>0</v>
      </c>
      <c r="O51" s="6">
        <f t="shared" si="7"/>
        <v>14197799.04549027</v>
      </c>
      <c r="P51" s="6">
        <f t="shared" si="8"/>
        <v>0</v>
      </c>
      <c r="Q51" s="6">
        <f t="shared" si="24"/>
        <v>6095113.8310319996</v>
      </c>
      <c r="R51" s="6">
        <f t="shared" si="9"/>
        <v>0</v>
      </c>
      <c r="S51" s="6">
        <f t="shared" ca="1" si="25"/>
        <v>19454082.511767671</v>
      </c>
    </row>
    <row r="52" spans="1:19">
      <c r="A52" s="20">
        <f>'Monthly Data'!A52</f>
        <v>42430</v>
      </c>
      <c r="B52">
        <f t="shared" si="0"/>
        <v>3</v>
      </c>
      <c r="C52">
        <f t="shared" si="1"/>
        <v>2016</v>
      </c>
      <c r="D52" s="6">
        <f>'Monthly Data'!N52</f>
        <v>19024870.469088204</v>
      </c>
      <c r="E52" s="7">
        <f t="shared" ca="1" si="26"/>
        <v>412.32</v>
      </c>
      <c r="F52" s="7">
        <f t="shared" ca="1" si="26"/>
        <v>1.9999999999999928E-2</v>
      </c>
      <c r="G52">
        <f>'Monthly Data'!CF52</f>
        <v>31</v>
      </c>
      <c r="H52">
        <f>'Monthly Data'!CD52</f>
        <v>0</v>
      </c>
      <c r="I52">
        <f>'Monthly Data'!CJ52</f>
        <v>0</v>
      </c>
      <c r="J52">
        <f>'Monthly Data'!P52</f>
        <v>382</v>
      </c>
      <c r="L52" s="6">
        <f t="shared" si="23"/>
        <v>-4550747.7974309605</v>
      </c>
      <c r="M52" s="6">
        <f t="shared" ca="1" si="5"/>
        <v>2963611.3235890968</v>
      </c>
      <c r="N52" s="6">
        <f t="shared" ca="1" si="6"/>
        <v>470.73649958372431</v>
      </c>
      <c r="O52" s="6">
        <f t="shared" si="7"/>
        <v>15176957.600351669</v>
      </c>
      <c r="P52" s="6">
        <f t="shared" si="8"/>
        <v>0</v>
      </c>
      <c r="Q52" s="6">
        <f t="shared" si="24"/>
        <v>6063368.4464953747</v>
      </c>
      <c r="R52" s="6">
        <f t="shared" si="9"/>
        <v>0</v>
      </c>
      <c r="S52" s="6">
        <f t="shared" ca="1" si="25"/>
        <v>19653660.309504762</v>
      </c>
    </row>
    <row r="53" spans="1:19">
      <c r="A53" s="20">
        <f>'Monthly Data'!A53</f>
        <v>42461</v>
      </c>
      <c r="B53">
        <f t="shared" si="0"/>
        <v>4</v>
      </c>
      <c r="C53">
        <f t="shared" si="1"/>
        <v>2016</v>
      </c>
      <c r="D53" s="6">
        <f>'Monthly Data'!N53</f>
        <v>17881855.054593407</v>
      </c>
      <c r="E53" s="7">
        <f t="shared" ca="1" si="26"/>
        <v>229.95</v>
      </c>
      <c r="F53" s="7">
        <f t="shared" ca="1" si="26"/>
        <v>1.3500000000000003</v>
      </c>
      <c r="G53">
        <f>'Monthly Data'!CF53</f>
        <v>30</v>
      </c>
      <c r="H53">
        <f>'Monthly Data'!CD53</f>
        <v>0</v>
      </c>
      <c r="I53">
        <f>'Monthly Data'!CJ53</f>
        <v>0</v>
      </c>
      <c r="J53">
        <f>'Monthly Data'!P53</f>
        <v>382</v>
      </c>
      <c r="L53" s="6">
        <f t="shared" si="23"/>
        <v>-4550747.7974309605</v>
      </c>
      <c r="M53" s="6">
        <f t="shared" ca="1" si="5"/>
        <v>1652799.8250371383</v>
      </c>
      <c r="N53" s="6">
        <f t="shared" ca="1" si="6"/>
        <v>31774.713721901513</v>
      </c>
      <c r="O53" s="6">
        <f t="shared" si="7"/>
        <v>14687378.322920969</v>
      </c>
      <c r="P53" s="6">
        <f t="shared" si="8"/>
        <v>0</v>
      </c>
      <c r="Q53" s="6">
        <f t="shared" si="24"/>
        <v>6063368.4464953747</v>
      </c>
      <c r="R53" s="6">
        <f t="shared" si="9"/>
        <v>0</v>
      </c>
      <c r="S53" s="6">
        <f t="shared" ca="1" si="25"/>
        <v>17884573.510744423</v>
      </c>
    </row>
    <row r="54" spans="1:19">
      <c r="A54" s="20">
        <f>'Monthly Data'!A54</f>
        <v>42491</v>
      </c>
      <c r="B54">
        <f t="shared" si="0"/>
        <v>5</v>
      </c>
      <c r="C54">
        <f t="shared" si="1"/>
        <v>2016</v>
      </c>
      <c r="D54" s="6">
        <f>'Monthly Data'!N54</f>
        <v>18761773.513984606</v>
      </c>
      <c r="E54" s="7">
        <f t="shared" ca="1" si="26"/>
        <v>79.77000000000001</v>
      </c>
      <c r="F54" s="7">
        <f t="shared" ca="1" si="26"/>
        <v>42.72</v>
      </c>
      <c r="G54">
        <f>'Monthly Data'!CF54</f>
        <v>31</v>
      </c>
      <c r="H54">
        <f>'Monthly Data'!CD54</f>
        <v>0</v>
      </c>
      <c r="I54">
        <f>'Monthly Data'!CJ54</f>
        <v>0</v>
      </c>
      <c r="J54">
        <f>'Monthly Data'!P54</f>
        <v>371</v>
      </c>
      <c r="L54" s="6">
        <f t="shared" si="23"/>
        <v>-4550747.7974309605</v>
      </c>
      <c r="M54" s="6">
        <f t="shared" ca="1" si="5"/>
        <v>573358.73904419458</v>
      </c>
      <c r="N54" s="6">
        <f t="shared" ca="1" si="6"/>
        <v>1005493.1631108387</v>
      </c>
      <c r="O54" s="6">
        <f t="shared" si="7"/>
        <v>15176957.600351669</v>
      </c>
      <c r="P54" s="6">
        <f t="shared" si="8"/>
        <v>0</v>
      </c>
      <c r="Q54" s="6">
        <f t="shared" si="24"/>
        <v>5888768.8315439373</v>
      </c>
      <c r="R54" s="6">
        <f t="shared" si="9"/>
        <v>0</v>
      </c>
      <c r="S54" s="6">
        <f t="shared" ca="1" si="25"/>
        <v>18093830.536619678</v>
      </c>
    </row>
    <row r="55" spans="1:19">
      <c r="A55" s="20">
        <f>'Monthly Data'!A55</f>
        <v>42522</v>
      </c>
      <c r="B55">
        <f t="shared" si="0"/>
        <v>6</v>
      </c>
      <c r="C55">
        <f t="shared" si="1"/>
        <v>2016</v>
      </c>
      <c r="D55" s="6">
        <f>'Monthly Data'!N55</f>
        <v>19128253.869357608</v>
      </c>
      <c r="E55" s="7">
        <f t="shared" ca="1" si="26"/>
        <v>5.16</v>
      </c>
      <c r="F55" s="7">
        <f t="shared" ca="1" si="26"/>
        <v>97.63000000000001</v>
      </c>
      <c r="G55">
        <f>'Monthly Data'!CF55</f>
        <v>30</v>
      </c>
      <c r="H55">
        <f>'Monthly Data'!CD55</f>
        <v>0</v>
      </c>
      <c r="I55">
        <f>'Monthly Data'!CJ55</f>
        <v>0</v>
      </c>
      <c r="J55">
        <f>'Monthly Data'!P55</f>
        <v>370</v>
      </c>
      <c r="L55" s="6">
        <f t="shared" si="23"/>
        <v>-4550747.7974309605</v>
      </c>
      <c r="M55" s="6">
        <f t="shared" ca="1" si="5"/>
        <v>37088.267437232586</v>
      </c>
      <c r="N55" s="6">
        <f t="shared" ca="1" si="6"/>
        <v>2297900.222717959</v>
      </c>
      <c r="O55" s="6">
        <f t="shared" si="7"/>
        <v>14687378.322920969</v>
      </c>
      <c r="P55" s="6">
        <f t="shared" si="8"/>
        <v>0</v>
      </c>
      <c r="Q55" s="6">
        <f t="shared" si="24"/>
        <v>5872896.1392756244</v>
      </c>
      <c r="R55" s="6">
        <f t="shared" si="9"/>
        <v>0</v>
      </c>
      <c r="S55" s="6">
        <f t="shared" ca="1" si="25"/>
        <v>18344515.154920824</v>
      </c>
    </row>
    <row r="56" spans="1:19">
      <c r="A56" s="20">
        <f>'Monthly Data'!A56</f>
        <v>42552</v>
      </c>
      <c r="B56">
        <f t="shared" si="0"/>
        <v>7</v>
      </c>
      <c r="C56">
        <f t="shared" si="1"/>
        <v>2016</v>
      </c>
      <c r="D56" s="6">
        <f>'Monthly Data'!N56</f>
        <v>20805794.785203606</v>
      </c>
      <c r="E56" s="7">
        <f t="shared" ca="1" si="26"/>
        <v>0</v>
      </c>
      <c r="F56" s="7">
        <f t="shared" ca="1" si="26"/>
        <v>172.46999999999997</v>
      </c>
      <c r="G56">
        <f>'Monthly Data'!CF56</f>
        <v>31</v>
      </c>
      <c r="H56">
        <f>'Monthly Data'!CD56</f>
        <v>0</v>
      </c>
      <c r="I56">
        <f>'Monthly Data'!CJ56</f>
        <v>0</v>
      </c>
      <c r="J56">
        <f>'Monthly Data'!P56</f>
        <v>371</v>
      </c>
      <c r="L56" s="6">
        <f t="shared" si="23"/>
        <v>-4550747.7974309605</v>
      </c>
      <c r="M56" s="6">
        <f t="shared" ca="1" si="5"/>
        <v>0</v>
      </c>
      <c r="N56" s="6">
        <f t="shared" ca="1" si="6"/>
        <v>4059396.204160261</v>
      </c>
      <c r="O56" s="6">
        <f t="shared" si="7"/>
        <v>15176957.600351669</v>
      </c>
      <c r="P56" s="6">
        <f t="shared" si="8"/>
        <v>0</v>
      </c>
      <c r="Q56" s="6">
        <f t="shared" si="24"/>
        <v>5888768.8315439373</v>
      </c>
      <c r="R56" s="6">
        <f t="shared" si="9"/>
        <v>0</v>
      </c>
      <c r="S56" s="6">
        <f t="shared" ca="1" si="25"/>
        <v>20574374.838624906</v>
      </c>
    </row>
    <row r="57" spans="1:19">
      <c r="A57" s="20">
        <f>'Monthly Data'!A57</f>
        <v>42583</v>
      </c>
      <c r="B57">
        <f t="shared" si="0"/>
        <v>8</v>
      </c>
      <c r="C57">
        <f t="shared" si="1"/>
        <v>2016</v>
      </c>
      <c r="D57" s="6">
        <f>'Monthly Data'!N57</f>
        <v>22155803.565557607</v>
      </c>
      <c r="E57" s="7">
        <f t="shared" ca="1" si="26"/>
        <v>8.0000000000000071E-2</v>
      </c>
      <c r="F57" s="7">
        <f t="shared" ca="1" si="26"/>
        <v>155.49999999999997</v>
      </c>
      <c r="G57">
        <f>'Monthly Data'!CF57</f>
        <v>31</v>
      </c>
      <c r="H57">
        <f>'Monthly Data'!CD57</f>
        <v>0</v>
      </c>
      <c r="I57">
        <f>'Monthly Data'!CJ57</f>
        <v>0</v>
      </c>
      <c r="J57">
        <f>'Monthly Data'!P57</f>
        <v>374</v>
      </c>
      <c r="L57" s="6">
        <f t="shared" si="23"/>
        <v>-4550747.7974309605</v>
      </c>
      <c r="M57" s="6">
        <f t="shared" ca="1" si="5"/>
        <v>575.01189825166853</v>
      </c>
      <c r="N57" s="6">
        <f t="shared" ca="1" si="6"/>
        <v>3659976.2842634693</v>
      </c>
      <c r="O57" s="6">
        <f t="shared" si="7"/>
        <v>15176957.600351669</v>
      </c>
      <c r="P57" s="6">
        <f t="shared" si="8"/>
        <v>0</v>
      </c>
      <c r="Q57" s="6">
        <f t="shared" si="24"/>
        <v>5936386.9083488751</v>
      </c>
      <c r="R57" s="6">
        <f t="shared" si="9"/>
        <v>0</v>
      </c>
      <c r="S57" s="6">
        <f t="shared" ca="1" si="25"/>
        <v>20223148.007431306</v>
      </c>
    </row>
    <row r="58" spans="1:19">
      <c r="A58" s="20">
        <f>'Monthly Data'!A58</f>
        <v>42614</v>
      </c>
      <c r="B58">
        <f t="shared" si="0"/>
        <v>9</v>
      </c>
      <c r="C58">
        <f t="shared" si="1"/>
        <v>2016</v>
      </c>
      <c r="D58" s="6">
        <f>'Monthly Data'!N58</f>
        <v>19008676.995803408</v>
      </c>
      <c r="E58" s="7">
        <f t="shared" ca="1" si="26"/>
        <v>12.280000000000001</v>
      </c>
      <c r="F58" s="7">
        <f t="shared" ca="1" si="26"/>
        <v>76.13</v>
      </c>
      <c r="G58">
        <f>'Monthly Data'!CF58</f>
        <v>30</v>
      </c>
      <c r="H58">
        <f>'Monthly Data'!CD58</f>
        <v>1</v>
      </c>
      <c r="I58">
        <f>'Monthly Data'!CJ58</f>
        <v>0</v>
      </c>
      <c r="J58">
        <f>'Monthly Data'!P58</f>
        <v>375</v>
      </c>
      <c r="L58" s="6">
        <f t="shared" si="23"/>
        <v>-4550747.7974309605</v>
      </c>
      <c r="M58" s="6">
        <f t="shared" ca="1" si="5"/>
        <v>88264.32638163105</v>
      </c>
      <c r="N58" s="6">
        <f t="shared" ca="1" si="6"/>
        <v>1791858.4856654531</v>
      </c>
      <c r="O58" s="6">
        <f t="shared" si="7"/>
        <v>14687378.322920969</v>
      </c>
      <c r="P58" s="6">
        <f t="shared" si="8"/>
        <v>463327.49867077498</v>
      </c>
      <c r="Q58" s="6">
        <f t="shared" si="24"/>
        <v>5952259.6006171871</v>
      </c>
      <c r="R58" s="6">
        <f t="shared" si="9"/>
        <v>0</v>
      </c>
      <c r="S58" s="6">
        <f t="shared" ca="1" si="25"/>
        <v>18432340.436825056</v>
      </c>
    </row>
    <row r="59" spans="1:19">
      <c r="A59" s="20">
        <f>'Monthly Data'!A59</f>
        <v>42644</v>
      </c>
      <c r="B59">
        <f t="shared" si="0"/>
        <v>10</v>
      </c>
      <c r="C59">
        <f t="shared" si="1"/>
        <v>2016</v>
      </c>
      <c r="D59" s="6">
        <f>'Monthly Data'!N59</f>
        <v>18392236.257128105</v>
      </c>
      <c r="E59" s="7">
        <f t="shared" ca="1" si="26"/>
        <v>111.21000000000001</v>
      </c>
      <c r="F59" s="7">
        <f t="shared" ca="1" si="26"/>
        <v>15.330000000000002</v>
      </c>
      <c r="G59">
        <f>'Monthly Data'!CF59</f>
        <v>31</v>
      </c>
      <c r="H59">
        <f>'Monthly Data'!CD59</f>
        <v>1</v>
      </c>
      <c r="I59">
        <f>'Monthly Data'!CJ59</f>
        <v>0</v>
      </c>
      <c r="J59">
        <f>'Monthly Data'!P59</f>
        <v>371</v>
      </c>
      <c r="L59" s="6">
        <f t="shared" si="23"/>
        <v>-4550747.7974309605</v>
      </c>
      <c r="M59" s="6">
        <f t="shared" ca="1" si="5"/>
        <v>799338.41505710012</v>
      </c>
      <c r="N59" s="6">
        <f t="shared" ca="1" si="6"/>
        <v>360819.52693092608</v>
      </c>
      <c r="O59" s="6">
        <f t="shared" si="7"/>
        <v>15176957.600351669</v>
      </c>
      <c r="P59" s="6">
        <f t="shared" si="8"/>
        <v>463327.49867077498</v>
      </c>
      <c r="Q59" s="6">
        <f t="shared" si="24"/>
        <v>5888768.8315439373</v>
      </c>
      <c r="R59" s="6">
        <f t="shared" si="9"/>
        <v>0</v>
      </c>
      <c r="S59" s="6">
        <f t="shared" ca="1" si="25"/>
        <v>18138464.075123448</v>
      </c>
    </row>
    <row r="60" spans="1:19">
      <c r="A60" s="20">
        <f>'Monthly Data'!A60</f>
        <v>42675</v>
      </c>
      <c r="B60">
        <f t="shared" si="0"/>
        <v>11</v>
      </c>
      <c r="C60">
        <f t="shared" si="1"/>
        <v>2016</v>
      </c>
      <c r="D60" s="6">
        <f>'Monthly Data'!N60</f>
        <v>17676235.196301106</v>
      </c>
      <c r="E60" s="7">
        <f t="shared" ca="1" si="26"/>
        <v>297.28000000000003</v>
      </c>
      <c r="F60" s="7">
        <f t="shared" ca="1" si="26"/>
        <v>0.76000000000000012</v>
      </c>
      <c r="G60">
        <f>'Monthly Data'!CF60</f>
        <v>30</v>
      </c>
      <c r="H60">
        <f>'Monthly Data'!CD60</f>
        <v>0</v>
      </c>
      <c r="I60">
        <f>'Monthly Data'!CJ60</f>
        <v>0</v>
      </c>
      <c r="J60">
        <f>'Monthly Data'!P60</f>
        <v>371</v>
      </c>
      <c r="L60" s="6">
        <f t="shared" si="23"/>
        <v>-4550747.7974309605</v>
      </c>
      <c r="M60" s="6">
        <f t="shared" ca="1" si="5"/>
        <v>2136744.2139031985</v>
      </c>
      <c r="N60" s="6">
        <f t="shared" ca="1" si="6"/>
        <v>17887.986984181593</v>
      </c>
      <c r="O60" s="6">
        <f t="shared" si="7"/>
        <v>14687378.322920969</v>
      </c>
      <c r="P60" s="6">
        <f t="shared" si="8"/>
        <v>0</v>
      </c>
      <c r="Q60" s="6">
        <f t="shared" si="24"/>
        <v>5888768.8315439373</v>
      </c>
      <c r="R60" s="6">
        <f t="shared" si="9"/>
        <v>0</v>
      </c>
      <c r="S60" s="6">
        <f t="shared" ca="1" si="25"/>
        <v>18180031.557921328</v>
      </c>
    </row>
    <row r="61" spans="1:19">
      <c r="A61" s="20">
        <f>'Monthly Data'!A61</f>
        <v>42705</v>
      </c>
      <c r="B61">
        <f t="shared" si="0"/>
        <v>12</v>
      </c>
      <c r="C61">
        <f t="shared" si="1"/>
        <v>2016</v>
      </c>
      <c r="D61" s="6">
        <f>'Monthly Data'!N61</f>
        <v>19445977.594531007</v>
      </c>
      <c r="E61" s="7">
        <f t="shared" ca="1" si="26"/>
        <v>440.25</v>
      </c>
      <c r="F61" s="7">
        <f t="shared" ca="1" si="26"/>
        <v>0</v>
      </c>
      <c r="G61">
        <f>'Monthly Data'!CF61</f>
        <v>31</v>
      </c>
      <c r="H61">
        <f>'Monthly Data'!CD61</f>
        <v>0</v>
      </c>
      <c r="I61">
        <f>'Monthly Data'!CJ61</f>
        <v>0</v>
      </c>
      <c r="J61">
        <f>'Monthly Data'!P61</f>
        <v>371</v>
      </c>
      <c r="L61" s="6">
        <f t="shared" si="23"/>
        <v>-4550747.7974309605</v>
      </c>
      <c r="M61" s="6">
        <f t="shared" ca="1" si="5"/>
        <v>3164362.3525662106</v>
      </c>
      <c r="N61" s="6">
        <f t="shared" ca="1" si="6"/>
        <v>0</v>
      </c>
      <c r="O61" s="6">
        <f t="shared" si="7"/>
        <v>15176957.600351669</v>
      </c>
      <c r="P61" s="6">
        <f t="shared" si="8"/>
        <v>0</v>
      </c>
      <c r="Q61" s="6">
        <f t="shared" si="24"/>
        <v>5888768.8315439373</v>
      </c>
      <c r="R61" s="6">
        <f t="shared" si="9"/>
        <v>0</v>
      </c>
      <c r="S61" s="6">
        <f t="shared" ca="1" si="25"/>
        <v>19679340.987030856</v>
      </c>
    </row>
    <row r="62" spans="1:19">
      <c r="A62" s="20">
        <f>'Monthly Data'!A62</f>
        <v>42736</v>
      </c>
      <c r="B62">
        <f t="shared" si="0"/>
        <v>1</v>
      </c>
      <c r="C62">
        <f t="shared" si="1"/>
        <v>2017</v>
      </c>
      <c r="D62" s="6">
        <f>'Monthly Data'!N62</f>
        <v>20405050.233825203</v>
      </c>
      <c r="E62" s="7">
        <f t="shared" ca="1" si="26"/>
        <v>564.86</v>
      </c>
      <c r="F62" s="7">
        <f t="shared" ca="1" si="26"/>
        <v>0</v>
      </c>
      <c r="G62">
        <f>'Monthly Data'!CF62</f>
        <v>31</v>
      </c>
      <c r="H62">
        <f>'Monthly Data'!CD62</f>
        <v>0</v>
      </c>
      <c r="I62">
        <f>'Monthly Data'!CJ62</f>
        <v>0</v>
      </c>
      <c r="J62">
        <f>'Monthly Data'!P62</f>
        <v>384</v>
      </c>
      <c r="L62" s="6">
        <f t="shared" si="23"/>
        <v>-4550747.7974309605</v>
      </c>
      <c r="M62" s="6">
        <f t="shared" ca="1" si="5"/>
        <v>4060015.2605804652</v>
      </c>
      <c r="N62" s="6">
        <f t="shared" ca="1" si="6"/>
        <v>0</v>
      </c>
      <c r="O62" s="6">
        <f t="shared" si="7"/>
        <v>15176957.600351669</v>
      </c>
      <c r="P62" s="6">
        <f t="shared" si="8"/>
        <v>0</v>
      </c>
      <c r="Q62" s="6">
        <f t="shared" si="24"/>
        <v>6095113.8310319996</v>
      </c>
      <c r="R62" s="6">
        <f t="shared" si="9"/>
        <v>0</v>
      </c>
      <c r="S62" s="6">
        <f t="shared" ca="1" si="25"/>
        <v>20781338.894533172</v>
      </c>
    </row>
    <row r="63" spans="1:19">
      <c r="A63" s="20">
        <f>'Monthly Data'!A63</f>
        <v>42767</v>
      </c>
      <c r="B63">
        <f t="shared" si="0"/>
        <v>2</v>
      </c>
      <c r="C63">
        <f t="shared" si="1"/>
        <v>2017</v>
      </c>
      <c r="D63" s="6">
        <f>'Monthly Data'!N63</f>
        <v>18530113.296418317</v>
      </c>
      <c r="E63" s="7">
        <f t="shared" ca="1" si="26"/>
        <v>516.43000000000006</v>
      </c>
      <c r="F63" s="7">
        <f t="shared" ca="1" si="26"/>
        <v>0</v>
      </c>
      <c r="G63">
        <f>'Monthly Data'!CF63</f>
        <v>28</v>
      </c>
      <c r="H63">
        <f>'Monthly Data'!CD63</f>
        <v>0</v>
      </c>
      <c r="I63">
        <f>'Monthly Data'!CJ63</f>
        <v>0</v>
      </c>
      <c r="J63">
        <f>'Monthly Data'!P63</f>
        <v>385</v>
      </c>
      <c r="L63" s="6">
        <f t="shared" si="23"/>
        <v>-4550747.7974309605</v>
      </c>
      <c r="M63" s="6">
        <f t="shared" ca="1" si="5"/>
        <v>3711917.4326763619</v>
      </c>
      <c r="N63" s="6">
        <f t="shared" ca="1" si="6"/>
        <v>0</v>
      </c>
      <c r="O63" s="6">
        <f t="shared" si="7"/>
        <v>13708219.76805957</v>
      </c>
      <c r="P63" s="6">
        <f t="shared" si="8"/>
        <v>0</v>
      </c>
      <c r="Q63" s="6">
        <f t="shared" si="24"/>
        <v>6110986.5233003125</v>
      </c>
      <c r="R63" s="6">
        <f t="shared" si="9"/>
        <v>0</v>
      </c>
      <c r="S63" s="6">
        <f t="shared" ca="1" si="25"/>
        <v>18980375.926605284</v>
      </c>
    </row>
    <row r="64" spans="1:19">
      <c r="A64" s="20">
        <f>'Monthly Data'!A64</f>
        <v>42795</v>
      </c>
      <c r="B64">
        <f t="shared" si="0"/>
        <v>3</v>
      </c>
      <c r="C64">
        <f t="shared" si="1"/>
        <v>2017</v>
      </c>
      <c r="D64" s="6">
        <f>'Monthly Data'!N64</f>
        <v>19458491.460847396</v>
      </c>
      <c r="E64" s="7">
        <f t="shared" ca="1" si="26"/>
        <v>412.32</v>
      </c>
      <c r="F64" s="7">
        <f t="shared" ca="1" si="26"/>
        <v>1.9999999999999928E-2</v>
      </c>
      <c r="G64">
        <f>'Monthly Data'!CF64</f>
        <v>31</v>
      </c>
      <c r="H64">
        <f>'Monthly Data'!CD64</f>
        <v>0</v>
      </c>
      <c r="I64">
        <f>'Monthly Data'!CJ64</f>
        <v>0</v>
      </c>
      <c r="J64">
        <f>'Monthly Data'!P64</f>
        <v>385</v>
      </c>
      <c r="L64" s="6">
        <f t="shared" si="23"/>
        <v>-4550747.7974309605</v>
      </c>
      <c r="M64" s="6">
        <f t="shared" ca="1" si="5"/>
        <v>2963611.3235890968</v>
      </c>
      <c r="N64" s="6">
        <f t="shared" ca="1" si="6"/>
        <v>470.73649958372431</v>
      </c>
      <c r="O64" s="6">
        <f t="shared" si="7"/>
        <v>15176957.600351669</v>
      </c>
      <c r="P64" s="6">
        <f t="shared" si="8"/>
        <v>0</v>
      </c>
      <c r="Q64" s="6">
        <f t="shared" si="24"/>
        <v>6110986.5233003125</v>
      </c>
      <c r="R64" s="6">
        <f t="shared" si="9"/>
        <v>0</v>
      </c>
      <c r="S64" s="6">
        <f t="shared" ca="1" si="25"/>
        <v>19701278.386309702</v>
      </c>
    </row>
    <row r="65" spans="1:19">
      <c r="A65" s="20">
        <f>'Monthly Data'!A65</f>
        <v>42826</v>
      </c>
      <c r="B65">
        <f t="shared" si="0"/>
        <v>4</v>
      </c>
      <c r="C65">
        <f t="shared" si="1"/>
        <v>2017</v>
      </c>
      <c r="D65" s="6">
        <f>'Monthly Data'!N65</f>
        <v>17068111.602635372</v>
      </c>
      <c r="E65" s="7">
        <f t="shared" ca="1" si="26"/>
        <v>229.95</v>
      </c>
      <c r="F65" s="7">
        <f t="shared" ca="1" si="26"/>
        <v>1.3500000000000003</v>
      </c>
      <c r="G65">
        <f>'Monthly Data'!CF65</f>
        <v>30</v>
      </c>
      <c r="H65">
        <f>'Monthly Data'!CD65</f>
        <v>0</v>
      </c>
      <c r="I65">
        <f>'Monthly Data'!CJ65</f>
        <v>0</v>
      </c>
      <c r="J65">
        <f>'Monthly Data'!P65</f>
        <v>384</v>
      </c>
      <c r="L65" s="6">
        <f t="shared" si="23"/>
        <v>-4550747.7974309605</v>
      </c>
      <c r="M65" s="6">
        <f t="shared" ca="1" si="5"/>
        <v>1652799.8250371383</v>
      </c>
      <c r="N65" s="6">
        <f t="shared" ca="1" si="6"/>
        <v>31774.713721901513</v>
      </c>
      <c r="O65" s="6">
        <f t="shared" si="7"/>
        <v>14687378.322920969</v>
      </c>
      <c r="P65" s="6">
        <f t="shared" si="8"/>
        <v>0</v>
      </c>
      <c r="Q65" s="6">
        <f t="shared" si="24"/>
        <v>6095113.8310319996</v>
      </c>
      <c r="R65" s="6">
        <f t="shared" si="9"/>
        <v>0</v>
      </c>
      <c r="S65" s="6">
        <f t="shared" ca="1" si="25"/>
        <v>17916318.895281047</v>
      </c>
    </row>
    <row r="66" spans="1:19">
      <c r="A66" s="20">
        <f>'Monthly Data'!A66</f>
        <v>42856</v>
      </c>
      <c r="B66">
        <f t="shared" ref="B66:B95" si="27">MONTH(A66)</f>
        <v>5</v>
      </c>
      <c r="C66">
        <f t="shared" ref="C66:C95" si="28">YEAR(A66)</f>
        <v>2017</v>
      </c>
      <c r="D66" s="6">
        <f>'Monthly Data'!N66</f>
        <v>17303329.619864244</v>
      </c>
      <c r="E66" s="7">
        <f t="shared" ca="1" si="26"/>
        <v>79.77000000000001</v>
      </c>
      <c r="F66" s="7">
        <f t="shared" ca="1" si="26"/>
        <v>42.72</v>
      </c>
      <c r="G66">
        <f>'Monthly Data'!CF66</f>
        <v>31</v>
      </c>
      <c r="H66">
        <f>'Monthly Data'!CD66</f>
        <v>0</v>
      </c>
      <c r="I66">
        <f>'Monthly Data'!CJ66</f>
        <v>0</v>
      </c>
      <c r="J66">
        <f>'Monthly Data'!P66</f>
        <v>383</v>
      </c>
      <c r="L66" s="6">
        <f t="shared" ref="L66:L97" si="29">$V$7</f>
        <v>-4550747.7974309605</v>
      </c>
      <c r="M66" s="6">
        <f t="shared" ca="1" si="5"/>
        <v>573358.73904419458</v>
      </c>
      <c r="N66" s="6">
        <f t="shared" ca="1" si="6"/>
        <v>1005493.1631108387</v>
      </c>
      <c r="O66" s="6">
        <f t="shared" si="7"/>
        <v>15176957.600351669</v>
      </c>
      <c r="P66" s="6">
        <f t="shared" si="8"/>
        <v>0</v>
      </c>
      <c r="Q66" s="6">
        <f t="shared" ref="Q66:Q97" si="30">J66*$V$12</f>
        <v>6079241.1387636876</v>
      </c>
      <c r="R66" s="6">
        <f t="shared" si="9"/>
        <v>0</v>
      </c>
      <c r="S66" s="6">
        <f t="shared" ref="S66:S97" ca="1" si="31">SUM(L66:R66)</f>
        <v>18284302.843839429</v>
      </c>
    </row>
    <row r="67" spans="1:19">
      <c r="A67" s="20">
        <f>'Monthly Data'!A67</f>
        <v>42887</v>
      </c>
      <c r="B67">
        <f t="shared" si="27"/>
        <v>6</v>
      </c>
      <c r="C67">
        <f t="shared" si="28"/>
        <v>2017</v>
      </c>
      <c r="D67" s="6">
        <f>'Monthly Data'!N67</f>
        <v>18723157.860614162</v>
      </c>
      <c r="E67" s="7">
        <f t="shared" ca="1" si="26"/>
        <v>5.16</v>
      </c>
      <c r="F67" s="7">
        <f t="shared" ca="1" si="26"/>
        <v>97.63000000000001</v>
      </c>
      <c r="G67">
        <f>'Monthly Data'!CF67</f>
        <v>30</v>
      </c>
      <c r="H67">
        <f>'Monthly Data'!CD67</f>
        <v>0</v>
      </c>
      <c r="I67">
        <f>'Monthly Data'!CJ67</f>
        <v>0</v>
      </c>
      <c r="J67">
        <f>'Monthly Data'!P67</f>
        <v>382</v>
      </c>
      <c r="L67" s="6">
        <f t="shared" si="29"/>
        <v>-4550747.7974309605</v>
      </c>
      <c r="M67" s="6">
        <f t="shared" ref="M67:M130" ca="1" si="32">E67*$V$8</f>
        <v>37088.267437232586</v>
      </c>
      <c r="N67" s="6">
        <f t="shared" ref="N67:N130" ca="1" si="33">F67*$V$9</f>
        <v>2297900.222717959</v>
      </c>
      <c r="O67" s="6">
        <f t="shared" ref="O67:O130" si="34">G67*$V$10</f>
        <v>14687378.322920969</v>
      </c>
      <c r="P67" s="6">
        <f t="shared" ref="P67:P130" si="35">H67*$V$11</f>
        <v>0</v>
      </c>
      <c r="Q67" s="6">
        <f t="shared" si="30"/>
        <v>6063368.4464953747</v>
      </c>
      <c r="R67" s="6">
        <f t="shared" ref="R67:R130" si="36">I67*$V$13</f>
        <v>0</v>
      </c>
      <c r="S67" s="6">
        <f t="shared" ca="1" si="31"/>
        <v>18534987.462140575</v>
      </c>
    </row>
    <row r="68" spans="1:19">
      <c r="A68" s="20">
        <f>'Monthly Data'!A68</f>
        <v>42917</v>
      </c>
      <c r="B68">
        <f t="shared" si="27"/>
        <v>7</v>
      </c>
      <c r="C68">
        <f t="shared" si="28"/>
        <v>2017</v>
      </c>
      <c r="D68" s="6">
        <f>'Monthly Data'!N68</f>
        <v>20650265.274632793</v>
      </c>
      <c r="E68" s="7">
        <f t="shared" ca="1" si="26"/>
        <v>0</v>
      </c>
      <c r="F68" s="7">
        <f t="shared" ca="1" si="26"/>
        <v>172.46999999999997</v>
      </c>
      <c r="G68">
        <f>'Monthly Data'!CF68</f>
        <v>31</v>
      </c>
      <c r="H68">
        <f>'Monthly Data'!CD68</f>
        <v>0</v>
      </c>
      <c r="I68">
        <f>'Monthly Data'!CJ68</f>
        <v>0</v>
      </c>
      <c r="J68">
        <f>'Monthly Data'!P68</f>
        <v>381</v>
      </c>
      <c r="L68" s="6">
        <f t="shared" si="29"/>
        <v>-4550747.7974309605</v>
      </c>
      <c r="M68" s="6">
        <f t="shared" ca="1" si="32"/>
        <v>0</v>
      </c>
      <c r="N68" s="6">
        <f t="shared" ca="1" si="33"/>
        <v>4059396.204160261</v>
      </c>
      <c r="O68" s="6">
        <f t="shared" si="34"/>
        <v>15176957.600351669</v>
      </c>
      <c r="P68" s="6">
        <f t="shared" si="35"/>
        <v>0</v>
      </c>
      <c r="Q68" s="6">
        <f t="shared" si="30"/>
        <v>6047495.7542270627</v>
      </c>
      <c r="R68" s="6">
        <f t="shared" si="36"/>
        <v>0</v>
      </c>
      <c r="S68" s="6">
        <f t="shared" ca="1" si="31"/>
        <v>20733101.761308029</v>
      </c>
    </row>
    <row r="69" spans="1:19">
      <c r="A69" s="20">
        <f>'Monthly Data'!A69</f>
        <v>42948</v>
      </c>
      <c r="B69">
        <f t="shared" si="27"/>
        <v>8</v>
      </c>
      <c r="C69">
        <f t="shared" si="28"/>
        <v>2017</v>
      </c>
      <c r="D69" s="6">
        <f>'Monthly Data'!N69</f>
        <v>19470906.219232164</v>
      </c>
      <c r="E69" s="7">
        <f t="shared" ca="1" si="26"/>
        <v>8.0000000000000071E-2</v>
      </c>
      <c r="F69" s="7">
        <f t="shared" ca="1" si="26"/>
        <v>155.49999999999997</v>
      </c>
      <c r="G69">
        <f>'Monthly Data'!CF69</f>
        <v>31</v>
      </c>
      <c r="H69">
        <f>'Monthly Data'!CD69</f>
        <v>0</v>
      </c>
      <c r="I69">
        <f>'Monthly Data'!CJ69</f>
        <v>0</v>
      </c>
      <c r="J69">
        <f>'Monthly Data'!P69</f>
        <v>381</v>
      </c>
      <c r="L69" s="6">
        <f t="shared" si="29"/>
        <v>-4550747.7974309605</v>
      </c>
      <c r="M69" s="6">
        <f t="shared" ca="1" si="32"/>
        <v>575.01189825166853</v>
      </c>
      <c r="N69" s="6">
        <f t="shared" ca="1" si="33"/>
        <v>3659976.2842634693</v>
      </c>
      <c r="O69" s="6">
        <f t="shared" si="34"/>
        <v>15176957.600351669</v>
      </c>
      <c r="P69" s="6">
        <f t="shared" si="35"/>
        <v>0</v>
      </c>
      <c r="Q69" s="6">
        <f t="shared" si="30"/>
        <v>6047495.7542270627</v>
      </c>
      <c r="R69" s="6">
        <f t="shared" si="36"/>
        <v>0</v>
      </c>
      <c r="S69" s="6">
        <f t="shared" ca="1" si="31"/>
        <v>20334256.85330949</v>
      </c>
    </row>
    <row r="70" spans="1:19">
      <c r="A70" s="20">
        <f>'Monthly Data'!A70</f>
        <v>42979</v>
      </c>
      <c r="B70">
        <f t="shared" si="27"/>
        <v>9</v>
      </c>
      <c r="C70">
        <f t="shared" si="28"/>
        <v>2017</v>
      </c>
      <c r="D70" s="6">
        <f>'Monthly Data'!N70</f>
        <v>18299077.909161326</v>
      </c>
      <c r="E70" s="7">
        <f t="shared" ref="E70:F89" ca="1" si="37">E58</f>
        <v>12.280000000000001</v>
      </c>
      <c r="F70" s="7">
        <f t="shared" ca="1" si="37"/>
        <v>76.13</v>
      </c>
      <c r="G70">
        <f>'Monthly Data'!CF70</f>
        <v>30</v>
      </c>
      <c r="H70">
        <f>'Monthly Data'!CD70</f>
        <v>1</v>
      </c>
      <c r="I70">
        <f>'Monthly Data'!CJ70</f>
        <v>0</v>
      </c>
      <c r="J70">
        <f>'Monthly Data'!P70</f>
        <v>384</v>
      </c>
      <c r="L70" s="6">
        <f t="shared" si="29"/>
        <v>-4550747.7974309605</v>
      </c>
      <c r="M70" s="6">
        <f t="shared" ca="1" si="32"/>
        <v>88264.32638163105</v>
      </c>
      <c r="N70" s="6">
        <f t="shared" ca="1" si="33"/>
        <v>1791858.4856654531</v>
      </c>
      <c r="O70" s="6">
        <f t="shared" si="34"/>
        <v>14687378.322920969</v>
      </c>
      <c r="P70" s="6">
        <f t="shared" si="35"/>
        <v>463327.49867077498</v>
      </c>
      <c r="Q70" s="6">
        <f t="shared" si="30"/>
        <v>6095113.8310319996</v>
      </c>
      <c r="R70" s="6">
        <f t="shared" si="36"/>
        <v>0</v>
      </c>
      <c r="S70" s="6">
        <f t="shared" ca="1" si="31"/>
        <v>18575194.667239867</v>
      </c>
    </row>
    <row r="71" spans="1:19">
      <c r="A71" s="20">
        <f>'Monthly Data'!A71</f>
        <v>43009</v>
      </c>
      <c r="B71">
        <f t="shared" si="27"/>
        <v>10</v>
      </c>
      <c r="C71">
        <f t="shared" si="28"/>
        <v>2017</v>
      </c>
      <c r="D71" s="6">
        <f>'Monthly Data'!N71</f>
        <v>17819323.199973162</v>
      </c>
      <c r="E71" s="7">
        <f t="shared" ca="1" si="37"/>
        <v>111.21000000000001</v>
      </c>
      <c r="F71" s="7">
        <f t="shared" ca="1" si="37"/>
        <v>15.330000000000002</v>
      </c>
      <c r="G71">
        <f>'Monthly Data'!CF71</f>
        <v>31</v>
      </c>
      <c r="H71">
        <f>'Monthly Data'!CD71</f>
        <v>1</v>
      </c>
      <c r="I71">
        <f>'Monthly Data'!CJ71</f>
        <v>0</v>
      </c>
      <c r="J71">
        <f>'Monthly Data'!P71</f>
        <v>385</v>
      </c>
      <c r="L71" s="6">
        <f t="shared" si="29"/>
        <v>-4550747.7974309605</v>
      </c>
      <c r="M71" s="6">
        <f t="shared" ca="1" si="32"/>
        <v>799338.41505710012</v>
      </c>
      <c r="N71" s="6">
        <f t="shared" ca="1" si="33"/>
        <v>360819.52693092608</v>
      </c>
      <c r="O71" s="6">
        <f t="shared" si="34"/>
        <v>15176957.600351669</v>
      </c>
      <c r="P71" s="6">
        <f t="shared" si="35"/>
        <v>463327.49867077498</v>
      </c>
      <c r="Q71" s="6">
        <f t="shared" si="30"/>
        <v>6110986.5233003125</v>
      </c>
      <c r="R71" s="6">
        <f t="shared" si="36"/>
        <v>0</v>
      </c>
      <c r="S71" s="6">
        <f t="shared" ca="1" si="31"/>
        <v>18360681.766879823</v>
      </c>
    </row>
    <row r="72" spans="1:19">
      <c r="A72" s="20">
        <f>'Monthly Data'!A72</f>
        <v>43040</v>
      </c>
      <c r="B72">
        <f t="shared" si="27"/>
        <v>11</v>
      </c>
      <c r="C72">
        <f t="shared" si="28"/>
        <v>2017</v>
      </c>
      <c r="D72" s="6">
        <f>'Monthly Data'!N72</f>
        <v>18191086.641311783</v>
      </c>
      <c r="E72" s="7">
        <f t="shared" ca="1" si="37"/>
        <v>297.28000000000003</v>
      </c>
      <c r="F72" s="7">
        <f t="shared" ca="1" si="37"/>
        <v>0.76000000000000012</v>
      </c>
      <c r="G72">
        <f>'Monthly Data'!CF72</f>
        <v>30</v>
      </c>
      <c r="H72">
        <f>'Monthly Data'!CD72</f>
        <v>0</v>
      </c>
      <c r="I72">
        <f>'Monthly Data'!CJ72</f>
        <v>0</v>
      </c>
      <c r="J72">
        <f>'Monthly Data'!P72</f>
        <v>386</v>
      </c>
      <c r="L72" s="6">
        <f t="shared" si="29"/>
        <v>-4550747.7974309605</v>
      </c>
      <c r="M72" s="6">
        <f t="shared" ca="1" si="32"/>
        <v>2136744.2139031985</v>
      </c>
      <c r="N72" s="6">
        <f t="shared" ca="1" si="33"/>
        <v>17887.986984181593</v>
      </c>
      <c r="O72" s="6">
        <f t="shared" si="34"/>
        <v>14687378.322920969</v>
      </c>
      <c r="P72" s="6">
        <f t="shared" si="35"/>
        <v>0</v>
      </c>
      <c r="Q72" s="6">
        <f t="shared" si="30"/>
        <v>6126859.2155686244</v>
      </c>
      <c r="R72" s="6">
        <f t="shared" si="36"/>
        <v>0</v>
      </c>
      <c r="S72" s="6">
        <f t="shared" ca="1" si="31"/>
        <v>18418121.941946015</v>
      </c>
    </row>
    <row r="73" spans="1:19">
      <c r="A73" s="20">
        <f>'Monthly Data'!A73</f>
        <v>43070</v>
      </c>
      <c r="B73">
        <f t="shared" si="27"/>
        <v>12</v>
      </c>
      <c r="C73">
        <f t="shared" si="28"/>
        <v>2017</v>
      </c>
      <c r="D73" s="6">
        <f>'Monthly Data'!N73</f>
        <v>19035131.862352476</v>
      </c>
      <c r="E73" s="7">
        <f t="shared" ca="1" si="37"/>
        <v>440.25</v>
      </c>
      <c r="F73" s="7">
        <f t="shared" ca="1" si="37"/>
        <v>0</v>
      </c>
      <c r="G73">
        <f>'Monthly Data'!CF73</f>
        <v>31</v>
      </c>
      <c r="H73">
        <f>'Monthly Data'!CD73</f>
        <v>0</v>
      </c>
      <c r="I73">
        <f>'Monthly Data'!CJ73</f>
        <v>0</v>
      </c>
      <c r="J73">
        <f>'Monthly Data'!P73</f>
        <v>390</v>
      </c>
      <c r="L73" s="6">
        <f t="shared" si="29"/>
        <v>-4550747.7974309605</v>
      </c>
      <c r="M73" s="6">
        <f t="shared" ca="1" si="32"/>
        <v>3164362.3525662106</v>
      </c>
      <c r="N73" s="6">
        <f t="shared" ca="1" si="33"/>
        <v>0</v>
      </c>
      <c r="O73" s="6">
        <f t="shared" si="34"/>
        <v>15176957.600351669</v>
      </c>
      <c r="P73" s="6">
        <f t="shared" si="35"/>
        <v>0</v>
      </c>
      <c r="Q73" s="6">
        <f t="shared" si="30"/>
        <v>6190349.9846418751</v>
      </c>
      <c r="R73" s="6">
        <f t="shared" si="36"/>
        <v>0</v>
      </c>
      <c r="S73" s="6">
        <f t="shared" ca="1" si="31"/>
        <v>19980922.140128795</v>
      </c>
    </row>
    <row r="74" spans="1:19">
      <c r="A74" s="20">
        <f>'Monthly Data'!A74</f>
        <v>43101</v>
      </c>
      <c r="B74">
        <f t="shared" si="27"/>
        <v>1</v>
      </c>
      <c r="C74">
        <f t="shared" si="28"/>
        <v>2018</v>
      </c>
      <c r="D74" s="6">
        <f>'Monthly Data'!N74</f>
        <v>21215419.540043287</v>
      </c>
      <c r="E74" s="7">
        <f t="shared" ca="1" si="37"/>
        <v>564.86</v>
      </c>
      <c r="F74" s="7">
        <f t="shared" ca="1" si="37"/>
        <v>0</v>
      </c>
      <c r="G74">
        <f>'Monthly Data'!CF74</f>
        <v>31</v>
      </c>
      <c r="H74">
        <f>'Monthly Data'!CD74</f>
        <v>0</v>
      </c>
      <c r="I74">
        <f>'Monthly Data'!CJ74</f>
        <v>0</v>
      </c>
      <c r="J74">
        <f>'Monthly Data'!P74</f>
        <v>391</v>
      </c>
      <c r="L74" s="6">
        <f t="shared" si="29"/>
        <v>-4550747.7974309605</v>
      </c>
      <c r="M74" s="6">
        <f t="shared" ca="1" si="32"/>
        <v>4060015.2605804652</v>
      </c>
      <c r="N74" s="6">
        <f t="shared" ca="1" si="33"/>
        <v>0</v>
      </c>
      <c r="O74" s="6">
        <f t="shared" si="34"/>
        <v>15176957.600351669</v>
      </c>
      <c r="P74" s="6">
        <f t="shared" si="35"/>
        <v>0</v>
      </c>
      <c r="Q74" s="6">
        <f t="shared" si="30"/>
        <v>6206222.6769101871</v>
      </c>
      <c r="R74" s="6">
        <f t="shared" si="36"/>
        <v>0</v>
      </c>
      <c r="S74" s="6">
        <f t="shared" ca="1" si="31"/>
        <v>20892447.74041136</v>
      </c>
    </row>
    <row r="75" spans="1:19">
      <c r="A75" s="20">
        <f>'Monthly Data'!A75</f>
        <v>43132</v>
      </c>
      <c r="B75">
        <f t="shared" si="27"/>
        <v>2</v>
      </c>
      <c r="C75">
        <f t="shared" si="28"/>
        <v>2018</v>
      </c>
      <c r="D75" s="6">
        <f>'Monthly Data'!N75</f>
        <v>18866164.313090462</v>
      </c>
      <c r="E75" s="7">
        <f t="shared" ca="1" si="37"/>
        <v>516.43000000000006</v>
      </c>
      <c r="F75" s="7">
        <f t="shared" ca="1" si="37"/>
        <v>0</v>
      </c>
      <c r="G75">
        <f>'Monthly Data'!CF75</f>
        <v>28</v>
      </c>
      <c r="H75">
        <f>'Monthly Data'!CD75</f>
        <v>0</v>
      </c>
      <c r="I75">
        <f>'Monthly Data'!CJ75</f>
        <v>0</v>
      </c>
      <c r="J75">
        <f>'Monthly Data'!P75</f>
        <v>391</v>
      </c>
      <c r="L75" s="6">
        <f t="shared" si="29"/>
        <v>-4550747.7974309605</v>
      </c>
      <c r="M75" s="6">
        <f t="shared" ca="1" si="32"/>
        <v>3711917.4326763619</v>
      </c>
      <c r="N75" s="6">
        <f t="shared" ca="1" si="33"/>
        <v>0</v>
      </c>
      <c r="O75" s="6">
        <f t="shared" si="34"/>
        <v>13708219.76805957</v>
      </c>
      <c r="P75" s="6">
        <f t="shared" si="35"/>
        <v>0</v>
      </c>
      <c r="Q75" s="6">
        <f t="shared" si="30"/>
        <v>6206222.6769101871</v>
      </c>
      <c r="R75" s="6">
        <f t="shared" si="36"/>
        <v>0</v>
      </c>
      <c r="S75" s="6">
        <f t="shared" ca="1" si="31"/>
        <v>19075612.08021516</v>
      </c>
    </row>
    <row r="76" spans="1:19">
      <c r="A76" s="20">
        <f>'Monthly Data'!A76</f>
        <v>43160</v>
      </c>
      <c r="B76">
        <f t="shared" si="27"/>
        <v>3</v>
      </c>
      <c r="C76">
        <f t="shared" si="28"/>
        <v>2018</v>
      </c>
      <c r="D76" s="6">
        <f>'Monthly Data'!N76</f>
        <v>19590305.779881623</v>
      </c>
      <c r="E76" s="7">
        <f t="shared" ca="1" si="37"/>
        <v>412.32</v>
      </c>
      <c r="F76" s="7">
        <f t="shared" ca="1" si="37"/>
        <v>1.9999999999999928E-2</v>
      </c>
      <c r="G76">
        <f>'Monthly Data'!CF76</f>
        <v>31</v>
      </c>
      <c r="H76">
        <f>'Monthly Data'!CD76</f>
        <v>0</v>
      </c>
      <c r="I76">
        <f>'Monthly Data'!CJ76</f>
        <v>0</v>
      </c>
      <c r="J76">
        <f>'Monthly Data'!P76</f>
        <v>390</v>
      </c>
      <c r="L76" s="6">
        <f t="shared" si="29"/>
        <v>-4550747.7974309605</v>
      </c>
      <c r="M76" s="6">
        <f t="shared" ca="1" si="32"/>
        <v>2963611.3235890968</v>
      </c>
      <c r="N76" s="6">
        <f t="shared" ca="1" si="33"/>
        <v>470.73649958372431</v>
      </c>
      <c r="O76" s="6">
        <f t="shared" si="34"/>
        <v>15176957.600351669</v>
      </c>
      <c r="P76" s="6">
        <f t="shared" si="35"/>
        <v>0</v>
      </c>
      <c r="Q76" s="6">
        <f t="shared" si="30"/>
        <v>6190349.9846418751</v>
      </c>
      <c r="R76" s="6">
        <f t="shared" si="36"/>
        <v>0</v>
      </c>
      <c r="S76" s="6">
        <f t="shared" ca="1" si="31"/>
        <v>19780641.847651266</v>
      </c>
    </row>
    <row r="77" spans="1:19">
      <c r="A77" s="20">
        <f>'Monthly Data'!A77</f>
        <v>43191</v>
      </c>
      <c r="B77">
        <f t="shared" si="27"/>
        <v>4</v>
      </c>
      <c r="C77">
        <f t="shared" si="28"/>
        <v>2018</v>
      </c>
      <c r="D77" s="6">
        <f>'Monthly Data'!N77</f>
        <v>18011213.958728224</v>
      </c>
      <c r="E77" s="7">
        <f t="shared" ca="1" si="37"/>
        <v>229.95</v>
      </c>
      <c r="F77" s="7">
        <f t="shared" ca="1" si="37"/>
        <v>1.3500000000000003</v>
      </c>
      <c r="G77">
        <f>'Monthly Data'!CF77</f>
        <v>30</v>
      </c>
      <c r="H77">
        <f>'Monthly Data'!CD77</f>
        <v>0</v>
      </c>
      <c r="I77">
        <f>'Monthly Data'!CJ77</f>
        <v>0</v>
      </c>
      <c r="J77">
        <f>'Monthly Data'!P77</f>
        <v>391</v>
      </c>
      <c r="L77" s="6">
        <f t="shared" si="29"/>
        <v>-4550747.7974309605</v>
      </c>
      <c r="M77" s="6">
        <f t="shared" ca="1" si="32"/>
        <v>1652799.8250371383</v>
      </c>
      <c r="N77" s="6">
        <f t="shared" ca="1" si="33"/>
        <v>31774.713721901513</v>
      </c>
      <c r="O77" s="6">
        <f t="shared" si="34"/>
        <v>14687378.322920969</v>
      </c>
      <c r="P77" s="6">
        <f t="shared" si="35"/>
        <v>0</v>
      </c>
      <c r="Q77" s="6">
        <f t="shared" si="30"/>
        <v>6206222.6769101871</v>
      </c>
      <c r="R77" s="6">
        <f t="shared" si="36"/>
        <v>0</v>
      </c>
      <c r="S77" s="6">
        <f t="shared" ca="1" si="31"/>
        <v>18027427.741159234</v>
      </c>
    </row>
    <row r="78" spans="1:19">
      <c r="A78" s="20">
        <f>'Monthly Data'!A78</f>
        <v>43221</v>
      </c>
      <c r="B78">
        <f t="shared" si="27"/>
        <v>5</v>
      </c>
      <c r="C78">
        <f t="shared" si="28"/>
        <v>2018</v>
      </c>
      <c r="D78" s="6">
        <f>'Monthly Data'!N78</f>
        <v>18513560.80069286</v>
      </c>
      <c r="E78" s="7">
        <f t="shared" ca="1" si="37"/>
        <v>79.77000000000001</v>
      </c>
      <c r="F78" s="7">
        <f t="shared" ca="1" si="37"/>
        <v>42.72</v>
      </c>
      <c r="G78">
        <f>'Monthly Data'!CF78</f>
        <v>31</v>
      </c>
      <c r="H78">
        <f>'Monthly Data'!CD78</f>
        <v>0</v>
      </c>
      <c r="I78">
        <f>'Monthly Data'!CJ78</f>
        <v>0</v>
      </c>
      <c r="J78">
        <f>'Monthly Data'!P78</f>
        <v>391</v>
      </c>
      <c r="L78" s="6">
        <f t="shared" si="29"/>
        <v>-4550747.7974309605</v>
      </c>
      <c r="M78" s="6">
        <f t="shared" ca="1" si="32"/>
        <v>573358.73904419458</v>
      </c>
      <c r="N78" s="6">
        <f t="shared" ca="1" si="33"/>
        <v>1005493.1631108387</v>
      </c>
      <c r="O78" s="6">
        <f t="shared" si="34"/>
        <v>15176957.600351669</v>
      </c>
      <c r="P78" s="6">
        <f t="shared" si="35"/>
        <v>0</v>
      </c>
      <c r="Q78" s="6">
        <f t="shared" si="30"/>
        <v>6206222.6769101871</v>
      </c>
      <c r="R78" s="6">
        <f t="shared" si="36"/>
        <v>0</v>
      </c>
      <c r="S78" s="6">
        <f t="shared" ca="1" si="31"/>
        <v>18411284.381985929</v>
      </c>
    </row>
    <row r="79" spans="1:19">
      <c r="A79" s="20">
        <f>'Monthly Data'!A79</f>
        <v>43252</v>
      </c>
      <c r="B79">
        <f t="shared" si="27"/>
        <v>6</v>
      </c>
      <c r="C79">
        <f t="shared" si="28"/>
        <v>2018</v>
      </c>
      <c r="D79" s="6">
        <f>'Monthly Data'!N79</f>
        <v>17879570.687290974</v>
      </c>
      <c r="E79" s="7">
        <f t="shared" ca="1" si="37"/>
        <v>5.16</v>
      </c>
      <c r="F79" s="7">
        <f t="shared" ca="1" si="37"/>
        <v>97.63000000000001</v>
      </c>
      <c r="G79">
        <f>'Monthly Data'!CF79</f>
        <v>30</v>
      </c>
      <c r="H79">
        <f>'Monthly Data'!CD79</f>
        <v>0</v>
      </c>
      <c r="I79">
        <f>'Monthly Data'!CJ79</f>
        <v>0</v>
      </c>
      <c r="J79">
        <f>'Monthly Data'!P79</f>
        <v>391</v>
      </c>
      <c r="L79" s="6">
        <f t="shared" si="29"/>
        <v>-4550747.7974309605</v>
      </c>
      <c r="M79" s="6">
        <f t="shared" ca="1" si="32"/>
        <v>37088.267437232586</v>
      </c>
      <c r="N79" s="6">
        <f t="shared" ca="1" si="33"/>
        <v>2297900.222717959</v>
      </c>
      <c r="O79" s="6">
        <f t="shared" si="34"/>
        <v>14687378.322920969</v>
      </c>
      <c r="P79" s="6">
        <f t="shared" si="35"/>
        <v>0</v>
      </c>
      <c r="Q79" s="6">
        <f t="shared" si="30"/>
        <v>6206222.6769101871</v>
      </c>
      <c r="R79" s="6">
        <f t="shared" si="36"/>
        <v>0</v>
      </c>
      <c r="S79" s="6">
        <f t="shared" ca="1" si="31"/>
        <v>18677841.692555387</v>
      </c>
    </row>
    <row r="80" spans="1:19">
      <c r="A80" s="20">
        <f>'Monthly Data'!A80</f>
        <v>43282</v>
      </c>
      <c r="B80">
        <f t="shared" si="27"/>
        <v>7</v>
      </c>
      <c r="C80">
        <f t="shared" si="28"/>
        <v>2018</v>
      </c>
      <c r="D80" s="6">
        <f>'Monthly Data'!N80</f>
        <v>20694832.372938544</v>
      </c>
      <c r="E80" s="7">
        <f t="shared" ca="1" si="37"/>
        <v>0</v>
      </c>
      <c r="F80" s="7">
        <f t="shared" ca="1" si="37"/>
        <v>172.46999999999997</v>
      </c>
      <c r="G80">
        <f>'Monthly Data'!CF80</f>
        <v>31</v>
      </c>
      <c r="H80">
        <f>'Monthly Data'!CD80</f>
        <v>0</v>
      </c>
      <c r="I80">
        <f>'Monthly Data'!CJ80</f>
        <v>0</v>
      </c>
      <c r="J80">
        <f>'Monthly Data'!P80</f>
        <v>391</v>
      </c>
      <c r="L80" s="6">
        <f t="shared" si="29"/>
        <v>-4550747.7974309605</v>
      </c>
      <c r="M80" s="6">
        <f t="shared" ca="1" si="32"/>
        <v>0</v>
      </c>
      <c r="N80" s="6">
        <f t="shared" ca="1" si="33"/>
        <v>4059396.204160261</v>
      </c>
      <c r="O80" s="6">
        <f t="shared" si="34"/>
        <v>15176957.600351669</v>
      </c>
      <c r="P80" s="6">
        <f t="shared" si="35"/>
        <v>0</v>
      </c>
      <c r="Q80" s="6">
        <f t="shared" si="30"/>
        <v>6206222.6769101871</v>
      </c>
      <c r="R80" s="6">
        <f t="shared" si="36"/>
        <v>0</v>
      </c>
      <c r="S80" s="6">
        <f t="shared" ca="1" si="31"/>
        <v>20891828.683991157</v>
      </c>
    </row>
    <row r="81" spans="1:19">
      <c r="A81" s="20">
        <f>'Monthly Data'!A81</f>
        <v>43313</v>
      </c>
      <c r="B81">
        <f t="shared" si="27"/>
        <v>8</v>
      </c>
      <c r="C81">
        <f t="shared" si="28"/>
        <v>2018</v>
      </c>
      <c r="D81" s="6">
        <f>'Monthly Data'!N81</f>
        <v>21436002.837038804</v>
      </c>
      <c r="E81" s="7">
        <f t="shared" ca="1" si="37"/>
        <v>8.0000000000000071E-2</v>
      </c>
      <c r="F81" s="7">
        <f t="shared" ca="1" si="37"/>
        <v>155.49999999999997</v>
      </c>
      <c r="G81">
        <f>'Monthly Data'!CF81</f>
        <v>31</v>
      </c>
      <c r="H81">
        <f>'Monthly Data'!CD81</f>
        <v>0</v>
      </c>
      <c r="I81">
        <f>'Monthly Data'!CJ81</f>
        <v>0</v>
      </c>
      <c r="J81">
        <f>'Monthly Data'!P81</f>
        <v>391</v>
      </c>
      <c r="L81" s="6">
        <f t="shared" si="29"/>
        <v>-4550747.7974309605</v>
      </c>
      <c r="M81" s="6">
        <f t="shared" ca="1" si="32"/>
        <v>575.01189825166853</v>
      </c>
      <c r="N81" s="6">
        <f t="shared" ca="1" si="33"/>
        <v>3659976.2842634693</v>
      </c>
      <c r="O81" s="6">
        <f t="shared" si="34"/>
        <v>15176957.600351669</v>
      </c>
      <c r="P81" s="6">
        <f t="shared" si="35"/>
        <v>0</v>
      </c>
      <c r="Q81" s="6">
        <f t="shared" si="30"/>
        <v>6206222.6769101871</v>
      </c>
      <c r="R81" s="6">
        <f t="shared" si="36"/>
        <v>0</v>
      </c>
      <c r="S81" s="6">
        <f t="shared" ca="1" si="31"/>
        <v>20492983.775992617</v>
      </c>
    </row>
    <row r="82" spans="1:19">
      <c r="A82" s="20">
        <f>'Monthly Data'!A82</f>
        <v>43344</v>
      </c>
      <c r="B82">
        <f t="shared" si="27"/>
        <v>9</v>
      </c>
      <c r="C82">
        <f t="shared" si="28"/>
        <v>2018</v>
      </c>
      <c r="D82" s="6">
        <f>'Monthly Data'!N82</f>
        <v>19085586.756315149</v>
      </c>
      <c r="E82" s="7">
        <f t="shared" ca="1" si="37"/>
        <v>12.280000000000001</v>
      </c>
      <c r="F82" s="7">
        <f t="shared" ca="1" si="37"/>
        <v>76.13</v>
      </c>
      <c r="G82">
        <f>'Monthly Data'!CF82</f>
        <v>30</v>
      </c>
      <c r="H82">
        <f>'Monthly Data'!CD82</f>
        <v>1</v>
      </c>
      <c r="I82">
        <f>'Monthly Data'!CJ82</f>
        <v>0</v>
      </c>
      <c r="J82">
        <f>'Monthly Data'!P82</f>
        <v>391</v>
      </c>
      <c r="L82" s="6">
        <f t="shared" si="29"/>
        <v>-4550747.7974309605</v>
      </c>
      <c r="M82" s="6">
        <f t="shared" ca="1" si="32"/>
        <v>88264.32638163105</v>
      </c>
      <c r="N82" s="6">
        <f t="shared" ca="1" si="33"/>
        <v>1791858.4856654531</v>
      </c>
      <c r="O82" s="6">
        <f t="shared" si="34"/>
        <v>14687378.322920969</v>
      </c>
      <c r="P82" s="6">
        <f t="shared" si="35"/>
        <v>463327.49867077498</v>
      </c>
      <c r="Q82" s="6">
        <f t="shared" si="30"/>
        <v>6206222.6769101871</v>
      </c>
      <c r="R82" s="6">
        <f t="shared" si="36"/>
        <v>0</v>
      </c>
      <c r="S82" s="6">
        <f t="shared" ca="1" si="31"/>
        <v>18686303.513118055</v>
      </c>
    </row>
    <row r="83" spans="1:19">
      <c r="A83" s="20">
        <f>'Monthly Data'!A83</f>
        <v>43374</v>
      </c>
      <c r="B83">
        <f t="shared" si="27"/>
        <v>10</v>
      </c>
      <c r="C83">
        <f t="shared" si="28"/>
        <v>2018</v>
      </c>
      <c r="D83" s="6">
        <f>'Monthly Data'!N83</f>
        <v>18365728.767554242</v>
      </c>
      <c r="E83" s="7">
        <f t="shared" ca="1" si="37"/>
        <v>111.21000000000001</v>
      </c>
      <c r="F83" s="7">
        <f t="shared" ca="1" si="37"/>
        <v>15.330000000000002</v>
      </c>
      <c r="G83">
        <f>'Monthly Data'!CF83</f>
        <v>31</v>
      </c>
      <c r="H83">
        <f>'Monthly Data'!CD83</f>
        <v>1</v>
      </c>
      <c r="I83">
        <f>'Monthly Data'!CJ83</f>
        <v>0</v>
      </c>
      <c r="J83">
        <f>'Monthly Data'!P83</f>
        <v>393</v>
      </c>
      <c r="L83" s="6">
        <f t="shared" si="29"/>
        <v>-4550747.7974309605</v>
      </c>
      <c r="M83" s="6">
        <f t="shared" ca="1" si="32"/>
        <v>799338.41505710012</v>
      </c>
      <c r="N83" s="6">
        <f t="shared" ca="1" si="33"/>
        <v>360819.52693092608</v>
      </c>
      <c r="O83" s="6">
        <f t="shared" si="34"/>
        <v>15176957.600351669</v>
      </c>
      <c r="P83" s="6">
        <f t="shared" si="35"/>
        <v>463327.49867077498</v>
      </c>
      <c r="Q83" s="6">
        <f t="shared" si="30"/>
        <v>6237968.061446812</v>
      </c>
      <c r="R83" s="6">
        <f t="shared" si="36"/>
        <v>0</v>
      </c>
      <c r="S83" s="6">
        <f t="shared" ca="1" si="31"/>
        <v>18487663.305026323</v>
      </c>
    </row>
    <row r="84" spans="1:19">
      <c r="A84" s="20">
        <f>'Monthly Data'!A84</f>
        <v>43405</v>
      </c>
      <c r="B84">
        <f t="shared" si="27"/>
        <v>11</v>
      </c>
      <c r="C84">
        <f t="shared" si="28"/>
        <v>2018</v>
      </c>
      <c r="D84" s="6">
        <f>'Monthly Data'!N84</f>
        <v>18960748.554049645</v>
      </c>
      <c r="E84" s="7">
        <f t="shared" ca="1" si="37"/>
        <v>297.28000000000003</v>
      </c>
      <c r="F84" s="7">
        <f t="shared" ca="1" si="37"/>
        <v>0.76000000000000012</v>
      </c>
      <c r="G84">
        <f>'Monthly Data'!CF84</f>
        <v>30</v>
      </c>
      <c r="H84">
        <f>'Monthly Data'!CD84</f>
        <v>0</v>
      </c>
      <c r="I84">
        <f>'Monthly Data'!CJ84</f>
        <v>0</v>
      </c>
      <c r="J84">
        <f>'Monthly Data'!P84</f>
        <v>393</v>
      </c>
      <c r="L84" s="6">
        <f t="shared" si="29"/>
        <v>-4550747.7974309605</v>
      </c>
      <c r="M84" s="6">
        <f t="shared" ca="1" si="32"/>
        <v>2136744.2139031985</v>
      </c>
      <c r="N84" s="6">
        <f t="shared" ca="1" si="33"/>
        <v>17887.986984181593</v>
      </c>
      <c r="O84" s="6">
        <f t="shared" si="34"/>
        <v>14687378.322920969</v>
      </c>
      <c r="P84" s="6">
        <f t="shared" si="35"/>
        <v>0</v>
      </c>
      <c r="Q84" s="6">
        <f t="shared" si="30"/>
        <v>6237968.061446812</v>
      </c>
      <c r="R84" s="6">
        <f t="shared" si="36"/>
        <v>0</v>
      </c>
      <c r="S84" s="6">
        <f t="shared" ca="1" si="31"/>
        <v>18529230.787824199</v>
      </c>
    </row>
    <row r="85" spans="1:19">
      <c r="A85" s="20">
        <f>'Monthly Data'!A85</f>
        <v>43435</v>
      </c>
      <c r="B85">
        <f t="shared" si="27"/>
        <v>12</v>
      </c>
      <c r="C85">
        <f t="shared" si="28"/>
        <v>2018</v>
      </c>
      <c r="D85" s="6">
        <f>'Monthly Data'!N85</f>
        <v>18373721.475781631</v>
      </c>
      <c r="E85" s="7">
        <f t="shared" ca="1" si="37"/>
        <v>440.25</v>
      </c>
      <c r="F85" s="7">
        <f t="shared" ca="1" si="37"/>
        <v>0</v>
      </c>
      <c r="G85">
        <f>'Monthly Data'!CF85</f>
        <v>31</v>
      </c>
      <c r="H85">
        <f>'Monthly Data'!CD85</f>
        <v>0</v>
      </c>
      <c r="I85">
        <f>'Monthly Data'!CJ85</f>
        <v>0</v>
      </c>
      <c r="J85">
        <f>'Monthly Data'!P85</f>
        <v>393</v>
      </c>
      <c r="L85" s="6">
        <f t="shared" si="29"/>
        <v>-4550747.7974309605</v>
      </c>
      <c r="M85" s="6">
        <f t="shared" ca="1" si="32"/>
        <v>3164362.3525662106</v>
      </c>
      <c r="N85" s="6">
        <f t="shared" ca="1" si="33"/>
        <v>0</v>
      </c>
      <c r="O85" s="6">
        <f t="shared" si="34"/>
        <v>15176957.600351669</v>
      </c>
      <c r="P85" s="6">
        <f t="shared" si="35"/>
        <v>0</v>
      </c>
      <c r="Q85" s="6">
        <f t="shared" si="30"/>
        <v>6237968.061446812</v>
      </c>
      <c r="R85" s="6">
        <f t="shared" si="36"/>
        <v>0</v>
      </c>
      <c r="S85" s="6">
        <f t="shared" ca="1" si="31"/>
        <v>20028540.216933731</v>
      </c>
    </row>
    <row r="86" spans="1:19">
      <c r="A86" s="20">
        <f>'Monthly Data'!A86</f>
        <v>43466</v>
      </c>
      <c r="B86">
        <f t="shared" si="27"/>
        <v>1</v>
      </c>
      <c r="C86">
        <f t="shared" si="28"/>
        <v>2019</v>
      </c>
      <c r="D86" s="6">
        <f>'Monthly Data'!N86</f>
        <v>21388509.732646711</v>
      </c>
      <c r="E86" s="7">
        <f t="shared" ca="1" si="37"/>
        <v>564.86</v>
      </c>
      <c r="F86" s="7">
        <f t="shared" ca="1" si="37"/>
        <v>0</v>
      </c>
      <c r="G86">
        <f>'Monthly Data'!CF86</f>
        <v>31</v>
      </c>
      <c r="H86">
        <f>'Monthly Data'!CD86</f>
        <v>0</v>
      </c>
      <c r="I86">
        <f>'Monthly Data'!CJ86</f>
        <v>0</v>
      </c>
      <c r="J86">
        <f>'Monthly Data'!P86</f>
        <v>393</v>
      </c>
      <c r="L86" s="6">
        <f t="shared" si="29"/>
        <v>-4550747.7974309605</v>
      </c>
      <c r="M86" s="6">
        <f t="shared" ca="1" si="32"/>
        <v>4060015.2605804652</v>
      </c>
      <c r="N86" s="6">
        <f t="shared" ca="1" si="33"/>
        <v>0</v>
      </c>
      <c r="O86" s="6">
        <f t="shared" si="34"/>
        <v>15176957.600351669</v>
      </c>
      <c r="P86" s="6">
        <f t="shared" si="35"/>
        <v>0</v>
      </c>
      <c r="Q86" s="6">
        <f t="shared" si="30"/>
        <v>6237968.061446812</v>
      </c>
      <c r="R86" s="6">
        <f t="shared" si="36"/>
        <v>0</v>
      </c>
      <c r="S86" s="6">
        <f t="shared" ca="1" si="31"/>
        <v>20924193.124947987</v>
      </c>
    </row>
    <row r="87" spans="1:19">
      <c r="A87" s="20">
        <f>'Monthly Data'!A87</f>
        <v>43497</v>
      </c>
      <c r="B87">
        <f t="shared" si="27"/>
        <v>2</v>
      </c>
      <c r="C87">
        <f t="shared" si="28"/>
        <v>2019</v>
      </c>
      <c r="D87" s="6">
        <f>'Monthly Data'!N87</f>
        <v>19689054.252646711</v>
      </c>
      <c r="E87" s="7">
        <f t="shared" ca="1" si="37"/>
        <v>516.43000000000006</v>
      </c>
      <c r="F87" s="7">
        <f t="shared" ca="1" si="37"/>
        <v>0</v>
      </c>
      <c r="G87">
        <f>'Monthly Data'!CF87</f>
        <v>28</v>
      </c>
      <c r="H87">
        <f>'Monthly Data'!CD87</f>
        <v>0</v>
      </c>
      <c r="I87">
        <f>'Monthly Data'!CJ87</f>
        <v>0</v>
      </c>
      <c r="J87">
        <f>'Monthly Data'!P87</f>
        <v>388</v>
      </c>
      <c r="L87" s="6">
        <f t="shared" si="29"/>
        <v>-4550747.7974309605</v>
      </c>
      <c r="M87" s="6">
        <f t="shared" ca="1" si="32"/>
        <v>3711917.4326763619</v>
      </c>
      <c r="N87" s="6">
        <f t="shared" ca="1" si="33"/>
        <v>0</v>
      </c>
      <c r="O87" s="6">
        <f t="shared" si="34"/>
        <v>13708219.76805957</v>
      </c>
      <c r="P87" s="6">
        <f t="shared" si="35"/>
        <v>0</v>
      </c>
      <c r="Q87" s="6">
        <f t="shared" si="30"/>
        <v>6158604.6001052493</v>
      </c>
      <c r="R87" s="6">
        <f t="shared" si="36"/>
        <v>0</v>
      </c>
      <c r="S87" s="6">
        <f t="shared" ca="1" si="31"/>
        <v>19027994.00341022</v>
      </c>
    </row>
    <row r="88" spans="1:19">
      <c r="A88" s="20">
        <f>'Monthly Data'!A88</f>
        <v>43525</v>
      </c>
      <c r="B88">
        <f t="shared" si="27"/>
        <v>3</v>
      </c>
      <c r="C88">
        <f t="shared" si="28"/>
        <v>2019</v>
      </c>
      <c r="D88" s="6">
        <f>'Monthly Data'!N88</f>
        <v>19694014.909946714</v>
      </c>
      <c r="E88" s="7">
        <f t="shared" ca="1" si="37"/>
        <v>412.32</v>
      </c>
      <c r="F88" s="7">
        <f t="shared" ca="1" si="37"/>
        <v>1.9999999999999928E-2</v>
      </c>
      <c r="G88">
        <f>'Monthly Data'!CF88</f>
        <v>31</v>
      </c>
      <c r="H88">
        <f>'Monthly Data'!CD88</f>
        <v>0</v>
      </c>
      <c r="I88">
        <f>'Monthly Data'!CJ88</f>
        <v>0</v>
      </c>
      <c r="J88">
        <f>'Monthly Data'!P88</f>
        <v>371</v>
      </c>
      <c r="L88" s="6">
        <f t="shared" si="29"/>
        <v>-4550747.7974309605</v>
      </c>
      <c r="M88" s="6">
        <f t="shared" ca="1" si="32"/>
        <v>2963611.3235890968</v>
      </c>
      <c r="N88" s="6">
        <f t="shared" ca="1" si="33"/>
        <v>470.73649958372431</v>
      </c>
      <c r="O88" s="6">
        <f t="shared" si="34"/>
        <v>15176957.600351669</v>
      </c>
      <c r="P88" s="6">
        <f t="shared" si="35"/>
        <v>0</v>
      </c>
      <c r="Q88" s="6">
        <f t="shared" si="30"/>
        <v>5888768.8315439373</v>
      </c>
      <c r="R88" s="6">
        <f t="shared" si="36"/>
        <v>0</v>
      </c>
      <c r="S88" s="6">
        <f t="shared" ca="1" si="31"/>
        <v>19479060.694553327</v>
      </c>
    </row>
    <row r="89" spans="1:19">
      <c r="A89" s="20">
        <f>'Monthly Data'!A89</f>
        <v>43556</v>
      </c>
      <c r="B89">
        <f t="shared" si="27"/>
        <v>4</v>
      </c>
      <c r="C89">
        <f t="shared" si="28"/>
        <v>2019</v>
      </c>
      <c r="D89" s="6">
        <f>'Monthly Data'!N89</f>
        <v>17847961.116946712</v>
      </c>
      <c r="E89" s="7">
        <f t="shared" ca="1" si="37"/>
        <v>229.95</v>
      </c>
      <c r="F89" s="7">
        <f t="shared" ca="1" si="37"/>
        <v>1.3500000000000003</v>
      </c>
      <c r="G89">
        <f>'Monthly Data'!CF89</f>
        <v>30</v>
      </c>
      <c r="H89">
        <f>'Monthly Data'!CD89</f>
        <v>0</v>
      </c>
      <c r="I89">
        <f>'Monthly Data'!CJ89</f>
        <v>0</v>
      </c>
      <c r="J89">
        <f>'Monthly Data'!P89</f>
        <v>370</v>
      </c>
      <c r="L89" s="6">
        <f t="shared" si="29"/>
        <v>-4550747.7974309605</v>
      </c>
      <c r="M89" s="6">
        <f t="shared" ca="1" si="32"/>
        <v>1652799.8250371383</v>
      </c>
      <c r="N89" s="6">
        <f t="shared" ca="1" si="33"/>
        <v>31774.713721901513</v>
      </c>
      <c r="O89" s="6">
        <f t="shared" si="34"/>
        <v>14687378.322920969</v>
      </c>
      <c r="P89" s="6">
        <f t="shared" si="35"/>
        <v>0</v>
      </c>
      <c r="Q89" s="6">
        <f t="shared" si="30"/>
        <v>5872896.1392756244</v>
      </c>
      <c r="R89" s="6">
        <f t="shared" si="36"/>
        <v>0</v>
      </c>
      <c r="S89" s="6">
        <f t="shared" ca="1" si="31"/>
        <v>17694101.203524671</v>
      </c>
    </row>
    <row r="90" spans="1:19">
      <c r="A90" s="20">
        <f>'Monthly Data'!A90</f>
        <v>43586</v>
      </c>
      <c r="B90">
        <f t="shared" si="27"/>
        <v>5</v>
      </c>
      <c r="C90">
        <f t="shared" si="28"/>
        <v>2019</v>
      </c>
      <c r="D90" s="6">
        <f>'Monthly Data'!N90</f>
        <v>17888743.361746714</v>
      </c>
      <c r="E90" s="7">
        <f t="shared" ref="E90:F95" ca="1" si="38">E78</f>
        <v>79.77000000000001</v>
      </c>
      <c r="F90" s="7">
        <f t="shared" ca="1" si="38"/>
        <v>42.72</v>
      </c>
      <c r="G90">
        <f>'Monthly Data'!CF90</f>
        <v>31</v>
      </c>
      <c r="H90">
        <f>'Monthly Data'!CD90</f>
        <v>0</v>
      </c>
      <c r="I90">
        <f>'Monthly Data'!CJ90</f>
        <v>0</v>
      </c>
      <c r="J90">
        <f>'Monthly Data'!P90</f>
        <v>368</v>
      </c>
      <c r="L90" s="6">
        <f t="shared" si="29"/>
        <v>-4550747.7974309605</v>
      </c>
      <c r="M90" s="6">
        <f t="shared" ca="1" si="32"/>
        <v>573358.73904419458</v>
      </c>
      <c r="N90" s="6">
        <f t="shared" ca="1" si="33"/>
        <v>1005493.1631108387</v>
      </c>
      <c r="O90" s="6">
        <f t="shared" si="34"/>
        <v>15176957.600351669</v>
      </c>
      <c r="P90" s="6">
        <f t="shared" si="35"/>
        <v>0</v>
      </c>
      <c r="Q90" s="6">
        <f t="shared" si="30"/>
        <v>5841150.7547389995</v>
      </c>
      <c r="R90" s="6">
        <f t="shared" si="36"/>
        <v>0</v>
      </c>
      <c r="S90" s="6">
        <f t="shared" ca="1" si="31"/>
        <v>18046212.459814742</v>
      </c>
    </row>
    <row r="91" spans="1:19">
      <c r="A91" s="20">
        <f>'Monthly Data'!A91</f>
        <v>43617</v>
      </c>
      <c r="B91">
        <f t="shared" si="27"/>
        <v>6</v>
      </c>
      <c r="C91">
        <f t="shared" si="28"/>
        <v>2019</v>
      </c>
      <c r="D91" s="6">
        <f>'Monthly Data'!N91</f>
        <v>17985271.596546713</v>
      </c>
      <c r="E91" s="7">
        <f t="shared" ca="1" si="38"/>
        <v>5.16</v>
      </c>
      <c r="F91" s="7">
        <f t="shared" ca="1" si="38"/>
        <v>97.63000000000001</v>
      </c>
      <c r="G91">
        <f>'Monthly Data'!CF91</f>
        <v>30</v>
      </c>
      <c r="H91">
        <f>'Monthly Data'!CD91</f>
        <v>0</v>
      </c>
      <c r="I91">
        <f>'Monthly Data'!CJ91</f>
        <v>0</v>
      </c>
      <c r="J91">
        <f>'Monthly Data'!P91</f>
        <v>372</v>
      </c>
      <c r="L91" s="6">
        <f t="shared" si="29"/>
        <v>-4550747.7974309605</v>
      </c>
      <c r="M91" s="6">
        <f t="shared" ca="1" si="32"/>
        <v>37088.267437232586</v>
      </c>
      <c r="N91" s="6">
        <f t="shared" ca="1" si="33"/>
        <v>2297900.222717959</v>
      </c>
      <c r="O91" s="6">
        <f t="shared" si="34"/>
        <v>14687378.322920969</v>
      </c>
      <c r="P91" s="6">
        <f t="shared" si="35"/>
        <v>0</v>
      </c>
      <c r="Q91" s="6">
        <f t="shared" si="30"/>
        <v>5904641.5238122502</v>
      </c>
      <c r="R91" s="6">
        <f t="shared" si="36"/>
        <v>0</v>
      </c>
      <c r="S91" s="6">
        <f t="shared" ca="1" si="31"/>
        <v>18376260.539457452</v>
      </c>
    </row>
    <row r="92" spans="1:19">
      <c r="A92" s="20">
        <f>'Monthly Data'!A92</f>
        <v>43647</v>
      </c>
      <c r="B92">
        <f t="shared" si="27"/>
        <v>7</v>
      </c>
      <c r="C92">
        <f t="shared" si="28"/>
        <v>2019</v>
      </c>
      <c r="D92" s="6">
        <f>'Monthly Data'!N92</f>
        <v>21371687.413446713</v>
      </c>
      <c r="E92" s="7">
        <f t="shared" ca="1" si="38"/>
        <v>0</v>
      </c>
      <c r="F92" s="7">
        <f t="shared" ca="1" si="38"/>
        <v>172.46999999999997</v>
      </c>
      <c r="G92">
        <f>'Monthly Data'!CF92</f>
        <v>31</v>
      </c>
      <c r="H92">
        <f>'Monthly Data'!CD92</f>
        <v>0</v>
      </c>
      <c r="I92">
        <f>'Monthly Data'!CJ92</f>
        <v>0</v>
      </c>
      <c r="J92">
        <f>'Monthly Data'!P92</f>
        <v>372</v>
      </c>
      <c r="L92" s="6">
        <f t="shared" si="29"/>
        <v>-4550747.7974309605</v>
      </c>
      <c r="M92" s="6">
        <f t="shared" ca="1" si="32"/>
        <v>0</v>
      </c>
      <c r="N92" s="6">
        <f t="shared" ca="1" si="33"/>
        <v>4059396.204160261</v>
      </c>
      <c r="O92" s="6">
        <f t="shared" si="34"/>
        <v>15176957.600351669</v>
      </c>
      <c r="P92" s="6">
        <f t="shared" si="35"/>
        <v>0</v>
      </c>
      <c r="Q92" s="6">
        <f t="shared" si="30"/>
        <v>5904641.5238122502</v>
      </c>
      <c r="R92" s="6">
        <f t="shared" si="36"/>
        <v>0</v>
      </c>
      <c r="S92" s="6">
        <f t="shared" ca="1" si="31"/>
        <v>20590247.530893218</v>
      </c>
    </row>
    <row r="93" spans="1:19">
      <c r="A93" s="20">
        <f>'Monthly Data'!A93</f>
        <v>43678</v>
      </c>
      <c r="B93">
        <f t="shared" si="27"/>
        <v>8</v>
      </c>
      <c r="C93">
        <f t="shared" si="28"/>
        <v>2019</v>
      </c>
      <c r="D93" s="6">
        <f>'Monthly Data'!N93</f>
        <v>20692910.106446713</v>
      </c>
      <c r="E93" s="7">
        <f t="shared" ca="1" si="38"/>
        <v>8.0000000000000071E-2</v>
      </c>
      <c r="F93" s="7">
        <f t="shared" ca="1" si="38"/>
        <v>155.49999999999997</v>
      </c>
      <c r="G93">
        <f>'Monthly Data'!CF93</f>
        <v>31</v>
      </c>
      <c r="H93">
        <f>'Monthly Data'!CD93</f>
        <v>0</v>
      </c>
      <c r="I93">
        <f>'Monthly Data'!CJ93</f>
        <v>0</v>
      </c>
      <c r="J93">
        <f>'Monthly Data'!P93</f>
        <v>374</v>
      </c>
      <c r="L93" s="6">
        <f t="shared" si="29"/>
        <v>-4550747.7974309605</v>
      </c>
      <c r="M93" s="6">
        <f t="shared" ca="1" si="32"/>
        <v>575.01189825166853</v>
      </c>
      <c r="N93" s="6">
        <f t="shared" ca="1" si="33"/>
        <v>3659976.2842634693</v>
      </c>
      <c r="O93" s="6">
        <f t="shared" si="34"/>
        <v>15176957.600351669</v>
      </c>
      <c r="P93" s="6">
        <f t="shared" si="35"/>
        <v>0</v>
      </c>
      <c r="Q93" s="6">
        <f t="shared" si="30"/>
        <v>5936386.9083488751</v>
      </c>
      <c r="R93" s="6">
        <f t="shared" si="36"/>
        <v>0</v>
      </c>
      <c r="S93" s="6">
        <f t="shared" ca="1" si="31"/>
        <v>20223148.007431306</v>
      </c>
    </row>
    <row r="94" spans="1:19">
      <c r="A94" s="20">
        <f>'Monthly Data'!A94</f>
        <v>43709</v>
      </c>
      <c r="B94">
        <f t="shared" si="27"/>
        <v>9</v>
      </c>
      <c r="C94">
        <f t="shared" si="28"/>
        <v>2019</v>
      </c>
      <c r="D94" s="6">
        <f>'Monthly Data'!N94</f>
        <v>18943818.919546712</v>
      </c>
      <c r="E94" s="7">
        <f t="shared" ca="1" si="38"/>
        <v>12.280000000000001</v>
      </c>
      <c r="F94" s="7">
        <f t="shared" ca="1" si="38"/>
        <v>76.13</v>
      </c>
      <c r="G94">
        <f>'Monthly Data'!CF94</f>
        <v>30</v>
      </c>
      <c r="H94">
        <f>'Monthly Data'!CD94</f>
        <v>1</v>
      </c>
      <c r="I94">
        <f>'Monthly Data'!CJ94</f>
        <v>0</v>
      </c>
      <c r="J94">
        <f>'Monthly Data'!P94</f>
        <v>374</v>
      </c>
      <c r="L94" s="6">
        <f t="shared" si="29"/>
        <v>-4550747.7974309605</v>
      </c>
      <c r="M94" s="6">
        <f t="shared" ca="1" si="32"/>
        <v>88264.32638163105</v>
      </c>
      <c r="N94" s="6">
        <f t="shared" ca="1" si="33"/>
        <v>1791858.4856654531</v>
      </c>
      <c r="O94" s="6">
        <f t="shared" si="34"/>
        <v>14687378.322920969</v>
      </c>
      <c r="P94" s="6">
        <f t="shared" si="35"/>
        <v>463327.49867077498</v>
      </c>
      <c r="Q94" s="6">
        <f t="shared" si="30"/>
        <v>5936386.9083488751</v>
      </c>
      <c r="R94" s="6">
        <f t="shared" si="36"/>
        <v>0</v>
      </c>
      <c r="S94" s="6">
        <f t="shared" ca="1" si="31"/>
        <v>18416467.744556744</v>
      </c>
    </row>
    <row r="95" spans="1:19">
      <c r="A95" s="20">
        <f>'Monthly Data'!A95</f>
        <v>43739</v>
      </c>
      <c r="B95">
        <f t="shared" si="27"/>
        <v>10</v>
      </c>
      <c r="C95">
        <f t="shared" si="28"/>
        <v>2019</v>
      </c>
      <c r="D95" s="6">
        <f>'Monthly Data'!N95</f>
        <v>18584373.277746715</v>
      </c>
      <c r="E95" s="7">
        <f t="shared" ca="1" si="38"/>
        <v>111.21000000000001</v>
      </c>
      <c r="F95" s="7">
        <f t="shared" ca="1" si="38"/>
        <v>15.330000000000002</v>
      </c>
      <c r="G95">
        <f>'Monthly Data'!CF95</f>
        <v>31</v>
      </c>
      <c r="H95">
        <f>'Monthly Data'!CD95</f>
        <v>1</v>
      </c>
      <c r="I95">
        <f>'Monthly Data'!CJ95</f>
        <v>0</v>
      </c>
      <c r="J95">
        <f>'Monthly Data'!P95</f>
        <v>376</v>
      </c>
      <c r="L95" s="6">
        <f t="shared" si="29"/>
        <v>-4550747.7974309605</v>
      </c>
      <c r="M95" s="6">
        <f t="shared" ca="1" si="32"/>
        <v>799338.41505710012</v>
      </c>
      <c r="N95" s="6">
        <f t="shared" ca="1" si="33"/>
        <v>360819.52693092608</v>
      </c>
      <c r="O95" s="6">
        <f t="shared" si="34"/>
        <v>15176957.600351669</v>
      </c>
      <c r="P95" s="6">
        <f t="shared" si="35"/>
        <v>463327.49867077498</v>
      </c>
      <c r="Q95" s="6">
        <f t="shared" si="30"/>
        <v>5968132.2928855</v>
      </c>
      <c r="R95" s="6">
        <f t="shared" si="36"/>
        <v>0</v>
      </c>
      <c r="S95" s="6">
        <f t="shared" ca="1" si="31"/>
        <v>18217827.536465012</v>
      </c>
    </row>
    <row r="96" spans="1:19">
      <c r="A96" s="20">
        <f>'Monthly Data'!A96</f>
        <v>43770</v>
      </c>
      <c r="B96">
        <f t="shared" ref="B96:B114" si="39">MONTH(A96)</f>
        <v>11</v>
      </c>
      <c r="C96">
        <f t="shared" ref="C96:C114" si="40">YEAR(A96)</f>
        <v>2019</v>
      </c>
      <c r="D96" s="6">
        <f>'Monthly Data'!N96</f>
        <v>19294942.186846711</v>
      </c>
      <c r="E96" s="7">
        <f t="shared" ref="E96:F96" ca="1" si="41">E84</f>
        <v>297.28000000000003</v>
      </c>
      <c r="F96" s="7">
        <f t="shared" ca="1" si="41"/>
        <v>0.76000000000000012</v>
      </c>
      <c r="G96">
        <f>'Monthly Data'!CF96</f>
        <v>30</v>
      </c>
      <c r="H96">
        <f>'Monthly Data'!CD96</f>
        <v>0</v>
      </c>
      <c r="I96">
        <f>'Monthly Data'!CJ96</f>
        <v>0</v>
      </c>
      <c r="J96">
        <f>'Monthly Data'!P96</f>
        <v>373</v>
      </c>
      <c r="L96" s="6">
        <f t="shared" si="29"/>
        <v>-4550747.7974309605</v>
      </c>
      <c r="M96" s="6">
        <f t="shared" ca="1" si="32"/>
        <v>2136744.2139031985</v>
      </c>
      <c r="N96" s="6">
        <f t="shared" ca="1" si="33"/>
        <v>17887.986984181593</v>
      </c>
      <c r="O96" s="6">
        <f t="shared" si="34"/>
        <v>14687378.322920969</v>
      </c>
      <c r="P96" s="6">
        <f t="shared" si="35"/>
        <v>0</v>
      </c>
      <c r="Q96" s="6">
        <f t="shared" si="30"/>
        <v>5920514.2160805622</v>
      </c>
      <c r="R96" s="6">
        <f t="shared" si="36"/>
        <v>0</v>
      </c>
      <c r="S96" s="6">
        <f t="shared" ca="1" si="31"/>
        <v>18211776.942457952</v>
      </c>
    </row>
    <row r="97" spans="1:19">
      <c r="A97" s="20">
        <f>'Monthly Data'!A97</f>
        <v>43800</v>
      </c>
      <c r="B97">
        <f t="shared" si="39"/>
        <v>12</v>
      </c>
      <c r="C97">
        <f t="shared" si="40"/>
        <v>2019</v>
      </c>
      <c r="D97" s="6">
        <f>'Monthly Data'!N97</f>
        <v>19752493.354446713</v>
      </c>
      <c r="E97" s="7">
        <f t="shared" ref="E97:F97" ca="1" si="42">E85</f>
        <v>440.25</v>
      </c>
      <c r="F97" s="7">
        <f t="shared" ca="1" si="42"/>
        <v>0</v>
      </c>
      <c r="G97">
        <f>'Monthly Data'!CF97</f>
        <v>31</v>
      </c>
      <c r="H97">
        <f>'Monthly Data'!CD97</f>
        <v>0</v>
      </c>
      <c r="I97">
        <f>'Monthly Data'!CJ97</f>
        <v>0</v>
      </c>
      <c r="J97">
        <f>'Monthly Data'!P97</f>
        <v>371</v>
      </c>
      <c r="L97" s="6">
        <f t="shared" si="29"/>
        <v>-4550747.7974309605</v>
      </c>
      <c r="M97" s="6">
        <f t="shared" ca="1" si="32"/>
        <v>3164362.3525662106</v>
      </c>
      <c r="N97" s="6">
        <f t="shared" ca="1" si="33"/>
        <v>0</v>
      </c>
      <c r="O97" s="6">
        <f t="shared" si="34"/>
        <v>15176957.600351669</v>
      </c>
      <c r="P97" s="6">
        <f t="shared" si="35"/>
        <v>0</v>
      </c>
      <c r="Q97" s="6">
        <f t="shared" si="30"/>
        <v>5888768.8315439373</v>
      </c>
      <c r="R97" s="6">
        <f t="shared" si="36"/>
        <v>0</v>
      </c>
      <c r="S97" s="6">
        <f t="shared" ca="1" si="31"/>
        <v>19679340.987030856</v>
      </c>
    </row>
    <row r="98" spans="1:19">
      <c r="A98" s="20">
        <f>'Monthly Data'!A98</f>
        <v>43831</v>
      </c>
      <c r="B98">
        <f t="shared" si="39"/>
        <v>1</v>
      </c>
      <c r="C98">
        <f t="shared" si="40"/>
        <v>2020</v>
      </c>
      <c r="D98" s="6">
        <f>'Monthly Data'!N98</f>
        <v>21003002.009531625</v>
      </c>
      <c r="E98" s="7">
        <f t="shared" ref="E98:F98" ca="1" si="43">E86</f>
        <v>564.86</v>
      </c>
      <c r="F98" s="7">
        <f t="shared" ca="1" si="43"/>
        <v>0</v>
      </c>
      <c r="G98">
        <f>'Monthly Data'!CF98</f>
        <v>31</v>
      </c>
      <c r="H98">
        <f>'Monthly Data'!CD98</f>
        <v>0</v>
      </c>
      <c r="I98">
        <f>'Monthly Data'!CJ98</f>
        <v>0</v>
      </c>
      <c r="J98">
        <f>'Monthly Data'!P98</f>
        <v>373</v>
      </c>
      <c r="L98" s="6">
        <f t="shared" ref="L98:L129" si="44">$V$7</f>
        <v>-4550747.7974309605</v>
      </c>
      <c r="M98" s="6">
        <f t="shared" ca="1" si="32"/>
        <v>4060015.2605804652</v>
      </c>
      <c r="N98" s="6">
        <f t="shared" ca="1" si="33"/>
        <v>0</v>
      </c>
      <c r="O98" s="6">
        <f t="shared" si="34"/>
        <v>15176957.600351669</v>
      </c>
      <c r="P98" s="6">
        <f t="shared" si="35"/>
        <v>0</v>
      </c>
      <c r="Q98" s="6">
        <f t="shared" ref="Q98:Q129" si="45">J98*$V$12</f>
        <v>5920514.2160805622</v>
      </c>
      <c r="R98" s="6">
        <f t="shared" si="36"/>
        <v>0</v>
      </c>
      <c r="S98" s="6">
        <f t="shared" ref="S98:S129" ca="1" si="46">SUM(L98:R98)</f>
        <v>20606739.279581737</v>
      </c>
    </row>
    <row r="99" spans="1:19">
      <c r="A99" s="20">
        <f>'Monthly Data'!A99</f>
        <v>43862</v>
      </c>
      <c r="B99">
        <f t="shared" si="39"/>
        <v>2</v>
      </c>
      <c r="C99">
        <f t="shared" si="40"/>
        <v>2020</v>
      </c>
      <c r="D99" s="6">
        <f>'Monthly Data'!N99</f>
        <v>20078372.746231623</v>
      </c>
      <c r="E99" s="7">
        <f t="shared" ref="E99:F99" ca="1" si="47">E87</f>
        <v>516.43000000000006</v>
      </c>
      <c r="F99" s="7">
        <f t="shared" ca="1" si="47"/>
        <v>0</v>
      </c>
      <c r="G99">
        <f>'Monthly Data'!CF99</f>
        <v>29</v>
      </c>
      <c r="H99">
        <f>'Monthly Data'!CD99</f>
        <v>0</v>
      </c>
      <c r="I99">
        <f>'Monthly Data'!CJ99</f>
        <v>0</v>
      </c>
      <c r="J99">
        <f>'Monthly Data'!P99</f>
        <v>377</v>
      </c>
      <c r="L99" s="6">
        <f t="shared" si="44"/>
        <v>-4550747.7974309605</v>
      </c>
      <c r="M99" s="6">
        <f t="shared" ca="1" si="32"/>
        <v>3711917.4326763619</v>
      </c>
      <c r="N99" s="6">
        <f t="shared" ca="1" si="33"/>
        <v>0</v>
      </c>
      <c r="O99" s="6">
        <f t="shared" si="34"/>
        <v>14197799.04549027</v>
      </c>
      <c r="P99" s="6">
        <f t="shared" si="35"/>
        <v>0</v>
      </c>
      <c r="Q99" s="6">
        <f t="shared" si="45"/>
        <v>5984004.985153812</v>
      </c>
      <c r="R99" s="6">
        <f t="shared" si="36"/>
        <v>0</v>
      </c>
      <c r="S99" s="6">
        <f t="shared" ca="1" si="46"/>
        <v>19342973.665889483</v>
      </c>
    </row>
    <row r="100" spans="1:19">
      <c r="A100" s="20">
        <f>'Monthly Data'!A100</f>
        <v>43891</v>
      </c>
      <c r="B100">
        <f t="shared" si="39"/>
        <v>3</v>
      </c>
      <c r="C100">
        <f t="shared" si="40"/>
        <v>2020</v>
      </c>
      <c r="D100" s="6">
        <f>'Monthly Data'!N100</f>
        <v>19033212.631531626</v>
      </c>
      <c r="E100" s="7">
        <f t="shared" ref="E100:F100" ca="1" si="48">E88</f>
        <v>412.32</v>
      </c>
      <c r="F100" s="7">
        <f t="shared" ca="1" si="48"/>
        <v>1.9999999999999928E-2</v>
      </c>
      <c r="G100">
        <f>'Monthly Data'!CF100</f>
        <v>31</v>
      </c>
      <c r="H100">
        <f>'Monthly Data'!CD100</f>
        <v>0</v>
      </c>
      <c r="I100">
        <f>'Monthly Data'!CJ100</f>
        <v>0.5</v>
      </c>
      <c r="J100">
        <f>'Monthly Data'!P100</f>
        <v>378</v>
      </c>
      <c r="L100" s="6">
        <f t="shared" si="44"/>
        <v>-4550747.7974309605</v>
      </c>
      <c r="M100" s="6">
        <f t="shared" ca="1" si="32"/>
        <v>2963611.3235890968</v>
      </c>
      <c r="N100" s="6">
        <f t="shared" ca="1" si="33"/>
        <v>470.73649958372431</v>
      </c>
      <c r="O100" s="6">
        <f t="shared" si="34"/>
        <v>15176957.600351669</v>
      </c>
      <c r="P100" s="6">
        <f t="shared" si="35"/>
        <v>0</v>
      </c>
      <c r="Q100" s="6">
        <f t="shared" si="45"/>
        <v>5999877.6774221249</v>
      </c>
      <c r="R100" s="6">
        <f t="shared" si="36"/>
        <v>-712932.46994479001</v>
      </c>
      <c r="S100" s="6">
        <f t="shared" ca="1" si="46"/>
        <v>18877237.070486724</v>
      </c>
    </row>
    <row r="101" spans="1:19">
      <c r="A101" s="20">
        <f>'Monthly Data'!A101</f>
        <v>43922</v>
      </c>
      <c r="B101">
        <f t="shared" si="39"/>
        <v>4</v>
      </c>
      <c r="C101">
        <f t="shared" si="40"/>
        <v>2020</v>
      </c>
      <c r="D101" s="6">
        <f>'Monthly Data'!N101</f>
        <v>16146825.079031626</v>
      </c>
      <c r="E101" s="7">
        <f t="shared" ref="E101:F101" ca="1" si="49">E89</f>
        <v>229.95</v>
      </c>
      <c r="F101" s="7">
        <f t="shared" ca="1" si="49"/>
        <v>1.3500000000000003</v>
      </c>
      <c r="G101">
        <f>'Monthly Data'!CF101</f>
        <v>30</v>
      </c>
      <c r="H101">
        <f>'Monthly Data'!CD101</f>
        <v>0</v>
      </c>
      <c r="I101">
        <f>'Monthly Data'!CJ101</f>
        <v>1</v>
      </c>
      <c r="J101">
        <f>'Monthly Data'!P101</f>
        <v>367</v>
      </c>
      <c r="L101" s="6">
        <f t="shared" si="44"/>
        <v>-4550747.7974309605</v>
      </c>
      <c r="M101" s="6">
        <f t="shared" ca="1" si="32"/>
        <v>1652799.8250371383</v>
      </c>
      <c r="N101" s="6">
        <f t="shared" ca="1" si="33"/>
        <v>31774.713721901513</v>
      </c>
      <c r="O101" s="6">
        <f t="shared" si="34"/>
        <v>14687378.322920969</v>
      </c>
      <c r="P101" s="6">
        <f t="shared" si="35"/>
        <v>0</v>
      </c>
      <c r="Q101" s="6">
        <f t="shared" si="45"/>
        <v>5825278.0624706876</v>
      </c>
      <c r="R101" s="6">
        <f t="shared" si="36"/>
        <v>-1425864.93988958</v>
      </c>
      <c r="S101" s="6">
        <f t="shared" ca="1" si="46"/>
        <v>16220618.186830156</v>
      </c>
    </row>
    <row r="102" spans="1:19">
      <c r="A102" s="20">
        <f>'Monthly Data'!A102</f>
        <v>43952</v>
      </c>
      <c r="B102">
        <f t="shared" si="39"/>
        <v>5</v>
      </c>
      <c r="C102">
        <f t="shared" si="40"/>
        <v>2020</v>
      </c>
      <c r="D102" s="6">
        <f>'Monthly Data'!N102</f>
        <v>16737509.729731625</v>
      </c>
      <c r="E102" s="7">
        <f t="shared" ref="E102:F102" ca="1" si="50">E90</f>
        <v>79.77000000000001</v>
      </c>
      <c r="F102" s="7">
        <f t="shared" ca="1" si="50"/>
        <v>42.72</v>
      </c>
      <c r="G102">
        <f>'Monthly Data'!CF102</f>
        <v>31</v>
      </c>
      <c r="H102">
        <f>'Monthly Data'!CD102</f>
        <v>0</v>
      </c>
      <c r="I102">
        <f>'Monthly Data'!CJ102</f>
        <v>1</v>
      </c>
      <c r="J102">
        <f>'Monthly Data'!P102</f>
        <v>367</v>
      </c>
      <c r="L102" s="6">
        <f t="shared" si="44"/>
        <v>-4550747.7974309605</v>
      </c>
      <c r="M102" s="6">
        <f t="shared" ca="1" si="32"/>
        <v>573358.73904419458</v>
      </c>
      <c r="N102" s="6">
        <f t="shared" ca="1" si="33"/>
        <v>1005493.1631108387</v>
      </c>
      <c r="O102" s="6">
        <f t="shared" si="34"/>
        <v>15176957.600351669</v>
      </c>
      <c r="P102" s="6">
        <f t="shared" si="35"/>
        <v>0</v>
      </c>
      <c r="Q102" s="6">
        <f t="shared" si="45"/>
        <v>5825278.0624706876</v>
      </c>
      <c r="R102" s="6">
        <f t="shared" si="36"/>
        <v>-1425864.93988958</v>
      </c>
      <c r="S102" s="6">
        <f t="shared" ca="1" si="46"/>
        <v>16604474.82765685</v>
      </c>
    </row>
    <row r="103" spans="1:19">
      <c r="A103" s="20">
        <f>'Monthly Data'!A103</f>
        <v>43983</v>
      </c>
      <c r="B103">
        <f t="shared" si="39"/>
        <v>6</v>
      </c>
      <c r="C103">
        <f t="shared" si="40"/>
        <v>2020</v>
      </c>
      <c r="D103" s="6">
        <f>'Monthly Data'!N103</f>
        <v>18080324.839931626</v>
      </c>
      <c r="E103" s="7">
        <f t="shared" ref="E103:F103" ca="1" si="51">E91</f>
        <v>5.16</v>
      </c>
      <c r="F103" s="7">
        <f t="shared" ca="1" si="51"/>
        <v>97.63000000000001</v>
      </c>
      <c r="G103">
        <f>'Monthly Data'!CF103</f>
        <v>30</v>
      </c>
      <c r="H103">
        <f>'Monthly Data'!CD103</f>
        <v>0</v>
      </c>
      <c r="I103">
        <f>'Monthly Data'!CJ103</f>
        <v>0.5</v>
      </c>
      <c r="J103">
        <f>'Monthly Data'!P103</f>
        <v>370</v>
      </c>
      <c r="L103" s="6">
        <f t="shared" si="44"/>
        <v>-4550747.7974309605</v>
      </c>
      <c r="M103" s="6">
        <f t="shared" ca="1" si="32"/>
        <v>37088.267437232586</v>
      </c>
      <c r="N103" s="6">
        <f t="shared" ca="1" si="33"/>
        <v>2297900.222717959</v>
      </c>
      <c r="O103" s="6">
        <f t="shared" si="34"/>
        <v>14687378.322920969</v>
      </c>
      <c r="P103" s="6">
        <f t="shared" si="35"/>
        <v>0</v>
      </c>
      <c r="Q103" s="6">
        <f t="shared" si="45"/>
        <v>5872896.1392756244</v>
      </c>
      <c r="R103" s="6">
        <f t="shared" si="36"/>
        <v>-712932.46994479001</v>
      </c>
      <c r="S103" s="6">
        <f t="shared" ca="1" si="46"/>
        <v>17631582.684976034</v>
      </c>
    </row>
    <row r="104" spans="1:19">
      <c r="A104" s="20">
        <f>'Monthly Data'!A104</f>
        <v>44013</v>
      </c>
      <c r="B104">
        <f t="shared" si="39"/>
        <v>7</v>
      </c>
      <c r="C104">
        <f t="shared" si="40"/>
        <v>2020</v>
      </c>
      <c r="D104" s="6">
        <f>'Monthly Data'!N104</f>
        <v>20778017.208231624</v>
      </c>
      <c r="E104" s="7">
        <f t="shared" ref="E104:F104" ca="1" si="52">E92</f>
        <v>0</v>
      </c>
      <c r="F104" s="7">
        <f t="shared" ca="1" si="52"/>
        <v>172.46999999999997</v>
      </c>
      <c r="G104">
        <f>'Monthly Data'!CF104</f>
        <v>31</v>
      </c>
      <c r="H104">
        <f>'Monthly Data'!CD104</f>
        <v>0</v>
      </c>
      <c r="I104">
        <f>'Monthly Data'!CJ104</f>
        <v>0</v>
      </c>
      <c r="J104">
        <f>'Monthly Data'!P104</f>
        <v>372</v>
      </c>
      <c r="L104" s="6">
        <f t="shared" si="44"/>
        <v>-4550747.7974309605</v>
      </c>
      <c r="M104" s="6">
        <f t="shared" ca="1" si="32"/>
        <v>0</v>
      </c>
      <c r="N104" s="6">
        <f t="shared" ca="1" si="33"/>
        <v>4059396.204160261</v>
      </c>
      <c r="O104" s="6">
        <f t="shared" si="34"/>
        <v>15176957.600351669</v>
      </c>
      <c r="P104" s="6">
        <f t="shared" si="35"/>
        <v>0</v>
      </c>
      <c r="Q104" s="6">
        <f t="shared" si="45"/>
        <v>5904641.5238122502</v>
      </c>
      <c r="R104" s="6">
        <f t="shared" si="36"/>
        <v>0</v>
      </c>
      <c r="S104" s="6">
        <f t="shared" ca="1" si="46"/>
        <v>20590247.530893218</v>
      </c>
    </row>
    <row r="105" spans="1:19">
      <c r="A105" s="20">
        <f>'Monthly Data'!A105</f>
        <v>44044</v>
      </c>
      <c r="B105">
        <f t="shared" si="39"/>
        <v>8</v>
      </c>
      <c r="C105">
        <f t="shared" si="40"/>
        <v>2020</v>
      </c>
      <c r="D105" s="6">
        <f>'Monthly Data'!N105</f>
        <v>19812423.801231623</v>
      </c>
      <c r="E105" s="7">
        <f t="shared" ref="E105:F105" ca="1" si="53">E93</f>
        <v>8.0000000000000071E-2</v>
      </c>
      <c r="F105" s="7">
        <f t="shared" ca="1" si="53"/>
        <v>155.49999999999997</v>
      </c>
      <c r="G105">
        <f>'Monthly Data'!CF105</f>
        <v>31</v>
      </c>
      <c r="H105">
        <f>'Monthly Data'!CD105</f>
        <v>0</v>
      </c>
      <c r="I105">
        <f>'Monthly Data'!CJ105</f>
        <v>0</v>
      </c>
      <c r="J105">
        <f>'Monthly Data'!P105</f>
        <v>370</v>
      </c>
      <c r="L105" s="6">
        <f t="shared" si="44"/>
        <v>-4550747.7974309605</v>
      </c>
      <c r="M105" s="6">
        <f t="shared" ca="1" si="32"/>
        <v>575.01189825166853</v>
      </c>
      <c r="N105" s="6">
        <f t="shared" ca="1" si="33"/>
        <v>3659976.2842634693</v>
      </c>
      <c r="O105" s="6">
        <f t="shared" si="34"/>
        <v>15176957.600351669</v>
      </c>
      <c r="P105" s="6">
        <f t="shared" si="35"/>
        <v>0</v>
      </c>
      <c r="Q105" s="6">
        <f t="shared" si="45"/>
        <v>5872896.1392756244</v>
      </c>
      <c r="R105" s="6">
        <f t="shared" si="36"/>
        <v>0</v>
      </c>
      <c r="S105" s="6">
        <f t="shared" ca="1" si="46"/>
        <v>20159657.238358054</v>
      </c>
    </row>
    <row r="106" spans="1:19">
      <c r="A106" s="20">
        <f>'Monthly Data'!A106</f>
        <v>44075</v>
      </c>
      <c r="B106">
        <f t="shared" si="39"/>
        <v>9</v>
      </c>
      <c r="C106">
        <f t="shared" si="40"/>
        <v>2020</v>
      </c>
      <c r="D106" s="6">
        <f>'Monthly Data'!N106</f>
        <v>17720405.453531627</v>
      </c>
      <c r="E106" s="7">
        <f t="shared" ref="E106:F106" ca="1" si="54">E94</f>
        <v>12.280000000000001</v>
      </c>
      <c r="F106" s="7">
        <f t="shared" ca="1" si="54"/>
        <v>76.13</v>
      </c>
      <c r="G106">
        <f>'Monthly Data'!CF106</f>
        <v>30</v>
      </c>
      <c r="H106">
        <f>'Monthly Data'!CD106</f>
        <v>1</v>
      </c>
      <c r="I106">
        <f>'Monthly Data'!CJ106</f>
        <v>0</v>
      </c>
      <c r="J106">
        <f>'Monthly Data'!P106</f>
        <v>369</v>
      </c>
      <c r="L106" s="6">
        <f t="shared" si="44"/>
        <v>-4550747.7974309605</v>
      </c>
      <c r="M106" s="6">
        <f t="shared" ca="1" si="32"/>
        <v>88264.32638163105</v>
      </c>
      <c r="N106" s="6">
        <f t="shared" ca="1" si="33"/>
        <v>1791858.4856654531</v>
      </c>
      <c r="O106" s="6">
        <f t="shared" si="34"/>
        <v>14687378.322920969</v>
      </c>
      <c r="P106" s="6">
        <f t="shared" si="35"/>
        <v>463327.49867077498</v>
      </c>
      <c r="Q106" s="6">
        <f t="shared" si="45"/>
        <v>5857023.4470073124</v>
      </c>
      <c r="R106" s="6">
        <f t="shared" si="36"/>
        <v>0</v>
      </c>
      <c r="S106" s="6">
        <f t="shared" ca="1" si="46"/>
        <v>18337104.28321518</v>
      </c>
    </row>
    <row r="107" spans="1:19">
      <c r="A107" s="20">
        <f>'Monthly Data'!A107</f>
        <v>44105</v>
      </c>
      <c r="B107">
        <f t="shared" si="39"/>
        <v>10</v>
      </c>
      <c r="C107">
        <f t="shared" si="40"/>
        <v>2020</v>
      </c>
      <c r="D107" s="6">
        <f>'Monthly Data'!N107</f>
        <v>17763399.932731625</v>
      </c>
      <c r="E107" s="7">
        <f t="shared" ref="E107:F107" ca="1" si="55">E95</f>
        <v>111.21000000000001</v>
      </c>
      <c r="F107" s="7">
        <f t="shared" ca="1" si="55"/>
        <v>15.330000000000002</v>
      </c>
      <c r="G107">
        <f>'Monthly Data'!CF107</f>
        <v>31</v>
      </c>
      <c r="H107">
        <f>'Monthly Data'!CD107</f>
        <v>1</v>
      </c>
      <c r="I107">
        <f>'Monthly Data'!CJ107</f>
        <v>0</v>
      </c>
      <c r="J107">
        <f>'Monthly Data'!P107</f>
        <v>369</v>
      </c>
      <c r="L107" s="6">
        <f t="shared" si="44"/>
        <v>-4550747.7974309605</v>
      </c>
      <c r="M107" s="6">
        <f t="shared" ca="1" si="32"/>
        <v>799338.41505710012</v>
      </c>
      <c r="N107" s="6">
        <f t="shared" ca="1" si="33"/>
        <v>360819.52693092608</v>
      </c>
      <c r="O107" s="6">
        <f t="shared" si="34"/>
        <v>15176957.600351669</v>
      </c>
      <c r="P107" s="6">
        <f t="shared" si="35"/>
        <v>463327.49867077498</v>
      </c>
      <c r="Q107" s="6">
        <f t="shared" si="45"/>
        <v>5857023.4470073124</v>
      </c>
      <c r="R107" s="6">
        <f t="shared" si="36"/>
        <v>0</v>
      </c>
      <c r="S107" s="6">
        <f t="shared" ca="1" si="46"/>
        <v>18106718.690586824</v>
      </c>
    </row>
    <row r="108" spans="1:19">
      <c r="A108" s="20">
        <f>'Monthly Data'!A108</f>
        <v>44136</v>
      </c>
      <c r="B108">
        <f t="shared" si="39"/>
        <v>11</v>
      </c>
      <c r="C108">
        <f t="shared" si="40"/>
        <v>2020</v>
      </c>
      <c r="D108" s="6">
        <f>'Monthly Data'!N108</f>
        <v>18001281.908531625</v>
      </c>
      <c r="E108" s="7">
        <f t="shared" ref="E108:F108" ca="1" si="56">E96</f>
        <v>297.28000000000003</v>
      </c>
      <c r="F108" s="7">
        <f t="shared" ca="1" si="56"/>
        <v>0.76000000000000012</v>
      </c>
      <c r="G108">
        <f>'Monthly Data'!CF108</f>
        <v>30</v>
      </c>
      <c r="H108">
        <f>'Monthly Data'!CD108</f>
        <v>0</v>
      </c>
      <c r="I108">
        <f>'Monthly Data'!CJ108</f>
        <v>0</v>
      </c>
      <c r="J108">
        <f>'Monthly Data'!P108</f>
        <v>369</v>
      </c>
      <c r="L108" s="6">
        <f t="shared" si="44"/>
        <v>-4550747.7974309605</v>
      </c>
      <c r="M108" s="6">
        <f t="shared" ca="1" si="32"/>
        <v>2136744.2139031985</v>
      </c>
      <c r="N108" s="6">
        <f t="shared" ca="1" si="33"/>
        <v>17887.986984181593</v>
      </c>
      <c r="O108" s="6">
        <f t="shared" si="34"/>
        <v>14687378.322920969</v>
      </c>
      <c r="P108" s="6">
        <f t="shared" si="35"/>
        <v>0</v>
      </c>
      <c r="Q108" s="6">
        <f t="shared" si="45"/>
        <v>5857023.4470073124</v>
      </c>
      <c r="R108" s="6">
        <f t="shared" si="36"/>
        <v>0</v>
      </c>
      <c r="S108" s="6">
        <f t="shared" ca="1" si="46"/>
        <v>18148286.1733847</v>
      </c>
    </row>
    <row r="109" spans="1:19">
      <c r="A109" s="20">
        <f>'Monthly Data'!A109</f>
        <v>44166</v>
      </c>
      <c r="B109">
        <f t="shared" si="39"/>
        <v>12</v>
      </c>
      <c r="C109">
        <f t="shared" si="40"/>
        <v>2020</v>
      </c>
      <c r="D109" s="6">
        <f>'Monthly Data'!N109</f>
        <v>19211884.231731623</v>
      </c>
      <c r="E109" s="7">
        <f t="shared" ref="E109:F109" ca="1" si="57">E97</f>
        <v>440.25</v>
      </c>
      <c r="F109" s="7">
        <f t="shared" ca="1" si="57"/>
        <v>0</v>
      </c>
      <c r="G109">
        <f>'Monthly Data'!CF109</f>
        <v>31</v>
      </c>
      <c r="H109">
        <f>'Monthly Data'!CD109</f>
        <v>0</v>
      </c>
      <c r="I109">
        <f>'Monthly Data'!CJ109</f>
        <v>0</v>
      </c>
      <c r="J109">
        <f>'Monthly Data'!P109</f>
        <v>370</v>
      </c>
      <c r="L109" s="6">
        <f t="shared" si="44"/>
        <v>-4550747.7974309605</v>
      </c>
      <c r="M109" s="6">
        <f t="shared" ca="1" si="32"/>
        <v>3164362.3525662106</v>
      </c>
      <c r="N109" s="6">
        <f t="shared" ca="1" si="33"/>
        <v>0</v>
      </c>
      <c r="O109" s="6">
        <f t="shared" si="34"/>
        <v>15176957.600351669</v>
      </c>
      <c r="P109" s="6">
        <f t="shared" si="35"/>
        <v>0</v>
      </c>
      <c r="Q109" s="6">
        <f t="shared" si="45"/>
        <v>5872896.1392756244</v>
      </c>
      <c r="R109" s="6">
        <f t="shared" si="36"/>
        <v>0</v>
      </c>
      <c r="S109" s="6">
        <f t="shared" ca="1" si="46"/>
        <v>19663468.294762544</v>
      </c>
    </row>
    <row r="110" spans="1:19">
      <c r="A110" s="20">
        <f>'Monthly Data'!A110</f>
        <v>44197</v>
      </c>
      <c r="B110">
        <f t="shared" si="39"/>
        <v>1</v>
      </c>
      <c r="C110">
        <f t="shared" si="40"/>
        <v>2021</v>
      </c>
      <c r="D110" s="6">
        <f>'Monthly Data'!N110</f>
        <v>19429062.246832542</v>
      </c>
      <c r="E110" s="7">
        <f t="shared" ref="E110:F110" ca="1" si="58">E98</f>
        <v>564.86</v>
      </c>
      <c r="F110" s="7">
        <f t="shared" ca="1" si="58"/>
        <v>0</v>
      </c>
      <c r="G110">
        <f>'Monthly Data'!CF110</f>
        <v>31</v>
      </c>
      <c r="H110">
        <f>'Monthly Data'!CD110</f>
        <v>0</v>
      </c>
      <c r="I110">
        <f>'Monthly Data'!CJ110</f>
        <v>0</v>
      </c>
      <c r="J110">
        <f>'Monthly Data'!P110</f>
        <v>369</v>
      </c>
      <c r="L110" s="6">
        <f t="shared" si="44"/>
        <v>-4550747.7974309605</v>
      </c>
      <c r="M110" s="6">
        <f t="shared" ca="1" si="32"/>
        <v>4060015.2605804652</v>
      </c>
      <c r="N110" s="6">
        <f t="shared" ca="1" si="33"/>
        <v>0</v>
      </c>
      <c r="O110" s="6">
        <f t="shared" si="34"/>
        <v>15176957.600351669</v>
      </c>
      <c r="P110" s="6">
        <f t="shared" si="35"/>
        <v>0</v>
      </c>
      <c r="Q110" s="6">
        <f t="shared" si="45"/>
        <v>5857023.4470073124</v>
      </c>
      <c r="R110" s="6">
        <f t="shared" si="36"/>
        <v>0</v>
      </c>
      <c r="S110" s="6">
        <f t="shared" ca="1" si="46"/>
        <v>20543248.510508485</v>
      </c>
    </row>
    <row r="111" spans="1:19">
      <c r="A111" s="20">
        <f>'Monthly Data'!A111</f>
        <v>44228</v>
      </c>
      <c r="B111">
        <f t="shared" si="39"/>
        <v>2</v>
      </c>
      <c r="C111">
        <f t="shared" si="40"/>
        <v>2021</v>
      </c>
      <c r="D111" s="6">
        <f>'Monthly Data'!N111</f>
        <v>18800724.077532545</v>
      </c>
      <c r="E111" s="7">
        <f t="shared" ref="E111:F111" ca="1" si="59">E99</f>
        <v>516.43000000000006</v>
      </c>
      <c r="F111" s="7">
        <f t="shared" ca="1" si="59"/>
        <v>0</v>
      </c>
      <c r="G111">
        <f>'Monthly Data'!CF111</f>
        <v>28</v>
      </c>
      <c r="H111">
        <f>'Monthly Data'!CD111</f>
        <v>0</v>
      </c>
      <c r="I111">
        <f>'Monthly Data'!CJ111</f>
        <v>0</v>
      </c>
      <c r="J111">
        <f>'Monthly Data'!P111</f>
        <v>369</v>
      </c>
      <c r="L111" s="6">
        <f t="shared" si="44"/>
        <v>-4550747.7974309605</v>
      </c>
      <c r="M111" s="6">
        <f t="shared" ca="1" si="32"/>
        <v>3711917.4326763619</v>
      </c>
      <c r="N111" s="6">
        <f t="shared" ca="1" si="33"/>
        <v>0</v>
      </c>
      <c r="O111" s="6">
        <f t="shared" si="34"/>
        <v>13708219.76805957</v>
      </c>
      <c r="P111" s="6">
        <f t="shared" si="35"/>
        <v>0</v>
      </c>
      <c r="Q111" s="6">
        <f t="shared" si="45"/>
        <v>5857023.4470073124</v>
      </c>
      <c r="R111" s="6">
        <f t="shared" si="36"/>
        <v>0</v>
      </c>
      <c r="S111" s="6">
        <f t="shared" ca="1" si="46"/>
        <v>18726412.850312285</v>
      </c>
    </row>
    <row r="112" spans="1:19">
      <c r="A112" s="20">
        <f>'Monthly Data'!A112</f>
        <v>44256</v>
      </c>
      <c r="B112">
        <f t="shared" si="39"/>
        <v>3</v>
      </c>
      <c r="C112">
        <f t="shared" si="40"/>
        <v>2021</v>
      </c>
      <c r="D112" s="6">
        <f>'Monthly Data'!N112</f>
        <v>18732854.230432551</v>
      </c>
      <c r="E112" s="7">
        <f t="shared" ref="E112:F112" ca="1" si="60">E100</f>
        <v>412.32</v>
      </c>
      <c r="F112" s="7">
        <f t="shared" ca="1" si="60"/>
        <v>1.9999999999999928E-2</v>
      </c>
      <c r="G112">
        <f>'Monthly Data'!CF112</f>
        <v>31</v>
      </c>
      <c r="H112">
        <f>'Monthly Data'!CD112</f>
        <v>0</v>
      </c>
      <c r="I112">
        <f>'Monthly Data'!CJ112</f>
        <v>0</v>
      </c>
      <c r="J112">
        <f>'Monthly Data'!P112</f>
        <v>370</v>
      </c>
      <c r="L112" s="6">
        <f t="shared" si="44"/>
        <v>-4550747.7974309605</v>
      </c>
      <c r="M112" s="6">
        <f t="shared" ca="1" si="32"/>
        <v>2963611.3235890968</v>
      </c>
      <c r="N112" s="6">
        <f t="shared" ca="1" si="33"/>
        <v>470.73649958372431</v>
      </c>
      <c r="O112" s="6">
        <f t="shared" si="34"/>
        <v>15176957.600351669</v>
      </c>
      <c r="P112" s="6">
        <f t="shared" si="35"/>
        <v>0</v>
      </c>
      <c r="Q112" s="6">
        <f t="shared" si="45"/>
        <v>5872896.1392756244</v>
      </c>
      <c r="R112" s="6">
        <f t="shared" si="36"/>
        <v>0</v>
      </c>
      <c r="S112" s="6">
        <f t="shared" ca="1" si="46"/>
        <v>19463188.002285015</v>
      </c>
    </row>
    <row r="113" spans="1:19">
      <c r="A113" s="20">
        <f>'Monthly Data'!A113</f>
        <v>44287</v>
      </c>
      <c r="B113">
        <f t="shared" si="39"/>
        <v>4</v>
      </c>
      <c r="C113">
        <f t="shared" si="40"/>
        <v>2021</v>
      </c>
      <c r="D113" s="6">
        <f>'Monthly Data'!N113</f>
        <v>16690634.706432544</v>
      </c>
      <c r="E113" s="7">
        <f t="shared" ref="E113:F113" ca="1" si="61">E101</f>
        <v>229.95</v>
      </c>
      <c r="F113" s="7">
        <f t="shared" ca="1" si="61"/>
        <v>1.3500000000000003</v>
      </c>
      <c r="G113">
        <f>'Monthly Data'!CF113</f>
        <v>30</v>
      </c>
      <c r="H113">
        <f>'Monthly Data'!CD113</f>
        <v>0</v>
      </c>
      <c r="I113">
        <f>'Monthly Data'!CJ113</f>
        <v>0</v>
      </c>
      <c r="J113">
        <f>'Monthly Data'!P113</f>
        <v>371</v>
      </c>
      <c r="L113" s="6">
        <f t="shared" si="44"/>
        <v>-4550747.7974309605</v>
      </c>
      <c r="M113" s="6">
        <f t="shared" ca="1" si="32"/>
        <v>1652799.8250371383</v>
      </c>
      <c r="N113" s="6">
        <f t="shared" ca="1" si="33"/>
        <v>31774.713721901513</v>
      </c>
      <c r="O113" s="6">
        <f t="shared" si="34"/>
        <v>14687378.322920969</v>
      </c>
      <c r="P113" s="6">
        <f t="shared" si="35"/>
        <v>0</v>
      </c>
      <c r="Q113" s="6">
        <f t="shared" si="45"/>
        <v>5888768.8315439373</v>
      </c>
      <c r="R113" s="6">
        <f t="shared" si="36"/>
        <v>0</v>
      </c>
      <c r="S113" s="6">
        <f t="shared" ca="1" si="46"/>
        <v>17709973.895792983</v>
      </c>
    </row>
    <row r="114" spans="1:19">
      <c r="A114" s="20">
        <f>'Monthly Data'!A114</f>
        <v>44317</v>
      </c>
      <c r="B114">
        <f t="shared" si="39"/>
        <v>5</v>
      </c>
      <c r="C114">
        <f t="shared" si="40"/>
        <v>2021</v>
      </c>
      <c r="D114" s="6">
        <f>'Monthly Data'!N114</f>
        <v>17249466.064732548</v>
      </c>
      <c r="E114" s="7">
        <f t="shared" ref="E114:F114" ca="1" si="62">E102</f>
        <v>79.77000000000001</v>
      </c>
      <c r="F114" s="7">
        <f t="shared" ca="1" si="62"/>
        <v>42.72</v>
      </c>
      <c r="G114">
        <f>'Monthly Data'!CF114</f>
        <v>31</v>
      </c>
      <c r="H114">
        <f>'Monthly Data'!CD114</f>
        <v>0</v>
      </c>
      <c r="I114">
        <f>'Monthly Data'!CJ114</f>
        <v>0</v>
      </c>
      <c r="J114">
        <f>'Monthly Data'!P114</f>
        <v>370</v>
      </c>
      <c r="L114" s="6">
        <f t="shared" si="44"/>
        <v>-4550747.7974309605</v>
      </c>
      <c r="M114" s="6">
        <f t="shared" ca="1" si="32"/>
        <v>573358.73904419458</v>
      </c>
      <c r="N114" s="6">
        <f t="shared" ca="1" si="33"/>
        <v>1005493.1631108387</v>
      </c>
      <c r="O114" s="6">
        <f t="shared" si="34"/>
        <v>15176957.600351669</v>
      </c>
      <c r="P114" s="6">
        <f t="shared" si="35"/>
        <v>0</v>
      </c>
      <c r="Q114" s="6">
        <f t="shared" si="45"/>
        <v>5872896.1392756244</v>
      </c>
      <c r="R114" s="6">
        <f t="shared" si="36"/>
        <v>0</v>
      </c>
      <c r="S114" s="6">
        <f t="shared" ca="1" si="46"/>
        <v>18077957.844351366</v>
      </c>
    </row>
    <row r="115" spans="1:19">
      <c r="A115" s="20">
        <f>'Monthly Data'!A115</f>
        <v>44348</v>
      </c>
      <c r="B115">
        <f t="shared" ref="B115:B121" si="63">MONTH(A115)</f>
        <v>6</v>
      </c>
      <c r="C115">
        <f t="shared" ref="C115:C121" si="64">YEAR(A115)</f>
        <v>2021</v>
      </c>
      <c r="D115" s="6">
        <f>'Monthly Data'!N115</f>
        <v>18880616.946932543</v>
      </c>
      <c r="E115" s="7">
        <f t="shared" ref="E115:F115" ca="1" si="65">E103</f>
        <v>5.16</v>
      </c>
      <c r="F115" s="7">
        <f t="shared" ca="1" si="65"/>
        <v>97.63000000000001</v>
      </c>
      <c r="G115">
        <f>'Monthly Data'!CF115</f>
        <v>30</v>
      </c>
      <c r="H115">
        <f>'Monthly Data'!CD115</f>
        <v>0</v>
      </c>
      <c r="I115">
        <f>'Monthly Data'!CJ115</f>
        <v>0</v>
      </c>
      <c r="J115">
        <f>'Monthly Data'!P115</f>
        <v>374</v>
      </c>
      <c r="L115" s="6">
        <f t="shared" si="44"/>
        <v>-4550747.7974309605</v>
      </c>
      <c r="M115" s="6">
        <f t="shared" ca="1" si="32"/>
        <v>37088.267437232586</v>
      </c>
      <c r="N115" s="6">
        <f t="shared" ca="1" si="33"/>
        <v>2297900.222717959</v>
      </c>
      <c r="O115" s="6">
        <f t="shared" si="34"/>
        <v>14687378.322920969</v>
      </c>
      <c r="P115" s="6">
        <f t="shared" si="35"/>
        <v>0</v>
      </c>
      <c r="Q115" s="6">
        <f t="shared" si="45"/>
        <v>5936386.9083488751</v>
      </c>
      <c r="R115" s="6">
        <f t="shared" si="36"/>
        <v>0</v>
      </c>
      <c r="S115" s="6">
        <f t="shared" ca="1" si="46"/>
        <v>18408005.923994076</v>
      </c>
    </row>
    <row r="116" spans="1:19">
      <c r="A116" s="20">
        <f>'Monthly Data'!A116</f>
        <v>44378</v>
      </c>
      <c r="B116">
        <f t="shared" si="63"/>
        <v>7</v>
      </c>
      <c r="C116">
        <f t="shared" si="64"/>
        <v>2021</v>
      </c>
      <c r="D116" s="6">
        <f>'Monthly Data'!N116</f>
        <v>19932935.032132547</v>
      </c>
      <c r="E116" s="7">
        <f t="shared" ref="E116:F116" ca="1" si="66">E104</f>
        <v>0</v>
      </c>
      <c r="F116" s="7">
        <f t="shared" ca="1" si="66"/>
        <v>172.46999999999997</v>
      </c>
      <c r="G116">
        <f>'Monthly Data'!CF116</f>
        <v>31</v>
      </c>
      <c r="H116">
        <f>'Monthly Data'!CD116</f>
        <v>0</v>
      </c>
      <c r="I116">
        <f>'Monthly Data'!CJ116</f>
        <v>0</v>
      </c>
      <c r="J116">
        <f>'Monthly Data'!P116</f>
        <v>375</v>
      </c>
      <c r="L116" s="6">
        <f t="shared" si="44"/>
        <v>-4550747.7974309605</v>
      </c>
      <c r="M116" s="6">
        <f t="shared" ca="1" si="32"/>
        <v>0</v>
      </c>
      <c r="N116" s="6">
        <f t="shared" ca="1" si="33"/>
        <v>4059396.204160261</v>
      </c>
      <c r="O116" s="6">
        <f t="shared" si="34"/>
        <v>15176957.600351669</v>
      </c>
      <c r="P116" s="6">
        <f t="shared" si="35"/>
        <v>0</v>
      </c>
      <c r="Q116" s="6">
        <f t="shared" si="45"/>
        <v>5952259.6006171871</v>
      </c>
      <c r="R116" s="6">
        <f t="shared" si="36"/>
        <v>0</v>
      </c>
      <c r="S116" s="6">
        <f t="shared" ca="1" si="46"/>
        <v>20637865.607698157</v>
      </c>
    </row>
    <row r="117" spans="1:19">
      <c r="A117" s="20">
        <f>'Monthly Data'!A117</f>
        <v>44409</v>
      </c>
      <c r="B117">
        <f t="shared" si="63"/>
        <v>8</v>
      </c>
      <c r="C117">
        <f t="shared" si="64"/>
        <v>2021</v>
      </c>
      <c r="D117" s="6">
        <f>'Monthly Data'!N117</f>
        <v>20931136.735932548</v>
      </c>
      <c r="E117" s="7">
        <f t="shared" ref="E117:F117" ca="1" si="67">E105</f>
        <v>8.0000000000000071E-2</v>
      </c>
      <c r="F117" s="7">
        <f t="shared" ca="1" si="67"/>
        <v>155.49999999999997</v>
      </c>
      <c r="G117">
        <f>'Monthly Data'!CF117</f>
        <v>31</v>
      </c>
      <c r="H117">
        <f>'Monthly Data'!CD117</f>
        <v>0</v>
      </c>
      <c r="I117">
        <f>'Monthly Data'!CJ117</f>
        <v>0</v>
      </c>
      <c r="J117">
        <f>'Monthly Data'!P117</f>
        <v>375</v>
      </c>
      <c r="L117" s="6">
        <f t="shared" si="44"/>
        <v>-4550747.7974309605</v>
      </c>
      <c r="M117" s="6">
        <f t="shared" ca="1" si="32"/>
        <v>575.01189825166853</v>
      </c>
      <c r="N117" s="6">
        <f t="shared" ca="1" si="33"/>
        <v>3659976.2842634693</v>
      </c>
      <c r="O117" s="6">
        <f t="shared" si="34"/>
        <v>15176957.600351669</v>
      </c>
      <c r="P117" s="6">
        <f t="shared" si="35"/>
        <v>0</v>
      </c>
      <c r="Q117" s="6">
        <f t="shared" si="45"/>
        <v>5952259.6006171871</v>
      </c>
      <c r="R117" s="6">
        <f t="shared" si="36"/>
        <v>0</v>
      </c>
      <c r="S117" s="6">
        <f t="shared" ca="1" si="46"/>
        <v>20239020.699699618</v>
      </c>
    </row>
    <row r="118" spans="1:19">
      <c r="A118" s="20">
        <f>'Monthly Data'!A118</f>
        <v>44440</v>
      </c>
      <c r="B118">
        <f t="shared" si="63"/>
        <v>9</v>
      </c>
      <c r="C118">
        <f t="shared" si="64"/>
        <v>2021</v>
      </c>
      <c r="D118" s="6">
        <f>'Monthly Data'!N118</f>
        <v>18386871.497632541</v>
      </c>
      <c r="E118" s="7">
        <f t="shared" ref="E118:F118" ca="1" si="68">E106</f>
        <v>12.280000000000001</v>
      </c>
      <c r="F118" s="7">
        <f t="shared" ca="1" si="68"/>
        <v>76.13</v>
      </c>
      <c r="G118">
        <f>'Monthly Data'!CF118</f>
        <v>30</v>
      </c>
      <c r="H118">
        <f>'Monthly Data'!CD118</f>
        <v>1</v>
      </c>
      <c r="I118">
        <f>'Monthly Data'!CJ118</f>
        <v>0</v>
      </c>
      <c r="J118">
        <f>'Monthly Data'!P118</f>
        <v>375</v>
      </c>
      <c r="L118" s="6">
        <f t="shared" si="44"/>
        <v>-4550747.7974309605</v>
      </c>
      <c r="M118" s="6">
        <f t="shared" ca="1" si="32"/>
        <v>88264.32638163105</v>
      </c>
      <c r="N118" s="6">
        <f t="shared" ca="1" si="33"/>
        <v>1791858.4856654531</v>
      </c>
      <c r="O118" s="6">
        <f t="shared" si="34"/>
        <v>14687378.322920969</v>
      </c>
      <c r="P118" s="6">
        <f t="shared" si="35"/>
        <v>463327.49867077498</v>
      </c>
      <c r="Q118" s="6">
        <f t="shared" si="45"/>
        <v>5952259.6006171871</v>
      </c>
      <c r="R118" s="6">
        <f t="shared" si="36"/>
        <v>0</v>
      </c>
      <c r="S118" s="6">
        <f t="shared" ca="1" si="46"/>
        <v>18432340.436825056</v>
      </c>
    </row>
    <row r="119" spans="1:19">
      <c r="A119" s="20">
        <f>'Monthly Data'!A119</f>
        <v>44470</v>
      </c>
      <c r="B119">
        <f t="shared" si="63"/>
        <v>10</v>
      </c>
      <c r="C119">
        <f t="shared" si="64"/>
        <v>2021</v>
      </c>
      <c r="D119" s="6">
        <f>'Monthly Data'!N119</f>
        <v>18326695.988232542</v>
      </c>
      <c r="E119" s="7">
        <f t="shared" ref="E119:F119" ca="1" si="69">E107</f>
        <v>111.21000000000001</v>
      </c>
      <c r="F119" s="7">
        <f t="shared" ca="1" si="69"/>
        <v>15.330000000000002</v>
      </c>
      <c r="G119">
        <f>'Monthly Data'!CF119</f>
        <v>31</v>
      </c>
      <c r="H119">
        <f>'Monthly Data'!CD119</f>
        <v>1</v>
      </c>
      <c r="I119">
        <f>'Monthly Data'!CJ119</f>
        <v>0</v>
      </c>
      <c r="J119">
        <f>'Monthly Data'!P119</f>
        <v>375</v>
      </c>
      <c r="L119" s="6">
        <f t="shared" si="44"/>
        <v>-4550747.7974309605</v>
      </c>
      <c r="M119" s="6">
        <f t="shared" ca="1" si="32"/>
        <v>799338.41505710012</v>
      </c>
      <c r="N119" s="6">
        <f t="shared" ca="1" si="33"/>
        <v>360819.52693092608</v>
      </c>
      <c r="O119" s="6">
        <f t="shared" si="34"/>
        <v>15176957.600351669</v>
      </c>
      <c r="P119" s="6">
        <f t="shared" si="35"/>
        <v>463327.49867077498</v>
      </c>
      <c r="Q119" s="6">
        <f t="shared" si="45"/>
        <v>5952259.6006171871</v>
      </c>
      <c r="R119" s="6">
        <f t="shared" si="36"/>
        <v>0</v>
      </c>
      <c r="S119" s="6">
        <f t="shared" ca="1" si="46"/>
        <v>18201954.8441967</v>
      </c>
    </row>
    <row r="120" spans="1:19">
      <c r="A120" s="20">
        <f>'Monthly Data'!A120</f>
        <v>44501</v>
      </c>
      <c r="B120">
        <f t="shared" si="63"/>
        <v>11</v>
      </c>
      <c r="C120">
        <f t="shared" si="64"/>
        <v>2021</v>
      </c>
      <c r="D120" s="6">
        <f>'Monthly Data'!N120</f>
        <v>18313854.593332544</v>
      </c>
      <c r="E120" s="7">
        <f t="shared" ref="E120:F120" ca="1" si="70">E108</f>
        <v>297.28000000000003</v>
      </c>
      <c r="F120" s="7">
        <f t="shared" ca="1" si="70"/>
        <v>0.76000000000000012</v>
      </c>
      <c r="G120">
        <f>'Monthly Data'!CF120</f>
        <v>30</v>
      </c>
      <c r="H120">
        <f>'Monthly Data'!CD120</f>
        <v>0</v>
      </c>
      <c r="I120">
        <f>'Monthly Data'!CJ120</f>
        <v>0</v>
      </c>
      <c r="J120">
        <f>'Monthly Data'!P120</f>
        <v>378</v>
      </c>
      <c r="L120" s="6">
        <f t="shared" si="44"/>
        <v>-4550747.7974309605</v>
      </c>
      <c r="M120" s="6">
        <f t="shared" ca="1" si="32"/>
        <v>2136744.2139031985</v>
      </c>
      <c r="N120" s="6">
        <f t="shared" ca="1" si="33"/>
        <v>17887.986984181593</v>
      </c>
      <c r="O120" s="6">
        <f t="shared" si="34"/>
        <v>14687378.322920969</v>
      </c>
      <c r="P120" s="6">
        <f t="shared" si="35"/>
        <v>0</v>
      </c>
      <c r="Q120" s="6">
        <f t="shared" si="45"/>
        <v>5999877.6774221249</v>
      </c>
      <c r="R120" s="6">
        <f t="shared" si="36"/>
        <v>0</v>
      </c>
      <c r="S120" s="6">
        <f t="shared" ca="1" si="46"/>
        <v>18291140.403799511</v>
      </c>
    </row>
    <row r="121" spans="1:19">
      <c r="A121" s="20">
        <f>'Monthly Data'!A121</f>
        <v>44531</v>
      </c>
      <c r="B121">
        <f t="shared" si="63"/>
        <v>12</v>
      </c>
      <c r="C121">
        <f t="shared" si="64"/>
        <v>2021</v>
      </c>
      <c r="D121" s="6">
        <f>'Monthly Data'!N121</f>
        <v>18843469.397732548</v>
      </c>
      <c r="E121" s="7">
        <f t="shared" ref="E121:F121" ca="1" si="71">E109</f>
        <v>440.25</v>
      </c>
      <c r="F121" s="7">
        <f t="shared" ca="1" si="71"/>
        <v>0</v>
      </c>
      <c r="G121">
        <f>'Monthly Data'!CF121</f>
        <v>31</v>
      </c>
      <c r="H121">
        <f>'Monthly Data'!CD121</f>
        <v>0</v>
      </c>
      <c r="I121">
        <f>'Monthly Data'!CJ121</f>
        <v>0</v>
      </c>
      <c r="J121">
        <f>'Monthly Data'!P121</f>
        <v>378</v>
      </c>
      <c r="K121" t="str">
        <f>'GS&lt;50 Normalized Monthly'!I121</f>
        <v>COVID</v>
      </c>
      <c r="L121" s="6">
        <f t="shared" si="44"/>
        <v>-4550747.7974309605</v>
      </c>
      <c r="M121" s="6">
        <f t="shared" ca="1" si="32"/>
        <v>3164362.3525662106</v>
      </c>
      <c r="N121" s="6">
        <f t="shared" ca="1" si="33"/>
        <v>0</v>
      </c>
      <c r="O121" s="6">
        <f t="shared" si="34"/>
        <v>15176957.600351669</v>
      </c>
      <c r="P121" s="6">
        <f t="shared" si="35"/>
        <v>0</v>
      </c>
      <c r="Q121" s="6">
        <f t="shared" si="45"/>
        <v>5999877.6774221249</v>
      </c>
      <c r="R121" s="6">
        <f t="shared" si="36"/>
        <v>0</v>
      </c>
      <c r="S121" s="6">
        <f t="shared" ca="1" si="46"/>
        <v>19790449.832909044</v>
      </c>
    </row>
    <row r="122" spans="1:19">
      <c r="A122" s="20">
        <f t="shared" ref="A122:A145" si="72">A74+(365.25*4)</f>
        <v>44562</v>
      </c>
      <c r="B122">
        <f t="shared" ref="B122:B133" si="73">MONTH(A122)</f>
        <v>1</v>
      </c>
      <c r="C122">
        <f t="shared" ref="C122:C133" si="74">YEAR(A122)</f>
        <v>2022</v>
      </c>
      <c r="D122" s="6">
        <f>'Monthly Data'!N122</f>
        <v>20731555.061192818</v>
      </c>
      <c r="E122" s="7">
        <f t="shared" ref="E122:F122" ca="1" si="75">E110</f>
        <v>564.86</v>
      </c>
      <c r="F122" s="7">
        <f t="shared" ca="1" si="75"/>
        <v>0</v>
      </c>
      <c r="G122">
        <f>'Monthly Data'!CF122</f>
        <v>31</v>
      </c>
      <c r="H122">
        <f>'Monthly Data'!CD122</f>
        <v>0</v>
      </c>
      <c r="I122">
        <f>'Monthly Data'!CJ122</f>
        <v>0</v>
      </c>
      <c r="J122">
        <f>'Monthly Data'!P122</f>
        <v>380</v>
      </c>
      <c r="K122">
        <f>'GS&lt;50 Normalized Monthly'!I122</f>
        <v>0.5</v>
      </c>
      <c r="L122" s="6">
        <f t="shared" si="44"/>
        <v>-4550747.7974309605</v>
      </c>
      <c r="M122" s="6">
        <f t="shared" ca="1" si="32"/>
        <v>4060015.2605804652</v>
      </c>
      <c r="N122" s="6">
        <f t="shared" ca="1" si="33"/>
        <v>0</v>
      </c>
      <c r="O122" s="6">
        <f t="shared" si="34"/>
        <v>15176957.600351669</v>
      </c>
      <c r="P122" s="6">
        <f t="shared" si="35"/>
        <v>0</v>
      </c>
      <c r="Q122" s="6">
        <f t="shared" si="45"/>
        <v>6031623.0619587498</v>
      </c>
      <c r="R122" s="6">
        <f t="shared" si="36"/>
        <v>0</v>
      </c>
      <c r="S122" s="6">
        <f t="shared" ca="1" si="46"/>
        <v>20717848.125459924</v>
      </c>
    </row>
    <row r="123" spans="1:19">
      <c r="A123" s="20">
        <f t="shared" si="72"/>
        <v>44593</v>
      </c>
      <c r="B123">
        <f t="shared" si="73"/>
        <v>2</v>
      </c>
      <c r="C123">
        <f t="shared" si="74"/>
        <v>2022</v>
      </c>
      <c r="D123" s="6">
        <f>'Monthly Data'!N123</f>
        <v>19281807.061192818</v>
      </c>
      <c r="E123" s="7">
        <f t="shared" ref="E123:F123" ca="1" si="76">E111</f>
        <v>516.43000000000006</v>
      </c>
      <c r="F123" s="7">
        <f t="shared" ca="1" si="76"/>
        <v>0</v>
      </c>
      <c r="G123">
        <f>'Monthly Data'!CF123</f>
        <v>28</v>
      </c>
      <c r="H123">
        <f>'Monthly Data'!CD123</f>
        <v>0</v>
      </c>
      <c r="I123">
        <f>'Monthly Data'!CJ123</f>
        <v>0</v>
      </c>
      <c r="J123">
        <f>'Monthly Data'!P123</f>
        <v>379</v>
      </c>
      <c r="K123">
        <f>'GS&lt;50 Normalized Monthly'!I123</f>
        <v>0.5</v>
      </c>
      <c r="L123" s="6">
        <f t="shared" si="44"/>
        <v>-4550747.7974309605</v>
      </c>
      <c r="M123" s="6">
        <f t="shared" ca="1" si="32"/>
        <v>3711917.4326763619</v>
      </c>
      <c r="N123" s="6">
        <f t="shared" ca="1" si="33"/>
        <v>0</v>
      </c>
      <c r="O123" s="6">
        <f t="shared" si="34"/>
        <v>13708219.76805957</v>
      </c>
      <c r="P123" s="6">
        <f t="shared" si="35"/>
        <v>0</v>
      </c>
      <c r="Q123" s="6">
        <f t="shared" si="45"/>
        <v>6015750.3696904369</v>
      </c>
      <c r="R123" s="6">
        <f t="shared" si="36"/>
        <v>0</v>
      </c>
      <c r="S123" s="6">
        <f t="shared" ca="1" si="46"/>
        <v>18885139.772995409</v>
      </c>
    </row>
    <row r="124" spans="1:19">
      <c r="A124" s="20">
        <f t="shared" si="72"/>
        <v>44621</v>
      </c>
      <c r="B124">
        <f t="shared" si="73"/>
        <v>3</v>
      </c>
      <c r="C124">
        <f t="shared" si="74"/>
        <v>2022</v>
      </c>
      <c r="D124" s="6">
        <f>'Monthly Data'!N124</f>
        <v>20150700.061192818</v>
      </c>
      <c r="E124" s="7">
        <f t="shared" ref="E124:F124" ca="1" si="77">E112</f>
        <v>412.32</v>
      </c>
      <c r="F124" s="7">
        <f t="shared" ca="1" si="77"/>
        <v>1.9999999999999928E-2</v>
      </c>
      <c r="G124">
        <f>'Monthly Data'!CF124</f>
        <v>31</v>
      </c>
      <c r="H124">
        <f>'Monthly Data'!CD124</f>
        <v>0</v>
      </c>
      <c r="I124">
        <f>'Monthly Data'!CJ124</f>
        <v>0</v>
      </c>
      <c r="J124">
        <f>'Monthly Data'!P124</f>
        <v>380</v>
      </c>
      <c r="K124">
        <f>'GS&lt;50 Normalized Monthly'!I124</f>
        <v>0.5</v>
      </c>
      <c r="L124" s="6">
        <f t="shared" si="44"/>
        <v>-4550747.7974309605</v>
      </c>
      <c r="M124" s="6">
        <f t="shared" ca="1" si="32"/>
        <v>2963611.3235890968</v>
      </c>
      <c r="N124" s="6">
        <f t="shared" ca="1" si="33"/>
        <v>470.73649958372431</v>
      </c>
      <c r="O124" s="6">
        <f t="shared" si="34"/>
        <v>15176957.600351669</v>
      </c>
      <c r="P124" s="6">
        <f t="shared" si="35"/>
        <v>0</v>
      </c>
      <c r="Q124" s="6">
        <f t="shared" si="45"/>
        <v>6031623.0619587498</v>
      </c>
      <c r="R124" s="6">
        <f t="shared" si="36"/>
        <v>0</v>
      </c>
      <c r="S124" s="6">
        <f t="shared" ca="1" si="46"/>
        <v>19621914.924968138</v>
      </c>
    </row>
    <row r="125" spans="1:19">
      <c r="A125" s="20">
        <f t="shared" si="72"/>
        <v>44652</v>
      </c>
      <c r="B125">
        <f t="shared" si="73"/>
        <v>4</v>
      </c>
      <c r="C125">
        <f t="shared" si="74"/>
        <v>2022</v>
      </c>
      <c r="D125" s="6">
        <f>'Monthly Data'!N125</f>
        <v>17637132.061192818</v>
      </c>
      <c r="E125" s="7">
        <f t="shared" ref="E125:F125" ca="1" si="78">E113</f>
        <v>229.95</v>
      </c>
      <c r="F125" s="7">
        <f t="shared" ca="1" si="78"/>
        <v>1.3500000000000003</v>
      </c>
      <c r="G125">
        <f>'Monthly Data'!CF125</f>
        <v>30</v>
      </c>
      <c r="H125">
        <f>'Monthly Data'!CD125</f>
        <v>0</v>
      </c>
      <c r="I125">
        <f>'Monthly Data'!CJ125</f>
        <v>0</v>
      </c>
      <c r="J125">
        <f>'Monthly Data'!P125</f>
        <v>369</v>
      </c>
      <c r="K125">
        <f>'GS&lt;50 Normalized Monthly'!I125</f>
        <v>0.5</v>
      </c>
      <c r="L125" s="6">
        <f t="shared" si="44"/>
        <v>-4550747.7974309605</v>
      </c>
      <c r="M125" s="6">
        <f t="shared" ca="1" si="32"/>
        <v>1652799.8250371383</v>
      </c>
      <c r="N125" s="6">
        <f t="shared" ca="1" si="33"/>
        <v>31774.713721901513</v>
      </c>
      <c r="O125" s="6">
        <f t="shared" si="34"/>
        <v>14687378.322920969</v>
      </c>
      <c r="P125" s="6">
        <f t="shared" si="35"/>
        <v>0</v>
      </c>
      <c r="Q125" s="6">
        <f t="shared" si="45"/>
        <v>5857023.4470073124</v>
      </c>
      <c r="R125" s="6">
        <f t="shared" si="36"/>
        <v>0</v>
      </c>
      <c r="S125" s="6">
        <f t="shared" ca="1" si="46"/>
        <v>17678228.51125636</v>
      </c>
    </row>
    <row r="126" spans="1:19">
      <c r="A126" s="20">
        <f t="shared" si="72"/>
        <v>44682</v>
      </c>
      <c r="B126">
        <f t="shared" si="73"/>
        <v>5</v>
      </c>
      <c r="C126">
        <f t="shared" si="74"/>
        <v>2022</v>
      </c>
      <c r="D126" s="6">
        <f>'Monthly Data'!N126</f>
        <v>18019048.061192818</v>
      </c>
      <c r="E126" s="7">
        <f t="shared" ref="E126:F126" ca="1" si="79">E114</f>
        <v>79.77000000000001</v>
      </c>
      <c r="F126" s="7">
        <f t="shared" ca="1" si="79"/>
        <v>42.72</v>
      </c>
      <c r="G126">
        <f>'Monthly Data'!CF126</f>
        <v>31</v>
      </c>
      <c r="H126">
        <f>'Monthly Data'!CD126</f>
        <v>0</v>
      </c>
      <c r="I126">
        <f>'Monthly Data'!CJ126</f>
        <v>0</v>
      </c>
      <c r="J126">
        <f>'Monthly Data'!P126</f>
        <v>369</v>
      </c>
      <c r="K126">
        <f>'GS&lt;50 Normalized Monthly'!I126</f>
        <v>0.5</v>
      </c>
      <c r="L126" s="6">
        <f t="shared" si="44"/>
        <v>-4550747.7974309605</v>
      </c>
      <c r="M126" s="6">
        <f t="shared" ca="1" si="32"/>
        <v>573358.73904419458</v>
      </c>
      <c r="N126" s="6">
        <f t="shared" ca="1" si="33"/>
        <v>1005493.1631108387</v>
      </c>
      <c r="O126" s="6">
        <f t="shared" si="34"/>
        <v>15176957.600351669</v>
      </c>
      <c r="P126" s="6">
        <f t="shared" si="35"/>
        <v>0</v>
      </c>
      <c r="Q126" s="6">
        <f t="shared" si="45"/>
        <v>5857023.4470073124</v>
      </c>
      <c r="R126" s="6">
        <f t="shared" si="36"/>
        <v>0</v>
      </c>
      <c r="S126" s="6">
        <f t="shared" ca="1" si="46"/>
        <v>18062085.152083054</v>
      </c>
    </row>
    <row r="127" spans="1:19">
      <c r="A127" s="20">
        <f t="shared" si="72"/>
        <v>44713</v>
      </c>
      <c r="B127">
        <f t="shared" si="73"/>
        <v>6</v>
      </c>
      <c r="C127">
        <f t="shared" si="74"/>
        <v>2022</v>
      </c>
      <c r="D127" s="6">
        <f>'Monthly Data'!N127</f>
        <v>18637054.061192818</v>
      </c>
      <c r="E127" s="7">
        <f t="shared" ref="E127:F127" ca="1" si="80">E115</f>
        <v>5.16</v>
      </c>
      <c r="F127" s="7">
        <f t="shared" ca="1" si="80"/>
        <v>97.63000000000001</v>
      </c>
      <c r="G127">
        <f>'Monthly Data'!CF127</f>
        <v>30</v>
      </c>
      <c r="H127">
        <f>'Monthly Data'!CD127</f>
        <v>0</v>
      </c>
      <c r="I127">
        <f>'Monthly Data'!CJ127</f>
        <v>0</v>
      </c>
      <c r="J127">
        <f>'Monthly Data'!P127</f>
        <v>366</v>
      </c>
      <c r="K127">
        <f>'GS&lt;50 Normalized Monthly'!I127</f>
        <v>0.5</v>
      </c>
      <c r="L127" s="6">
        <f t="shared" si="44"/>
        <v>-4550747.7974309605</v>
      </c>
      <c r="M127" s="6">
        <f t="shared" ca="1" si="32"/>
        <v>37088.267437232586</v>
      </c>
      <c r="N127" s="6">
        <f t="shared" ca="1" si="33"/>
        <v>2297900.222717959</v>
      </c>
      <c r="O127" s="6">
        <f t="shared" si="34"/>
        <v>14687378.322920969</v>
      </c>
      <c r="P127" s="6">
        <f t="shared" si="35"/>
        <v>0</v>
      </c>
      <c r="Q127" s="6">
        <f t="shared" si="45"/>
        <v>5809405.3702023746</v>
      </c>
      <c r="R127" s="6">
        <f t="shared" si="36"/>
        <v>0</v>
      </c>
      <c r="S127" s="6">
        <f t="shared" ca="1" si="46"/>
        <v>18281024.385847576</v>
      </c>
    </row>
    <row r="128" spans="1:19">
      <c r="A128" s="20">
        <f t="shared" si="72"/>
        <v>44743</v>
      </c>
      <c r="B128">
        <f t="shared" si="73"/>
        <v>7</v>
      </c>
      <c r="C128">
        <f t="shared" si="74"/>
        <v>2022</v>
      </c>
      <c r="D128" s="6">
        <f>'Monthly Data'!N128</f>
        <v>20163206.061192818</v>
      </c>
      <c r="E128" s="7">
        <f t="shared" ref="E128:F128" ca="1" si="81">E116</f>
        <v>0</v>
      </c>
      <c r="F128" s="7">
        <f t="shared" ca="1" si="81"/>
        <v>172.46999999999997</v>
      </c>
      <c r="G128">
        <f>'Monthly Data'!CF128</f>
        <v>31</v>
      </c>
      <c r="H128">
        <f>'Monthly Data'!CD128</f>
        <v>0</v>
      </c>
      <c r="I128">
        <f>'Monthly Data'!CJ128</f>
        <v>0</v>
      </c>
      <c r="J128">
        <f>'Monthly Data'!P128</f>
        <v>367</v>
      </c>
      <c r="K128">
        <f>'GS&lt;50 Normalized Monthly'!I128</f>
        <v>0.5</v>
      </c>
      <c r="L128" s="6">
        <f t="shared" si="44"/>
        <v>-4550747.7974309605</v>
      </c>
      <c r="M128" s="6">
        <f t="shared" ca="1" si="32"/>
        <v>0</v>
      </c>
      <c r="N128" s="6">
        <f t="shared" ca="1" si="33"/>
        <v>4059396.204160261</v>
      </c>
      <c r="O128" s="6">
        <f t="shared" si="34"/>
        <v>15176957.600351669</v>
      </c>
      <c r="P128" s="6">
        <f t="shared" si="35"/>
        <v>0</v>
      </c>
      <c r="Q128" s="6">
        <f t="shared" si="45"/>
        <v>5825278.0624706876</v>
      </c>
      <c r="R128" s="6">
        <f t="shared" si="36"/>
        <v>0</v>
      </c>
      <c r="S128" s="6">
        <f t="shared" ca="1" si="46"/>
        <v>20510884.069551654</v>
      </c>
    </row>
    <row r="129" spans="1:19">
      <c r="A129" s="20">
        <f t="shared" si="72"/>
        <v>44774</v>
      </c>
      <c r="B129">
        <f t="shared" si="73"/>
        <v>8</v>
      </c>
      <c r="C129">
        <f t="shared" si="74"/>
        <v>2022</v>
      </c>
      <c r="D129" s="6">
        <f>'Monthly Data'!N129</f>
        <v>20183068.061192818</v>
      </c>
      <c r="E129" s="7">
        <f t="shared" ref="E129:F129" ca="1" si="82">E117</f>
        <v>8.0000000000000071E-2</v>
      </c>
      <c r="F129" s="7">
        <f t="shared" ca="1" si="82"/>
        <v>155.49999999999997</v>
      </c>
      <c r="G129">
        <f>'Monthly Data'!CF129</f>
        <v>31</v>
      </c>
      <c r="H129">
        <f>'Monthly Data'!CD129</f>
        <v>0</v>
      </c>
      <c r="I129">
        <f>'Monthly Data'!CJ129</f>
        <v>0</v>
      </c>
      <c r="J129">
        <f>'Monthly Data'!P129</f>
        <v>367</v>
      </c>
      <c r="K129">
        <f>'GS&lt;50 Normalized Monthly'!I129</f>
        <v>0.5</v>
      </c>
      <c r="L129" s="6">
        <f t="shared" si="44"/>
        <v>-4550747.7974309605</v>
      </c>
      <c r="M129" s="6">
        <f t="shared" ca="1" si="32"/>
        <v>575.01189825166853</v>
      </c>
      <c r="N129" s="6">
        <f t="shared" ca="1" si="33"/>
        <v>3659976.2842634693</v>
      </c>
      <c r="O129" s="6">
        <f t="shared" si="34"/>
        <v>15176957.600351669</v>
      </c>
      <c r="P129" s="6">
        <f t="shared" si="35"/>
        <v>0</v>
      </c>
      <c r="Q129" s="6">
        <f t="shared" si="45"/>
        <v>5825278.0624706876</v>
      </c>
      <c r="R129" s="6">
        <f t="shared" si="36"/>
        <v>0</v>
      </c>
      <c r="S129" s="6">
        <f t="shared" ca="1" si="46"/>
        <v>20112039.161553115</v>
      </c>
    </row>
    <row r="130" spans="1:19">
      <c r="A130" s="20">
        <f t="shared" si="72"/>
        <v>44805</v>
      </c>
      <c r="B130">
        <f t="shared" si="73"/>
        <v>9</v>
      </c>
      <c r="C130">
        <f t="shared" si="74"/>
        <v>2022</v>
      </c>
      <c r="D130" s="6">
        <f>'Monthly Data'!N130</f>
        <v>18679517.061192818</v>
      </c>
      <c r="E130" s="7">
        <f t="shared" ref="E130:F130" ca="1" si="83">E118</f>
        <v>12.280000000000001</v>
      </c>
      <c r="F130" s="7">
        <f t="shared" ca="1" si="83"/>
        <v>76.13</v>
      </c>
      <c r="G130">
        <f>'Monthly Data'!CF130</f>
        <v>30</v>
      </c>
      <c r="H130">
        <f>'Monthly Data'!CD130</f>
        <v>1</v>
      </c>
      <c r="I130">
        <f>'Monthly Data'!CJ130</f>
        <v>0</v>
      </c>
      <c r="J130">
        <f>'Monthly Data'!P130</f>
        <v>368</v>
      </c>
      <c r="K130">
        <f>'GS&lt;50 Normalized Monthly'!I130</f>
        <v>0.5</v>
      </c>
      <c r="L130" s="6">
        <f t="shared" ref="L130:L145" si="84">$V$7</f>
        <v>-4550747.7974309605</v>
      </c>
      <c r="M130" s="6">
        <f t="shared" ca="1" si="32"/>
        <v>88264.32638163105</v>
      </c>
      <c r="N130" s="6">
        <f t="shared" ca="1" si="33"/>
        <v>1791858.4856654531</v>
      </c>
      <c r="O130" s="6">
        <f t="shared" si="34"/>
        <v>14687378.322920969</v>
      </c>
      <c r="P130" s="6">
        <f t="shared" si="35"/>
        <v>463327.49867077498</v>
      </c>
      <c r="Q130" s="6">
        <f t="shared" ref="Q130:Q145" si="85">J130*$V$12</f>
        <v>5841150.7547389995</v>
      </c>
      <c r="R130" s="6">
        <f t="shared" si="36"/>
        <v>0</v>
      </c>
      <c r="S130" s="6">
        <f t="shared" ref="S130:S145" ca="1" si="86">SUM(L130:R130)</f>
        <v>18321231.590946868</v>
      </c>
    </row>
    <row r="131" spans="1:19">
      <c r="A131" s="20">
        <f t="shared" si="72"/>
        <v>44835</v>
      </c>
      <c r="B131">
        <f t="shared" si="73"/>
        <v>10</v>
      </c>
      <c r="C131">
        <f t="shared" si="74"/>
        <v>2022</v>
      </c>
      <c r="D131" s="6">
        <f>'Monthly Data'!N131</f>
        <v>17943435.061192818</v>
      </c>
      <c r="E131" s="7">
        <f t="shared" ref="E131:F131" ca="1" si="87">E119</f>
        <v>111.21000000000001</v>
      </c>
      <c r="F131" s="7">
        <f t="shared" ca="1" si="87"/>
        <v>15.330000000000002</v>
      </c>
      <c r="G131">
        <f>'Monthly Data'!CF131</f>
        <v>31</v>
      </c>
      <c r="H131">
        <f>'Monthly Data'!CD131</f>
        <v>1</v>
      </c>
      <c r="I131">
        <f>'Monthly Data'!CJ131</f>
        <v>0</v>
      </c>
      <c r="J131">
        <f>'Monthly Data'!P131</f>
        <v>369</v>
      </c>
      <c r="K131">
        <f>'GS&lt;50 Normalized Monthly'!I131</f>
        <v>0.5</v>
      </c>
      <c r="L131" s="6">
        <f t="shared" si="84"/>
        <v>-4550747.7974309605</v>
      </c>
      <c r="M131" s="6">
        <f t="shared" ref="M131:M145" ca="1" si="88">E131*$V$8</f>
        <v>799338.41505710012</v>
      </c>
      <c r="N131" s="6">
        <f t="shared" ref="N131:N145" ca="1" si="89">F131*$V$9</f>
        <v>360819.52693092608</v>
      </c>
      <c r="O131" s="6">
        <f t="shared" ref="O131:O145" si="90">G131*$V$10</f>
        <v>15176957.600351669</v>
      </c>
      <c r="P131" s="6">
        <f t="shared" ref="P131:P145" si="91">H131*$V$11</f>
        <v>463327.49867077498</v>
      </c>
      <c r="Q131" s="6">
        <f t="shared" si="85"/>
        <v>5857023.4470073124</v>
      </c>
      <c r="R131" s="6">
        <f t="shared" ref="R131:R145" si="92">I131*$V$13</f>
        <v>0</v>
      </c>
      <c r="S131" s="6">
        <f t="shared" ca="1" si="86"/>
        <v>18106718.690586824</v>
      </c>
    </row>
    <row r="132" spans="1:19">
      <c r="A132" s="20">
        <f t="shared" si="72"/>
        <v>44866</v>
      </c>
      <c r="B132">
        <f t="shared" si="73"/>
        <v>11</v>
      </c>
      <c r="C132">
        <f t="shared" si="74"/>
        <v>2022</v>
      </c>
      <c r="D132" s="6">
        <f>'Monthly Data'!N132</f>
        <v>18272593.061192818</v>
      </c>
      <c r="E132" s="7">
        <f t="shared" ref="E132:F132" ca="1" si="93">E120</f>
        <v>297.28000000000003</v>
      </c>
      <c r="F132" s="7">
        <f t="shared" ca="1" si="93"/>
        <v>0.76000000000000012</v>
      </c>
      <c r="G132">
        <f>'Monthly Data'!CF132</f>
        <v>30</v>
      </c>
      <c r="H132">
        <f>'Monthly Data'!CD132</f>
        <v>0</v>
      </c>
      <c r="I132">
        <f>'Monthly Data'!CJ132</f>
        <v>0</v>
      </c>
      <c r="J132">
        <f>'Monthly Data'!P132</f>
        <v>369</v>
      </c>
      <c r="K132">
        <f>'GS&lt;50 Normalized Monthly'!I132</f>
        <v>0.5</v>
      </c>
      <c r="L132" s="6">
        <f t="shared" si="84"/>
        <v>-4550747.7974309605</v>
      </c>
      <c r="M132" s="6">
        <f t="shared" ca="1" si="88"/>
        <v>2136744.2139031985</v>
      </c>
      <c r="N132" s="6">
        <f t="shared" ca="1" si="89"/>
        <v>17887.986984181593</v>
      </c>
      <c r="O132" s="6">
        <f t="shared" si="90"/>
        <v>14687378.322920969</v>
      </c>
      <c r="P132" s="6">
        <f t="shared" si="91"/>
        <v>0</v>
      </c>
      <c r="Q132" s="6">
        <f t="shared" si="85"/>
        <v>5857023.4470073124</v>
      </c>
      <c r="R132" s="6">
        <f t="shared" si="92"/>
        <v>0</v>
      </c>
      <c r="S132" s="6">
        <f t="shared" ca="1" si="86"/>
        <v>18148286.1733847</v>
      </c>
    </row>
    <row r="133" spans="1:19">
      <c r="A133" s="20">
        <f t="shared" si="72"/>
        <v>44896</v>
      </c>
      <c r="B133">
        <f t="shared" si="73"/>
        <v>12</v>
      </c>
      <c r="C133">
        <f t="shared" si="74"/>
        <v>2022</v>
      </c>
      <c r="D133" s="6">
        <f>'Monthly Data'!N133</f>
        <v>19354282.061192818</v>
      </c>
      <c r="E133" s="7">
        <f t="shared" ref="E133:F133" ca="1" si="94">E121</f>
        <v>440.25</v>
      </c>
      <c r="F133" s="7">
        <f t="shared" ca="1" si="94"/>
        <v>0</v>
      </c>
      <c r="G133">
        <f>'Monthly Data'!CF133</f>
        <v>31</v>
      </c>
      <c r="H133">
        <f>'Monthly Data'!CD133</f>
        <v>0</v>
      </c>
      <c r="I133">
        <f>'Monthly Data'!CJ133</f>
        <v>0</v>
      </c>
      <c r="J133">
        <f>'Monthly Data'!P133</f>
        <v>369</v>
      </c>
      <c r="K133">
        <f>'GS&lt;50 Normalized Monthly'!I133</f>
        <v>0.5</v>
      </c>
      <c r="L133" s="6">
        <f t="shared" si="84"/>
        <v>-4550747.7974309605</v>
      </c>
      <c r="M133" s="6">
        <f t="shared" ca="1" si="88"/>
        <v>3164362.3525662106</v>
      </c>
      <c r="N133" s="6">
        <f t="shared" ca="1" si="89"/>
        <v>0</v>
      </c>
      <c r="O133" s="6">
        <f t="shared" si="90"/>
        <v>15176957.600351669</v>
      </c>
      <c r="P133" s="6">
        <f t="shared" si="91"/>
        <v>0</v>
      </c>
      <c r="Q133" s="6">
        <f t="shared" si="85"/>
        <v>5857023.4470073124</v>
      </c>
      <c r="R133" s="6">
        <f t="shared" si="92"/>
        <v>0</v>
      </c>
      <c r="S133" s="6">
        <f t="shared" ca="1" si="86"/>
        <v>19647595.602494232</v>
      </c>
    </row>
    <row r="134" spans="1:19">
      <c r="A134" s="20">
        <f t="shared" si="72"/>
        <v>44927</v>
      </c>
      <c r="B134">
        <f t="shared" ref="B134:B145" si="95">MONTH(A134)</f>
        <v>1</v>
      </c>
      <c r="C134">
        <f t="shared" ref="C134:C145" si="96">YEAR(A134)</f>
        <v>2023</v>
      </c>
      <c r="E134" s="14">
        <f t="shared" ref="E134:F134" ca="1" si="97">E122</f>
        <v>564.86</v>
      </c>
      <c r="F134" s="14">
        <f t="shared" ca="1" si="97"/>
        <v>0</v>
      </c>
      <c r="G134" s="11">
        <f t="shared" ref="G134:G145" si="98">G86</f>
        <v>31</v>
      </c>
      <c r="H134">
        <f t="shared" ref="H134:H145" si="99">H122</f>
        <v>0</v>
      </c>
      <c r="I134">
        <f>'Monthly Data'!CJ148</f>
        <v>0</v>
      </c>
      <c r="J134" s="69">
        <f>'Connection Count'!K41</f>
        <v>365.04238964209594</v>
      </c>
      <c r="K134">
        <f>'GS&lt;50 Normalized Monthly'!I134</f>
        <v>0.25</v>
      </c>
      <c r="L134" s="6">
        <f t="shared" si="84"/>
        <v>-4550747.7974309605</v>
      </c>
      <c r="M134" s="6">
        <f t="shared" ca="1" si="88"/>
        <v>4060015.2605804652</v>
      </c>
      <c r="N134" s="6">
        <f t="shared" ca="1" si="89"/>
        <v>0</v>
      </c>
      <c r="O134" s="6">
        <f t="shared" si="90"/>
        <v>15176957.600351669</v>
      </c>
      <c r="P134" s="6">
        <f t="shared" si="91"/>
        <v>0</v>
      </c>
      <c r="Q134" s="6">
        <f t="shared" si="85"/>
        <v>5794205.5156784151</v>
      </c>
      <c r="R134" s="6">
        <f t="shared" si="92"/>
        <v>0</v>
      </c>
      <c r="S134" s="6">
        <f t="shared" ca="1" si="86"/>
        <v>20480430.579179589</v>
      </c>
    </row>
    <row r="135" spans="1:19">
      <c r="A135" s="20">
        <f t="shared" si="72"/>
        <v>44958</v>
      </c>
      <c r="B135">
        <f t="shared" si="95"/>
        <v>2</v>
      </c>
      <c r="C135">
        <f t="shared" si="96"/>
        <v>2023</v>
      </c>
      <c r="E135" s="14">
        <f t="shared" ref="E135:F135" ca="1" si="100">E123</f>
        <v>516.43000000000006</v>
      </c>
      <c r="F135" s="14">
        <f t="shared" ca="1" si="100"/>
        <v>0</v>
      </c>
      <c r="G135" s="11">
        <f t="shared" si="98"/>
        <v>28</v>
      </c>
      <c r="H135">
        <f t="shared" si="99"/>
        <v>0</v>
      </c>
      <c r="I135">
        <f>'Monthly Data'!CJ149</f>
        <v>0</v>
      </c>
      <c r="J135" s="69">
        <f>'Connection Count'!K42</f>
        <v>364.85800871791787</v>
      </c>
      <c r="K135">
        <f>'GS&lt;50 Normalized Monthly'!I135</f>
        <v>0.25</v>
      </c>
      <c r="L135" s="6">
        <f t="shared" si="84"/>
        <v>-4550747.7974309605</v>
      </c>
      <c r="M135" s="6">
        <f t="shared" ca="1" si="88"/>
        <v>3711917.4326763619</v>
      </c>
      <c r="N135" s="6">
        <f t="shared" ca="1" si="89"/>
        <v>0</v>
      </c>
      <c r="O135" s="6">
        <f t="shared" si="90"/>
        <v>13708219.76805957</v>
      </c>
      <c r="P135" s="6">
        <f t="shared" si="91"/>
        <v>0</v>
      </c>
      <c r="Q135" s="6">
        <f t="shared" si="85"/>
        <v>5791278.8940087892</v>
      </c>
      <c r="R135" s="6">
        <f t="shared" si="92"/>
        <v>0</v>
      </c>
      <c r="S135" s="6">
        <f t="shared" ca="1" si="86"/>
        <v>18660668.297313761</v>
      </c>
    </row>
    <row r="136" spans="1:19">
      <c r="A136" s="20">
        <f t="shared" si="72"/>
        <v>44986</v>
      </c>
      <c r="B136">
        <f t="shared" si="95"/>
        <v>3</v>
      </c>
      <c r="C136">
        <f t="shared" si="96"/>
        <v>2023</v>
      </c>
      <c r="E136" s="14">
        <f t="shared" ref="E136:F136" ca="1" si="101">E124</f>
        <v>412.32</v>
      </c>
      <c r="F136" s="14">
        <f t="shared" ca="1" si="101"/>
        <v>1.9999999999999928E-2</v>
      </c>
      <c r="G136" s="11">
        <f t="shared" si="98"/>
        <v>31</v>
      </c>
      <c r="H136">
        <f t="shared" si="99"/>
        <v>0</v>
      </c>
      <c r="I136">
        <f>'Monthly Data'!CJ150</f>
        <v>0</v>
      </c>
      <c r="J136" s="69">
        <f>'Connection Count'!K43</f>
        <v>364.67372092354105</v>
      </c>
      <c r="K136">
        <f>'GS&lt;50 Normalized Monthly'!I136</f>
        <v>0.25</v>
      </c>
      <c r="L136" s="6">
        <f t="shared" si="84"/>
        <v>-4550747.7974309605</v>
      </c>
      <c r="M136" s="6">
        <f t="shared" ca="1" si="88"/>
        <v>2963611.3235890968</v>
      </c>
      <c r="N136" s="6">
        <f t="shared" ca="1" si="89"/>
        <v>470.73649958372431</v>
      </c>
      <c r="O136" s="6">
        <f t="shared" si="90"/>
        <v>15176957.600351669</v>
      </c>
      <c r="P136" s="6">
        <f t="shared" si="91"/>
        <v>0</v>
      </c>
      <c r="Q136" s="6">
        <f t="shared" si="85"/>
        <v>5788353.7505598404</v>
      </c>
      <c r="R136" s="6">
        <f t="shared" si="92"/>
        <v>0</v>
      </c>
      <c r="S136" s="6">
        <f t="shared" ca="1" si="86"/>
        <v>19378645.61356923</v>
      </c>
    </row>
    <row r="137" spans="1:19">
      <c r="A137" s="20">
        <f t="shared" si="72"/>
        <v>45017</v>
      </c>
      <c r="B137">
        <f t="shared" si="95"/>
        <v>4</v>
      </c>
      <c r="C137">
        <f t="shared" si="96"/>
        <v>2023</v>
      </c>
      <c r="E137" s="14">
        <f t="shared" ref="E137:F137" ca="1" si="102">E125</f>
        <v>229.95</v>
      </c>
      <c r="F137" s="14">
        <f t="shared" ca="1" si="102"/>
        <v>1.3500000000000003</v>
      </c>
      <c r="G137" s="11">
        <f t="shared" si="98"/>
        <v>30</v>
      </c>
      <c r="H137">
        <f t="shared" si="99"/>
        <v>0</v>
      </c>
      <c r="I137">
        <f>'Monthly Data'!CJ151</f>
        <v>0</v>
      </c>
      <c r="J137" s="69">
        <f>'Connection Count'!K44</f>
        <v>364.48952621192615</v>
      </c>
      <c r="K137">
        <f>'GS&lt;50 Normalized Monthly'!I137</f>
        <v>0.25</v>
      </c>
      <c r="L137" s="6">
        <f t="shared" si="84"/>
        <v>-4550747.7974309605</v>
      </c>
      <c r="M137" s="6">
        <f t="shared" ca="1" si="88"/>
        <v>1652799.8250371383</v>
      </c>
      <c r="N137" s="6">
        <f t="shared" ca="1" si="89"/>
        <v>31774.713721901513</v>
      </c>
      <c r="O137" s="6">
        <f t="shared" si="90"/>
        <v>14687378.322920969</v>
      </c>
      <c r="P137" s="6">
        <f t="shared" si="91"/>
        <v>0</v>
      </c>
      <c r="Q137" s="6">
        <f t="shared" si="85"/>
        <v>5785430.0845849263</v>
      </c>
      <c r="R137" s="6">
        <f t="shared" si="92"/>
        <v>0</v>
      </c>
      <c r="S137" s="6">
        <f t="shared" ca="1" si="86"/>
        <v>17606635.148833975</v>
      </c>
    </row>
    <row r="138" spans="1:19">
      <c r="A138" s="20">
        <f t="shared" si="72"/>
        <v>45047</v>
      </c>
      <c r="B138">
        <f t="shared" si="95"/>
        <v>5</v>
      </c>
      <c r="C138">
        <f t="shared" si="96"/>
        <v>2023</v>
      </c>
      <c r="E138" s="14">
        <f t="shared" ref="E138:F138" ca="1" si="103">E126</f>
        <v>79.77000000000001</v>
      </c>
      <c r="F138" s="14">
        <f t="shared" ca="1" si="103"/>
        <v>42.72</v>
      </c>
      <c r="G138" s="11">
        <f t="shared" si="98"/>
        <v>31</v>
      </c>
      <c r="H138">
        <f t="shared" si="99"/>
        <v>0</v>
      </c>
      <c r="I138">
        <f>'Monthly Data'!CJ152</f>
        <v>0</v>
      </c>
      <c r="J138" s="69">
        <f>'Connection Count'!K45</f>
        <v>364.30542453605756</v>
      </c>
      <c r="K138">
        <f>'GS&lt;50 Normalized Monthly'!I138</f>
        <v>0.25</v>
      </c>
      <c r="L138" s="6">
        <f t="shared" si="84"/>
        <v>-4550747.7974309605</v>
      </c>
      <c r="M138" s="6">
        <f t="shared" ca="1" si="88"/>
        <v>573358.73904419458</v>
      </c>
      <c r="N138" s="6">
        <f t="shared" ca="1" si="89"/>
        <v>1005493.1631108387</v>
      </c>
      <c r="O138" s="6">
        <f t="shared" si="90"/>
        <v>15176957.600351669</v>
      </c>
      <c r="P138" s="6">
        <f t="shared" si="91"/>
        <v>0</v>
      </c>
      <c r="Q138" s="6">
        <f t="shared" si="85"/>
        <v>5782507.8953377837</v>
      </c>
      <c r="R138" s="6">
        <f t="shared" si="92"/>
        <v>0</v>
      </c>
      <c r="S138" s="6">
        <f t="shared" ca="1" si="86"/>
        <v>17987569.600413524</v>
      </c>
    </row>
    <row r="139" spans="1:19">
      <c r="A139" s="20">
        <f t="shared" si="72"/>
        <v>45078</v>
      </c>
      <c r="B139">
        <f t="shared" si="95"/>
        <v>6</v>
      </c>
      <c r="C139">
        <f t="shared" si="96"/>
        <v>2023</v>
      </c>
      <c r="E139" s="14">
        <f t="shared" ref="E139:F139" ca="1" si="104">E127</f>
        <v>5.16</v>
      </c>
      <c r="F139" s="14">
        <f t="shared" ca="1" si="104"/>
        <v>97.63000000000001</v>
      </c>
      <c r="G139" s="11">
        <f t="shared" si="98"/>
        <v>30</v>
      </c>
      <c r="H139">
        <f t="shared" si="99"/>
        <v>0</v>
      </c>
      <c r="I139">
        <f>'Monthly Data'!CJ153</f>
        <v>0</v>
      </c>
      <c r="J139" s="69">
        <f>'Connection Count'!K46</f>
        <v>364.1214158489434</v>
      </c>
      <c r="K139">
        <f>'GS&lt;50 Normalized Monthly'!I139</f>
        <v>0.25</v>
      </c>
      <c r="L139" s="6">
        <f t="shared" si="84"/>
        <v>-4550747.7974309605</v>
      </c>
      <c r="M139" s="6">
        <f t="shared" ca="1" si="88"/>
        <v>37088.267437232586</v>
      </c>
      <c r="N139" s="6">
        <f t="shared" ca="1" si="89"/>
        <v>2297900.222717959</v>
      </c>
      <c r="O139" s="6">
        <f t="shared" si="90"/>
        <v>14687378.322920969</v>
      </c>
      <c r="P139" s="6">
        <f t="shared" si="91"/>
        <v>0</v>
      </c>
      <c r="Q139" s="6">
        <f t="shared" si="85"/>
        <v>5779587.182072524</v>
      </c>
      <c r="R139" s="6">
        <f t="shared" si="92"/>
        <v>0</v>
      </c>
      <c r="S139" s="6">
        <f t="shared" ca="1" si="86"/>
        <v>18251206.197717726</v>
      </c>
    </row>
    <row r="140" spans="1:19">
      <c r="A140" s="20">
        <f t="shared" si="72"/>
        <v>45108</v>
      </c>
      <c r="B140">
        <f t="shared" si="95"/>
        <v>7</v>
      </c>
      <c r="C140">
        <f t="shared" si="96"/>
        <v>2023</v>
      </c>
      <c r="E140" s="14">
        <f t="shared" ref="E140:F140" ca="1" si="105">E128</f>
        <v>0</v>
      </c>
      <c r="F140" s="14">
        <f t="shared" ca="1" si="105"/>
        <v>172.46999999999997</v>
      </c>
      <c r="G140" s="11">
        <f t="shared" si="98"/>
        <v>31</v>
      </c>
      <c r="H140">
        <f t="shared" si="99"/>
        <v>0</v>
      </c>
      <c r="I140">
        <f>'Monthly Data'!CJ154</f>
        <v>0</v>
      </c>
      <c r="J140" s="69">
        <f>'Connection Count'!K47</f>
        <v>363.9375001036156</v>
      </c>
      <c r="K140">
        <f>'GS&lt;50 Normalized Monthly'!I140</f>
        <v>0.25</v>
      </c>
      <c r="L140" s="6">
        <f t="shared" si="84"/>
        <v>-4550747.7974309605</v>
      </c>
      <c r="M140" s="6">
        <f t="shared" ca="1" si="88"/>
        <v>0</v>
      </c>
      <c r="N140" s="6">
        <f t="shared" ca="1" si="89"/>
        <v>4059396.204160261</v>
      </c>
      <c r="O140" s="6">
        <f t="shared" si="90"/>
        <v>15176957.600351669</v>
      </c>
      <c r="P140" s="6">
        <f t="shared" si="91"/>
        <v>0</v>
      </c>
      <c r="Q140" s="6">
        <f t="shared" si="85"/>
        <v>5776667.9440436391</v>
      </c>
      <c r="R140" s="6">
        <f t="shared" si="92"/>
        <v>0</v>
      </c>
      <c r="S140" s="6">
        <f t="shared" ca="1" si="86"/>
        <v>20462273.951124609</v>
      </c>
    </row>
    <row r="141" spans="1:19">
      <c r="A141" s="20">
        <f t="shared" si="72"/>
        <v>45139</v>
      </c>
      <c r="B141">
        <f t="shared" si="95"/>
        <v>8</v>
      </c>
      <c r="C141">
        <f t="shared" si="96"/>
        <v>2023</v>
      </c>
      <c r="E141" s="14">
        <f t="shared" ref="E141:F141" ca="1" si="106">E129</f>
        <v>8.0000000000000071E-2</v>
      </c>
      <c r="F141" s="14">
        <f t="shared" ca="1" si="106"/>
        <v>155.49999999999997</v>
      </c>
      <c r="G141" s="11">
        <f t="shared" si="98"/>
        <v>31</v>
      </c>
      <c r="H141">
        <f t="shared" si="99"/>
        <v>0</v>
      </c>
      <c r="I141">
        <f>'Monthly Data'!CJ155</f>
        <v>0</v>
      </c>
      <c r="J141" s="69">
        <f>'Connection Count'!K48</f>
        <v>363.75367725312975</v>
      </c>
      <c r="K141">
        <f>'GS&lt;50 Normalized Monthly'!I141</f>
        <v>0.25</v>
      </c>
      <c r="L141" s="6">
        <f t="shared" si="84"/>
        <v>-4550747.7974309605</v>
      </c>
      <c r="M141" s="6">
        <f t="shared" ca="1" si="88"/>
        <v>575.01189825166853</v>
      </c>
      <c r="N141" s="6">
        <f t="shared" ca="1" si="89"/>
        <v>3659976.2842634693</v>
      </c>
      <c r="O141" s="6">
        <f t="shared" si="90"/>
        <v>15176957.600351669</v>
      </c>
      <c r="P141" s="6">
        <f t="shared" si="91"/>
        <v>0</v>
      </c>
      <c r="Q141" s="6">
        <f t="shared" si="85"/>
        <v>5773750.1805059928</v>
      </c>
      <c r="R141" s="6">
        <f t="shared" si="92"/>
        <v>0</v>
      </c>
      <c r="S141" s="6">
        <f t="shared" ca="1" si="86"/>
        <v>20060511.279588424</v>
      </c>
    </row>
    <row r="142" spans="1:19">
      <c r="A142" s="20">
        <f t="shared" si="72"/>
        <v>45170</v>
      </c>
      <c r="B142">
        <f t="shared" si="95"/>
        <v>9</v>
      </c>
      <c r="C142">
        <f t="shared" si="96"/>
        <v>2023</v>
      </c>
      <c r="E142" s="14">
        <f t="shared" ref="E142:F142" ca="1" si="107">E130</f>
        <v>12.280000000000001</v>
      </c>
      <c r="F142" s="14">
        <f t="shared" ca="1" si="107"/>
        <v>76.13</v>
      </c>
      <c r="G142" s="11">
        <f t="shared" si="98"/>
        <v>30</v>
      </c>
      <c r="H142">
        <f t="shared" si="99"/>
        <v>1</v>
      </c>
      <c r="I142">
        <f>'Monthly Data'!CJ156</f>
        <v>0</v>
      </c>
      <c r="J142" s="69">
        <f>'Connection Count'!K49</f>
        <v>363.56994725056518</v>
      </c>
      <c r="K142">
        <f>'GS&lt;50 Normalized Monthly'!I142</f>
        <v>0.25</v>
      </c>
      <c r="L142" s="6">
        <f t="shared" si="84"/>
        <v>-4550747.7974309605</v>
      </c>
      <c r="M142" s="6">
        <f t="shared" ca="1" si="88"/>
        <v>88264.32638163105</v>
      </c>
      <c r="N142" s="6">
        <f t="shared" ca="1" si="89"/>
        <v>1791858.4856654531</v>
      </c>
      <c r="O142" s="6">
        <f t="shared" si="90"/>
        <v>14687378.322920969</v>
      </c>
      <c r="P142" s="6">
        <f t="shared" si="91"/>
        <v>463327.49867077498</v>
      </c>
      <c r="Q142" s="6">
        <f t="shared" si="85"/>
        <v>5770833.8907148289</v>
      </c>
      <c r="R142" s="6">
        <f t="shared" si="92"/>
        <v>0</v>
      </c>
      <c r="S142" s="6">
        <f t="shared" ca="1" si="86"/>
        <v>18250914.726922698</v>
      </c>
    </row>
    <row r="143" spans="1:19">
      <c r="A143" s="20">
        <f t="shared" si="72"/>
        <v>45200</v>
      </c>
      <c r="B143">
        <f t="shared" si="95"/>
        <v>10</v>
      </c>
      <c r="C143">
        <f t="shared" si="96"/>
        <v>2023</v>
      </c>
      <c r="E143" s="14">
        <f t="shared" ref="E143:F143" ca="1" si="108">E131</f>
        <v>111.21000000000001</v>
      </c>
      <c r="F143" s="14">
        <f t="shared" ca="1" si="108"/>
        <v>15.330000000000002</v>
      </c>
      <c r="G143" s="11">
        <f t="shared" si="98"/>
        <v>31</v>
      </c>
      <c r="H143">
        <f t="shared" si="99"/>
        <v>1</v>
      </c>
      <c r="I143">
        <f>'Monthly Data'!CJ157</f>
        <v>0</v>
      </c>
      <c r="J143" s="69">
        <f>'Connection Count'!K50</f>
        <v>363.38631004902493</v>
      </c>
      <c r="K143">
        <f>'GS&lt;50 Normalized Monthly'!I143</f>
        <v>0.25</v>
      </c>
      <c r="L143" s="6">
        <f t="shared" si="84"/>
        <v>-4550747.7974309605</v>
      </c>
      <c r="M143" s="6">
        <f t="shared" ca="1" si="88"/>
        <v>799338.41505710012</v>
      </c>
      <c r="N143" s="6">
        <f t="shared" ca="1" si="89"/>
        <v>360819.52693092608</v>
      </c>
      <c r="O143" s="6">
        <f t="shared" si="90"/>
        <v>15176957.600351669</v>
      </c>
      <c r="P143" s="6">
        <f t="shared" si="91"/>
        <v>463327.49867077498</v>
      </c>
      <c r="Q143" s="6">
        <f t="shared" si="85"/>
        <v>5767919.0739257671</v>
      </c>
      <c r="R143" s="6">
        <f t="shared" si="92"/>
        <v>0</v>
      </c>
      <c r="S143" s="6">
        <f t="shared" ca="1" si="86"/>
        <v>18017614.317505278</v>
      </c>
    </row>
    <row r="144" spans="1:19">
      <c r="A144" s="20">
        <f t="shared" si="72"/>
        <v>45231</v>
      </c>
      <c r="B144">
        <f t="shared" si="95"/>
        <v>11</v>
      </c>
      <c r="C144">
        <f t="shared" si="96"/>
        <v>2023</v>
      </c>
      <c r="E144" s="14">
        <f t="shared" ref="E144:F144" ca="1" si="109">E132</f>
        <v>297.28000000000003</v>
      </c>
      <c r="F144" s="14">
        <f t="shared" ca="1" si="109"/>
        <v>0.76000000000000012</v>
      </c>
      <c r="G144" s="11">
        <f t="shared" si="98"/>
        <v>30</v>
      </c>
      <c r="H144">
        <f t="shared" si="99"/>
        <v>0</v>
      </c>
      <c r="I144">
        <f>'Monthly Data'!CJ158</f>
        <v>0</v>
      </c>
      <c r="J144" s="69">
        <f>'Connection Count'!K51</f>
        <v>363.20276560163569</v>
      </c>
      <c r="K144">
        <f>'GS&lt;50 Normalized Monthly'!I144</f>
        <v>0.25</v>
      </c>
      <c r="L144" s="6">
        <f t="shared" si="84"/>
        <v>-4550747.7974309605</v>
      </c>
      <c r="M144" s="6">
        <f t="shared" ca="1" si="88"/>
        <v>2136744.2139031985</v>
      </c>
      <c r="N144" s="6">
        <f t="shared" ca="1" si="89"/>
        <v>17887.986984181593</v>
      </c>
      <c r="O144" s="6">
        <f t="shared" si="90"/>
        <v>14687378.322920969</v>
      </c>
      <c r="P144" s="6">
        <f t="shared" si="91"/>
        <v>0</v>
      </c>
      <c r="Q144" s="6">
        <f t="shared" si="85"/>
        <v>5765005.7293948</v>
      </c>
      <c r="R144" s="6">
        <f t="shared" si="92"/>
        <v>0</v>
      </c>
      <c r="S144" s="6">
        <f t="shared" ca="1" si="86"/>
        <v>18056268.455772188</v>
      </c>
    </row>
    <row r="145" spans="1:19">
      <c r="A145" s="20">
        <f t="shared" si="72"/>
        <v>45261</v>
      </c>
      <c r="B145">
        <f t="shared" si="95"/>
        <v>12</v>
      </c>
      <c r="C145">
        <f t="shared" si="96"/>
        <v>2023</v>
      </c>
      <c r="E145" s="14">
        <f t="shared" ref="E145:F145" ca="1" si="110">E133</f>
        <v>440.25</v>
      </c>
      <c r="F145" s="14">
        <f t="shared" ca="1" si="110"/>
        <v>0</v>
      </c>
      <c r="G145" s="11">
        <f t="shared" si="98"/>
        <v>31</v>
      </c>
      <c r="H145">
        <f t="shared" si="99"/>
        <v>0</v>
      </c>
      <c r="I145">
        <f>'Monthly Data'!CJ159</f>
        <v>0</v>
      </c>
      <c r="J145" s="69">
        <f>'Connection Count'!K52</f>
        <v>363.01931386154786</v>
      </c>
      <c r="K145">
        <f>'GS&lt;50 Normalized Monthly'!I145</f>
        <v>0.25</v>
      </c>
      <c r="L145" s="6">
        <f t="shared" si="84"/>
        <v>-4550747.7974309605</v>
      </c>
      <c r="M145" s="6">
        <f t="shared" ca="1" si="88"/>
        <v>3164362.3525662106</v>
      </c>
      <c r="N145" s="6">
        <f t="shared" ca="1" si="89"/>
        <v>0</v>
      </c>
      <c r="O145" s="6">
        <f t="shared" si="90"/>
        <v>15176957.600351669</v>
      </c>
      <c r="P145" s="6">
        <f t="shared" si="91"/>
        <v>0</v>
      </c>
      <c r="Q145" s="6">
        <f t="shared" si="85"/>
        <v>5762093.8563782992</v>
      </c>
      <c r="R145" s="6">
        <f t="shared" si="92"/>
        <v>0</v>
      </c>
      <c r="S145" s="6">
        <f t="shared" ca="1" si="86"/>
        <v>19552666.011865217</v>
      </c>
    </row>
    <row r="146" spans="1:19">
      <c r="A146" s="20"/>
      <c r="E146" s="14"/>
      <c r="F146" s="14"/>
      <c r="G146" s="11"/>
      <c r="H146" s="11"/>
      <c r="I146" s="11"/>
      <c r="J146" s="69"/>
      <c r="L146" s="6"/>
      <c r="M146" s="6"/>
      <c r="N146" s="6"/>
      <c r="O146" s="6"/>
      <c r="P146" s="6"/>
      <c r="Q146" s="6"/>
      <c r="R146" s="6"/>
      <c r="S146" s="6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Y149"/>
  <sheetViews>
    <sheetView topLeftCell="I1" workbookViewId="0">
      <selection activeCell="U2" sqref="U2:Y20"/>
    </sheetView>
  </sheetViews>
  <sheetFormatPr defaultRowHeight="15"/>
  <cols>
    <col min="1" max="1" width="12.28515625" customWidth="1"/>
    <col min="4" max="4" width="16.85546875" customWidth="1"/>
    <col min="6" max="6" width="11.85546875" customWidth="1"/>
    <col min="7" max="7" width="11.7109375" customWidth="1"/>
    <col min="8" max="8" width="10.140625" bestFit="1" customWidth="1"/>
    <col min="11" max="11" width="14" bestFit="1" customWidth="1"/>
    <col min="12" max="12" width="11.5703125" bestFit="1" customWidth="1"/>
    <col min="13" max="13" width="14.28515625" bestFit="1" customWidth="1"/>
    <col min="14" max="14" width="14" bestFit="1" customWidth="1"/>
    <col min="15" max="15" width="12.28515625" bestFit="1" customWidth="1"/>
    <col min="16" max="16" width="13.28515625" customWidth="1"/>
    <col min="17" max="17" width="14.28515625" bestFit="1" customWidth="1"/>
    <col min="18" max="18" width="13.28515625" bestFit="1" customWidth="1"/>
    <col min="19" max="19" width="11.28515625" bestFit="1" customWidth="1"/>
    <col min="21" max="21" width="12.42578125" customWidth="1"/>
    <col min="22" max="22" width="11.5703125" bestFit="1" customWidth="1"/>
    <col min="23" max="23" width="14" customWidth="1"/>
  </cols>
  <sheetData>
    <row r="1" spans="1:25">
      <c r="A1" s="20" t="str">
        <f>'Monthly Data'!A1</f>
        <v>Date</v>
      </c>
      <c r="B1" t="s">
        <v>52</v>
      </c>
      <c r="C1" t="s">
        <v>53</v>
      </c>
      <c r="D1" t="str">
        <f>'Monthly Data'!S1</f>
        <v>IntkWh_NoCDM</v>
      </c>
      <c r="E1" t="s">
        <v>178</v>
      </c>
      <c r="F1" t="str">
        <f>'Monthly Data'!CF1</f>
        <v>Month Days</v>
      </c>
      <c r="G1" t="str">
        <f>'Monthly Data'!BN1</f>
        <v>Trend</v>
      </c>
      <c r="H1" t="str">
        <f>'Monthly Data'!CB1</f>
        <v>Dec</v>
      </c>
      <c r="I1" t="str">
        <f>'Monthly Data'!CJ1</f>
        <v>COVID2020</v>
      </c>
      <c r="K1" t="s">
        <v>85</v>
      </c>
      <c r="L1" t="str">
        <f>E1</f>
        <v>CDD16</v>
      </c>
      <c r="M1" t="str">
        <f>F1</f>
        <v>Month Days</v>
      </c>
      <c r="N1" t="str">
        <f>G1</f>
        <v>Trend</v>
      </c>
      <c r="O1" t="str">
        <f>H1</f>
        <v>Dec</v>
      </c>
      <c r="P1" t="str">
        <f>I1</f>
        <v>COVID2020</v>
      </c>
      <c r="Q1" t="s">
        <v>86</v>
      </c>
      <c r="R1" t="s">
        <v>104</v>
      </c>
      <c r="S1" t="s">
        <v>87</v>
      </c>
    </row>
    <row r="2" spans="1:25">
      <c r="A2" s="20">
        <f>'Monthly Data'!A2</f>
        <v>40909</v>
      </c>
      <c r="B2">
        <f t="shared" ref="B2:B44" si="0">MONTH(A2)</f>
        <v>1</v>
      </c>
      <c r="C2">
        <f t="shared" ref="C2:C44" si="1">YEAR(A2)</f>
        <v>2012</v>
      </c>
      <c r="D2" s="6">
        <f>'Monthly Data'!S2</f>
        <v>10184292.424999999</v>
      </c>
      <c r="E2" s="93">
        <f ca="1">Weather!BB61</f>
        <v>0</v>
      </c>
      <c r="F2">
        <f>'Monthly Data'!CF2</f>
        <v>31</v>
      </c>
      <c r="G2">
        <f>'Monthly Data'!BN2</f>
        <v>1</v>
      </c>
      <c r="H2">
        <f>'Monthly Data'!CB2</f>
        <v>0</v>
      </c>
      <c r="I2">
        <f>'Monthly Data'!CJ2</f>
        <v>0</v>
      </c>
      <c r="K2" s="6">
        <f t="shared" ref="K2:K33" si="2">$V$7</f>
        <v>475930.57328307</v>
      </c>
      <c r="L2" s="6">
        <f t="shared" ref="L2:L33" ca="1" si="3">E2*$V$8</f>
        <v>0</v>
      </c>
      <c r="M2" s="6">
        <f t="shared" ref="M2:M33" si="4">F2*$V$9</f>
        <v>10445590.485508041</v>
      </c>
      <c r="N2" s="6">
        <f t="shared" ref="N2:N33" si="5">G2*$V$10</f>
        <v>-4969.6494530467799</v>
      </c>
      <c r="O2" s="6">
        <f t="shared" ref="O2:O33" si="6">H2*$V$11</f>
        <v>0</v>
      </c>
      <c r="P2" s="6">
        <f>I2*$V$12</f>
        <v>0</v>
      </c>
      <c r="Q2" s="6">
        <f t="shared" ref="Q2:Q33" ca="1" si="7">SUM(K2:P2)</f>
        <v>10916551.409338064</v>
      </c>
      <c r="R2" s="6">
        <f t="shared" ref="R2:R33" ca="1" si="8">Q2-D2</f>
        <v>732258.98433806561</v>
      </c>
      <c r="S2" s="15">
        <f t="shared" ref="S2:S33" ca="1" si="9">ABS(Q2-D2)/D2</f>
        <v>7.1900820771853058E-2</v>
      </c>
      <c r="U2" t="s">
        <v>371</v>
      </c>
    </row>
    <row r="3" spans="1:25">
      <c r="A3" s="20">
        <f>'Monthly Data'!A3</f>
        <v>40940</v>
      </c>
      <c r="B3">
        <f t="shared" si="0"/>
        <v>2</v>
      </c>
      <c r="C3">
        <f t="shared" si="1"/>
        <v>2012</v>
      </c>
      <c r="D3" s="6">
        <f>'Monthly Data'!S3</f>
        <v>9898478.9196000006</v>
      </c>
      <c r="E3" s="93">
        <f ca="1">Weather!BB62</f>
        <v>0</v>
      </c>
      <c r="F3">
        <f>'Monthly Data'!CF3</f>
        <v>29</v>
      </c>
      <c r="G3">
        <f>'Monthly Data'!BN3</f>
        <v>2</v>
      </c>
      <c r="H3">
        <f>'Monthly Data'!CB3</f>
        <v>0</v>
      </c>
      <c r="I3">
        <f>'Monthly Data'!CJ3</f>
        <v>0</v>
      </c>
      <c r="K3" s="6">
        <f t="shared" si="2"/>
        <v>475930.57328307</v>
      </c>
      <c r="L3" s="6">
        <f t="shared" ca="1" si="3"/>
        <v>0</v>
      </c>
      <c r="M3" s="6">
        <f t="shared" si="4"/>
        <v>9771681.4219268784</v>
      </c>
      <c r="N3" s="6">
        <f t="shared" si="5"/>
        <v>-9939.2989060935597</v>
      </c>
      <c r="O3" s="6">
        <f t="shared" si="6"/>
        <v>0</v>
      </c>
      <c r="P3" s="6">
        <f t="shared" ref="P3:P66" si="10">I3*$V$12</f>
        <v>0</v>
      </c>
      <c r="Q3" s="6">
        <f t="shared" ca="1" si="7"/>
        <v>10237672.696303856</v>
      </c>
      <c r="R3" s="6">
        <f t="shared" ca="1" si="8"/>
        <v>339193.77670385502</v>
      </c>
      <c r="S3" s="15">
        <f t="shared" ca="1" si="9"/>
        <v>3.4267262622766886E-2</v>
      </c>
      <c r="U3" t="s">
        <v>105</v>
      </c>
    </row>
    <row r="4" spans="1:25">
      <c r="A4" s="20">
        <f>'Monthly Data'!A4</f>
        <v>40969</v>
      </c>
      <c r="B4">
        <f t="shared" si="0"/>
        <v>3</v>
      </c>
      <c r="C4">
        <f t="shared" si="1"/>
        <v>2012</v>
      </c>
      <c r="D4" s="6">
        <f>'Monthly Data'!S4</f>
        <v>10528549.533600001</v>
      </c>
      <c r="E4" s="93">
        <f ca="1">Weather!BB63</f>
        <v>1.9999999999999928E-2</v>
      </c>
      <c r="F4">
        <f>'Monthly Data'!CF4</f>
        <v>31</v>
      </c>
      <c r="G4">
        <f>'Monthly Data'!BN4</f>
        <v>3</v>
      </c>
      <c r="H4">
        <f>'Monthly Data'!CB4</f>
        <v>0</v>
      </c>
      <c r="I4">
        <f>'Monthly Data'!CJ4</f>
        <v>0</v>
      </c>
      <c r="K4" s="6">
        <f t="shared" si="2"/>
        <v>475930.57328307</v>
      </c>
      <c r="L4" s="6">
        <f t="shared" ca="1" si="3"/>
        <v>68.454863158104146</v>
      </c>
      <c r="M4" s="6">
        <f t="shared" si="4"/>
        <v>10445590.485508041</v>
      </c>
      <c r="N4" s="6">
        <f t="shared" si="5"/>
        <v>-14908.94835914034</v>
      </c>
      <c r="O4" s="6">
        <f t="shared" si="6"/>
        <v>0</v>
      </c>
      <c r="P4" s="6">
        <f t="shared" si="10"/>
        <v>0</v>
      </c>
      <c r="Q4" s="6">
        <f t="shared" ca="1" si="7"/>
        <v>10906680.565295128</v>
      </c>
      <c r="R4" s="6">
        <f t="shared" ca="1" si="8"/>
        <v>378131.03169512749</v>
      </c>
      <c r="S4" s="15">
        <f t="shared" ca="1" si="9"/>
        <v>3.591482668038834E-2</v>
      </c>
      <c r="U4" t="s">
        <v>387</v>
      </c>
    </row>
    <row r="5" spans="1:25">
      <c r="A5" s="20">
        <f>'Monthly Data'!A5</f>
        <v>41000</v>
      </c>
      <c r="B5">
        <f t="shared" si="0"/>
        <v>4</v>
      </c>
      <c r="C5">
        <f t="shared" si="1"/>
        <v>2012</v>
      </c>
      <c r="D5" s="6">
        <f>'Monthly Data'!S5</f>
        <v>9746760.0995999984</v>
      </c>
      <c r="E5" s="93">
        <f ca="1">Weather!BB64</f>
        <v>1.3500000000000003</v>
      </c>
      <c r="F5">
        <f>'Monthly Data'!CF5</f>
        <v>30</v>
      </c>
      <c r="G5">
        <f>'Monthly Data'!BN5</f>
        <v>4</v>
      </c>
      <c r="H5">
        <f>'Monthly Data'!CB5</f>
        <v>0</v>
      </c>
      <c r="I5">
        <f>'Monthly Data'!CJ5</f>
        <v>0</v>
      </c>
      <c r="K5" s="6">
        <f t="shared" si="2"/>
        <v>475930.57328307</v>
      </c>
      <c r="L5" s="6">
        <f t="shared" ca="1" si="3"/>
        <v>4620.7032631720476</v>
      </c>
      <c r="M5" s="6">
        <f t="shared" si="4"/>
        <v>10108635.953717459</v>
      </c>
      <c r="N5" s="6">
        <f t="shared" si="5"/>
        <v>-19878.597812187119</v>
      </c>
      <c r="O5" s="6">
        <f t="shared" si="6"/>
        <v>0</v>
      </c>
      <c r="P5" s="6">
        <f t="shared" si="10"/>
        <v>0</v>
      </c>
      <c r="Q5" s="6">
        <f t="shared" ca="1" si="7"/>
        <v>10569308.632451514</v>
      </c>
      <c r="R5" s="6">
        <f t="shared" ca="1" si="8"/>
        <v>822548.53285151534</v>
      </c>
      <c r="S5" s="15">
        <f t="shared" ca="1" si="9"/>
        <v>8.4391995334457071E-2</v>
      </c>
    </row>
    <row r="6" spans="1:25">
      <c r="A6" s="20">
        <f>'Monthly Data'!A6</f>
        <v>41030</v>
      </c>
      <c r="B6">
        <f t="shared" si="0"/>
        <v>5</v>
      </c>
      <c r="C6">
        <f t="shared" si="1"/>
        <v>2012</v>
      </c>
      <c r="D6" s="6">
        <f>'Monthly Data'!S6</f>
        <v>10887684.005600002</v>
      </c>
      <c r="E6" s="93">
        <f ca="1">Weather!BB65</f>
        <v>42.72</v>
      </c>
      <c r="F6">
        <f>'Monthly Data'!CF6</f>
        <v>31</v>
      </c>
      <c r="G6">
        <f>'Monthly Data'!BN6</f>
        <v>5</v>
      </c>
      <c r="H6">
        <f>'Monthly Data'!CB6</f>
        <v>0</v>
      </c>
      <c r="I6">
        <f>'Monthly Data'!CJ6</f>
        <v>0</v>
      </c>
      <c r="K6" s="6">
        <f t="shared" si="2"/>
        <v>475930.57328307</v>
      </c>
      <c r="L6" s="6">
        <f t="shared" ca="1" si="3"/>
        <v>146219.58770571099</v>
      </c>
      <c r="M6" s="6">
        <f t="shared" si="4"/>
        <v>10445590.485508041</v>
      </c>
      <c r="N6" s="6">
        <f t="shared" si="5"/>
        <v>-24848.247265233898</v>
      </c>
      <c r="O6" s="6">
        <f t="shared" si="6"/>
        <v>0</v>
      </c>
      <c r="P6" s="6">
        <f t="shared" si="10"/>
        <v>0</v>
      </c>
      <c r="Q6" s="6">
        <f t="shared" ca="1" si="7"/>
        <v>11042892.399231588</v>
      </c>
      <c r="R6" s="6">
        <f t="shared" ca="1" si="8"/>
        <v>155208.3936315868</v>
      </c>
      <c r="S6" s="15">
        <f t="shared" ca="1" si="9"/>
        <v>1.425540946557197E-2</v>
      </c>
      <c r="V6" t="s">
        <v>89</v>
      </c>
      <c r="W6" t="s">
        <v>90</v>
      </c>
      <c r="X6" t="s">
        <v>91</v>
      </c>
      <c r="Y6" t="s">
        <v>92</v>
      </c>
    </row>
    <row r="7" spans="1:25">
      <c r="A7" s="20">
        <f>'Monthly Data'!A7</f>
        <v>41061</v>
      </c>
      <c r="B7">
        <f t="shared" si="0"/>
        <v>6</v>
      </c>
      <c r="C7">
        <f t="shared" si="1"/>
        <v>2012</v>
      </c>
      <c r="D7" s="6">
        <f>'Monthly Data'!S7</f>
        <v>10627934.568399996</v>
      </c>
      <c r="E7" s="93">
        <f ca="1">Weather!BB66</f>
        <v>97.63000000000001</v>
      </c>
      <c r="F7">
        <f>'Monthly Data'!CF7</f>
        <v>30</v>
      </c>
      <c r="G7">
        <f>'Monthly Data'!BN7</f>
        <v>6</v>
      </c>
      <c r="H7">
        <f>'Monthly Data'!CB7</f>
        <v>0</v>
      </c>
      <c r="I7">
        <f>'Monthly Data'!CJ7</f>
        <v>0</v>
      </c>
      <c r="K7" s="6">
        <f t="shared" si="2"/>
        <v>475930.57328307</v>
      </c>
      <c r="L7" s="6">
        <f t="shared" ca="1" si="3"/>
        <v>334162.41450628667</v>
      </c>
      <c r="M7" s="6">
        <f t="shared" si="4"/>
        <v>10108635.953717459</v>
      </c>
      <c r="N7" s="6">
        <f t="shared" si="5"/>
        <v>-29817.896718280681</v>
      </c>
      <c r="O7" s="6">
        <f t="shared" si="6"/>
        <v>0</v>
      </c>
      <c r="P7" s="6">
        <f t="shared" si="10"/>
        <v>0</v>
      </c>
      <c r="Q7" s="6">
        <f t="shared" ca="1" si="7"/>
        <v>10888911.044788536</v>
      </c>
      <c r="R7" s="6">
        <f t="shared" ca="1" si="8"/>
        <v>260976.47638854012</v>
      </c>
      <c r="S7" s="15">
        <f t="shared" ca="1" si="9"/>
        <v>2.4555709739171771E-2</v>
      </c>
      <c r="U7" t="s">
        <v>85</v>
      </c>
      <c r="V7" s="6">
        <v>475930.57328307</v>
      </c>
      <c r="W7" s="70">
        <v>1080260.0764333501</v>
      </c>
      <c r="X7" s="85">
        <v>0.44057036232833002</v>
      </c>
      <c r="Y7" s="240">
        <v>0.66027899353165997</v>
      </c>
    </row>
    <row r="8" spans="1:25">
      <c r="A8" s="20">
        <f>'Monthly Data'!A8</f>
        <v>41091</v>
      </c>
      <c r="B8">
        <f t="shared" si="0"/>
        <v>7</v>
      </c>
      <c r="C8">
        <f t="shared" si="1"/>
        <v>2012</v>
      </c>
      <c r="D8" s="6">
        <f>'Monthly Data'!S8</f>
        <v>11037123.910399999</v>
      </c>
      <c r="E8" s="93">
        <f ca="1">Weather!BB67</f>
        <v>172.46999999999997</v>
      </c>
      <c r="F8">
        <f>'Monthly Data'!CF8</f>
        <v>31</v>
      </c>
      <c r="G8">
        <f>'Monthly Data'!BN8</f>
        <v>7</v>
      </c>
      <c r="H8">
        <f>'Monthly Data'!CB8</f>
        <v>0</v>
      </c>
      <c r="I8">
        <f>'Monthly Data'!CJ8</f>
        <v>0</v>
      </c>
      <c r="K8" s="6">
        <f t="shared" si="2"/>
        <v>475930.57328307</v>
      </c>
      <c r="L8" s="6">
        <f t="shared" ca="1" si="3"/>
        <v>590320.51244391315</v>
      </c>
      <c r="M8" s="6">
        <f t="shared" si="4"/>
        <v>10445590.485508041</v>
      </c>
      <c r="N8" s="6">
        <f t="shared" si="5"/>
        <v>-34787.546171327456</v>
      </c>
      <c r="O8" s="6">
        <f t="shared" si="6"/>
        <v>0</v>
      </c>
      <c r="P8" s="6">
        <f t="shared" si="10"/>
        <v>0</v>
      </c>
      <c r="Q8" s="6">
        <f t="shared" ca="1" si="7"/>
        <v>11477054.025063697</v>
      </c>
      <c r="R8" s="6">
        <f t="shared" ca="1" si="8"/>
        <v>439930.11466369778</v>
      </c>
      <c r="S8" s="15">
        <f t="shared" ca="1" si="9"/>
        <v>3.9859126184962269E-2</v>
      </c>
      <c r="U8" t="s">
        <v>178</v>
      </c>
      <c r="V8" s="6">
        <v>3422.74315790522</v>
      </c>
      <c r="W8" s="70">
        <v>725.09524226206804</v>
      </c>
      <c r="X8" s="85">
        <v>4.7204049322228903</v>
      </c>
      <c r="Y8" s="240">
        <v>6.1622971508300401E-6</v>
      </c>
    </row>
    <row r="9" spans="1:25">
      <c r="A9" s="20">
        <f>'Monthly Data'!A9</f>
        <v>41122</v>
      </c>
      <c r="B9">
        <f t="shared" si="0"/>
        <v>8</v>
      </c>
      <c r="C9">
        <f t="shared" si="1"/>
        <v>2012</v>
      </c>
      <c r="D9" s="6">
        <f>'Monthly Data'!S9</f>
        <v>11333527.0392</v>
      </c>
      <c r="E9" s="93">
        <f ca="1">Weather!BB68</f>
        <v>155.49999999999997</v>
      </c>
      <c r="F9">
        <f>'Monthly Data'!CF9</f>
        <v>31</v>
      </c>
      <c r="G9">
        <f>'Monthly Data'!BN9</f>
        <v>8</v>
      </c>
      <c r="H9">
        <f>'Monthly Data'!CB9</f>
        <v>0</v>
      </c>
      <c r="I9">
        <f>'Monthly Data'!CJ9</f>
        <v>0</v>
      </c>
      <c r="K9" s="6">
        <f t="shared" si="2"/>
        <v>475930.57328307</v>
      </c>
      <c r="L9" s="6">
        <f t="shared" ca="1" si="3"/>
        <v>532236.56105426163</v>
      </c>
      <c r="M9" s="6">
        <f t="shared" si="4"/>
        <v>10445590.485508041</v>
      </c>
      <c r="N9" s="6">
        <f t="shared" si="5"/>
        <v>-39757.195624374239</v>
      </c>
      <c r="O9" s="6">
        <f t="shared" si="6"/>
        <v>0</v>
      </c>
      <c r="P9" s="6">
        <f t="shared" si="10"/>
        <v>0</v>
      </c>
      <c r="Q9" s="6">
        <f t="shared" ca="1" si="7"/>
        <v>11414000.424221</v>
      </c>
      <c r="R9" s="6">
        <f t="shared" ca="1" si="8"/>
        <v>80473.385020999238</v>
      </c>
      <c r="S9" s="15">
        <f t="shared" ca="1" si="9"/>
        <v>7.1004714368846306E-3</v>
      </c>
      <c r="U9" t="s">
        <v>93</v>
      </c>
      <c r="V9" s="6">
        <v>336954.531790582</v>
      </c>
      <c r="W9" s="70">
        <v>35484.689781791101</v>
      </c>
      <c r="X9" s="85">
        <v>9.4957722291682192</v>
      </c>
      <c r="Y9" s="240">
        <v>1.8510230752910901E-16</v>
      </c>
    </row>
    <row r="10" spans="1:25">
      <c r="A10" s="20">
        <f>'Monthly Data'!A10</f>
        <v>41153</v>
      </c>
      <c r="B10">
        <f t="shared" si="0"/>
        <v>9</v>
      </c>
      <c r="C10">
        <f t="shared" si="1"/>
        <v>2012</v>
      </c>
      <c r="D10" s="6">
        <f>'Monthly Data'!S10</f>
        <v>10531471.440000001</v>
      </c>
      <c r="E10" s="93">
        <f ca="1">Weather!BB69</f>
        <v>76.13</v>
      </c>
      <c r="F10">
        <f>'Monthly Data'!CF10</f>
        <v>30</v>
      </c>
      <c r="G10">
        <f>'Monthly Data'!BN10</f>
        <v>9</v>
      </c>
      <c r="H10">
        <f>'Monthly Data'!CB10</f>
        <v>0</v>
      </c>
      <c r="I10">
        <f>'Monthly Data'!CJ10</f>
        <v>0</v>
      </c>
      <c r="K10" s="6">
        <f t="shared" si="2"/>
        <v>475930.57328307</v>
      </c>
      <c r="L10" s="6">
        <f t="shared" ca="1" si="3"/>
        <v>260573.43661132437</v>
      </c>
      <c r="M10" s="6">
        <f t="shared" si="4"/>
        <v>10108635.953717459</v>
      </c>
      <c r="N10" s="6">
        <f t="shared" si="5"/>
        <v>-44726.845077421021</v>
      </c>
      <c r="O10" s="6">
        <f t="shared" si="6"/>
        <v>0</v>
      </c>
      <c r="P10" s="6">
        <f t="shared" si="10"/>
        <v>0</v>
      </c>
      <c r="Q10" s="6">
        <f t="shared" ca="1" si="7"/>
        <v>10800413.118534431</v>
      </c>
      <c r="R10" s="6">
        <f t="shared" ca="1" si="8"/>
        <v>268941.67853442952</v>
      </c>
      <c r="S10" s="15">
        <f t="shared" ca="1" si="9"/>
        <v>2.5536951798867481E-2</v>
      </c>
      <c r="U10" t="s">
        <v>61</v>
      </c>
      <c r="V10" s="6">
        <v>-4969.6494530467799</v>
      </c>
      <c r="W10" s="70">
        <v>1522.8901229727401</v>
      </c>
      <c r="X10" s="85">
        <v>-3.2633013886424198</v>
      </c>
      <c r="Y10" s="240">
        <v>1.4176000611057699E-3</v>
      </c>
    </row>
    <row r="11" spans="1:25">
      <c r="A11" s="20">
        <f>'Monthly Data'!A11</f>
        <v>41183</v>
      </c>
      <c r="B11">
        <f t="shared" si="0"/>
        <v>10</v>
      </c>
      <c r="C11">
        <f t="shared" si="1"/>
        <v>2012</v>
      </c>
      <c r="D11" s="6">
        <f>'Monthly Data'!S11</f>
        <v>11053422.9202</v>
      </c>
      <c r="E11" s="93">
        <f ca="1">Weather!BB70</f>
        <v>15.330000000000002</v>
      </c>
      <c r="F11">
        <f>'Monthly Data'!CF11</f>
        <v>31</v>
      </c>
      <c r="G11">
        <f>'Monthly Data'!BN11</f>
        <v>10</v>
      </c>
      <c r="H11">
        <f>'Monthly Data'!CB11</f>
        <v>0</v>
      </c>
      <c r="I11">
        <f>'Monthly Data'!CJ11</f>
        <v>0</v>
      </c>
      <c r="K11" s="6">
        <f t="shared" si="2"/>
        <v>475930.57328307</v>
      </c>
      <c r="L11" s="6">
        <f t="shared" ca="1" si="3"/>
        <v>52470.65261068703</v>
      </c>
      <c r="M11" s="6">
        <f t="shared" si="4"/>
        <v>10445590.485508041</v>
      </c>
      <c r="N11" s="6">
        <f t="shared" si="5"/>
        <v>-49696.494530467797</v>
      </c>
      <c r="O11" s="6">
        <f t="shared" si="6"/>
        <v>0</v>
      </c>
      <c r="P11" s="6">
        <f t="shared" si="10"/>
        <v>0</v>
      </c>
      <c r="Q11" s="6">
        <f t="shared" ca="1" si="7"/>
        <v>10924295.216871331</v>
      </c>
      <c r="R11" s="6">
        <f t="shared" ca="1" si="8"/>
        <v>-129127.70332866907</v>
      </c>
      <c r="S11" s="15">
        <f t="shared" ca="1" si="9"/>
        <v>1.1682146269160634E-2</v>
      </c>
      <c r="U11" t="s">
        <v>43</v>
      </c>
      <c r="V11" s="6">
        <v>-634211.854533192</v>
      </c>
      <c r="W11" s="70">
        <v>116846.732066853</v>
      </c>
      <c r="X11" s="85">
        <v>-5.4277243643436499</v>
      </c>
      <c r="Y11" s="240">
        <v>2.8180088711489402E-7</v>
      </c>
    </row>
    <row r="12" spans="1:25">
      <c r="A12" s="20">
        <f>'Monthly Data'!A12</f>
        <v>41214</v>
      </c>
      <c r="B12">
        <f t="shared" si="0"/>
        <v>11</v>
      </c>
      <c r="C12">
        <f t="shared" si="1"/>
        <v>2012</v>
      </c>
      <c r="D12" s="6">
        <f>'Monthly Data'!S12</f>
        <v>11096947.746599998</v>
      </c>
      <c r="E12" s="93">
        <f ca="1">Weather!BB71</f>
        <v>0.76000000000000012</v>
      </c>
      <c r="F12">
        <f>'Monthly Data'!CF12</f>
        <v>30</v>
      </c>
      <c r="G12">
        <f>'Monthly Data'!BN12</f>
        <v>11</v>
      </c>
      <c r="H12">
        <f>'Monthly Data'!CB12</f>
        <v>0</v>
      </c>
      <c r="I12">
        <f>'Monthly Data'!CJ12</f>
        <v>0</v>
      </c>
      <c r="K12" s="6">
        <f t="shared" si="2"/>
        <v>475930.57328307</v>
      </c>
      <c r="L12" s="6">
        <f t="shared" ca="1" si="3"/>
        <v>2601.2848000079675</v>
      </c>
      <c r="M12" s="6">
        <f t="shared" si="4"/>
        <v>10108635.953717459</v>
      </c>
      <c r="N12" s="6">
        <f t="shared" si="5"/>
        <v>-54666.143983514579</v>
      </c>
      <c r="O12" s="6">
        <f t="shared" si="6"/>
        <v>0</v>
      </c>
      <c r="P12" s="6">
        <f t="shared" si="10"/>
        <v>0</v>
      </c>
      <c r="Q12" s="6">
        <f t="shared" ca="1" si="7"/>
        <v>10532501.667817023</v>
      </c>
      <c r="R12" s="6">
        <f t="shared" ca="1" si="8"/>
        <v>-564446.07878297567</v>
      </c>
      <c r="S12" s="15">
        <f t="shared" ca="1" si="9"/>
        <v>5.0864984829356946E-2</v>
      </c>
      <c r="U12" t="s">
        <v>280</v>
      </c>
      <c r="V12" s="6">
        <v>-2643152.3895724402</v>
      </c>
      <c r="W12" s="70">
        <v>359305.13763915002</v>
      </c>
      <c r="X12" s="85">
        <v>-7.3562888828685704</v>
      </c>
      <c r="Y12" s="240">
        <v>2.1288175053634699E-11</v>
      </c>
    </row>
    <row r="13" spans="1:25">
      <c r="A13" s="20">
        <f>'Monthly Data'!A13</f>
        <v>41244</v>
      </c>
      <c r="B13">
        <f t="shared" si="0"/>
        <v>12</v>
      </c>
      <c r="C13">
        <f t="shared" si="1"/>
        <v>2012</v>
      </c>
      <c r="D13" s="6">
        <f>'Monthly Data'!S13</f>
        <v>9973850.2603999972</v>
      </c>
      <c r="E13" s="93">
        <f ca="1">Weather!BB72</f>
        <v>0</v>
      </c>
      <c r="F13">
        <f>'Monthly Data'!CF13</f>
        <v>31</v>
      </c>
      <c r="G13">
        <f>'Monthly Data'!BN13</f>
        <v>12</v>
      </c>
      <c r="H13">
        <f>'Monthly Data'!CB13</f>
        <v>1</v>
      </c>
      <c r="I13">
        <f>'Monthly Data'!CJ13</f>
        <v>0</v>
      </c>
      <c r="K13" s="6">
        <f t="shared" si="2"/>
        <v>475930.57328307</v>
      </c>
      <c r="L13" s="6">
        <f t="shared" ca="1" si="3"/>
        <v>0</v>
      </c>
      <c r="M13" s="6">
        <f t="shared" si="4"/>
        <v>10445590.485508041</v>
      </c>
      <c r="N13" s="6">
        <f t="shared" si="5"/>
        <v>-59635.793436561362</v>
      </c>
      <c r="O13" s="6">
        <f t="shared" si="6"/>
        <v>-634211.854533192</v>
      </c>
      <c r="P13" s="6">
        <f t="shared" si="10"/>
        <v>0</v>
      </c>
      <c r="Q13" s="6">
        <f t="shared" ca="1" si="7"/>
        <v>10227673.41082136</v>
      </c>
      <c r="R13" s="6">
        <f t="shared" ca="1" si="8"/>
        <v>253823.15042136237</v>
      </c>
      <c r="S13" s="15">
        <f t="shared" ca="1" si="9"/>
        <v>2.5448863156602362E-2</v>
      </c>
      <c r="V13" s="6"/>
      <c r="W13" s="70"/>
      <c r="X13" s="85"/>
      <c r="Y13" s="240"/>
    </row>
    <row r="14" spans="1:25">
      <c r="A14" s="20">
        <f>'Monthly Data'!A14</f>
        <v>41275</v>
      </c>
      <c r="B14">
        <f t="shared" si="0"/>
        <v>1</v>
      </c>
      <c r="C14">
        <f t="shared" si="1"/>
        <v>2013</v>
      </c>
      <c r="D14" s="6">
        <f>'Monthly Data'!S14</f>
        <v>11037124.507985253</v>
      </c>
      <c r="E14" s="7">
        <f ca="1">E2</f>
        <v>0</v>
      </c>
      <c r="F14">
        <f>'Monthly Data'!CF14</f>
        <v>31</v>
      </c>
      <c r="G14">
        <f>'Monthly Data'!BN14</f>
        <v>13</v>
      </c>
      <c r="H14">
        <f>'Monthly Data'!CB14</f>
        <v>0</v>
      </c>
      <c r="I14">
        <f>'Monthly Data'!CJ14</f>
        <v>0</v>
      </c>
      <c r="K14" s="6">
        <f t="shared" si="2"/>
        <v>475930.57328307</v>
      </c>
      <c r="L14" s="6">
        <f t="shared" ca="1" si="3"/>
        <v>0</v>
      </c>
      <c r="M14" s="6">
        <f t="shared" si="4"/>
        <v>10445590.485508041</v>
      </c>
      <c r="N14" s="6">
        <f t="shared" si="5"/>
        <v>-64605.442889608137</v>
      </c>
      <c r="O14" s="6">
        <f t="shared" si="6"/>
        <v>0</v>
      </c>
      <c r="P14" s="6">
        <f t="shared" si="10"/>
        <v>0</v>
      </c>
      <c r="Q14" s="6">
        <f t="shared" ca="1" si="7"/>
        <v>10856915.615901504</v>
      </c>
      <c r="R14" s="6">
        <f t="shared" ca="1" si="8"/>
        <v>-180208.89208374918</v>
      </c>
      <c r="S14" s="15">
        <f t="shared" ca="1" si="9"/>
        <v>1.6327521896973236E-2</v>
      </c>
      <c r="U14" t="s">
        <v>190</v>
      </c>
    </row>
    <row r="15" spans="1:25">
      <c r="A15" s="20">
        <f>'Monthly Data'!A15</f>
        <v>41306</v>
      </c>
      <c r="B15">
        <f t="shared" si="0"/>
        <v>2</v>
      </c>
      <c r="C15">
        <f t="shared" si="1"/>
        <v>2013</v>
      </c>
      <c r="D15" s="6">
        <f>'Monthly Data'!S15</f>
        <v>9768520.7657852564</v>
      </c>
      <c r="E15" s="7">
        <f t="shared" ref="E15:E78" ca="1" si="11">E3</f>
        <v>0</v>
      </c>
      <c r="F15">
        <f>'Monthly Data'!CF15</f>
        <v>28</v>
      </c>
      <c r="G15">
        <f>'Monthly Data'!BN15</f>
        <v>14</v>
      </c>
      <c r="H15">
        <f>'Monthly Data'!CB15</f>
        <v>0</v>
      </c>
      <c r="I15">
        <f>'Monthly Data'!CJ15</f>
        <v>0</v>
      </c>
      <c r="K15" s="6">
        <f t="shared" si="2"/>
        <v>475930.57328307</v>
      </c>
      <c r="L15" s="6">
        <f t="shared" ca="1" si="3"/>
        <v>0</v>
      </c>
      <c r="M15" s="6">
        <f t="shared" si="4"/>
        <v>9434726.8901362959</v>
      </c>
      <c r="N15" s="6">
        <f t="shared" si="5"/>
        <v>-69575.092342654912</v>
      </c>
      <c r="O15" s="6">
        <f t="shared" si="6"/>
        <v>0</v>
      </c>
      <c r="P15" s="6">
        <f t="shared" si="10"/>
        <v>0</v>
      </c>
      <c r="Q15" s="6">
        <f t="shared" ca="1" si="7"/>
        <v>9841082.3710767124</v>
      </c>
      <c r="R15" s="6">
        <f t="shared" ca="1" si="8"/>
        <v>72561.605291455984</v>
      </c>
      <c r="S15" s="15">
        <f t="shared" ca="1" si="9"/>
        <v>7.4281057522656568E-3</v>
      </c>
      <c r="U15" t="s">
        <v>94</v>
      </c>
      <c r="V15">
        <v>10455578.6688802</v>
      </c>
      <c r="W15" t="s">
        <v>95</v>
      </c>
      <c r="X15">
        <v>744823.31705387495</v>
      </c>
    </row>
    <row r="16" spans="1:25">
      <c r="A16" s="20">
        <f>'Monthly Data'!A16</f>
        <v>41334</v>
      </c>
      <c r="B16">
        <f t="shared" si="0"/>
        <v>3</v>
      </c>
      <c r="C16">
        <f t="shared" si="1"/>
        <v>2013</v>
      </c>
      <c r="D16" s="6">
        <f>'Monthly Data'!S16</f>
        <v>10703251.362785257</v>
      </c>
      <c r="E16" s="7">
        <f t="shared" ca="1" si="11"/>
        <v>1.9999999999999928E-2</v>
      </c>
      <c r="F16">
        <f>'Monthly Data'!CF16</f>
        <v>31</v>
      </c>
      <c r="G16">
        <f>'Monthly Data'!BN16</f>
        <v>15</v>
      </c>
      <c r="H16">
        <f>'Monthly Data'!CB16</f>
        <v>0</v>
      </c>
      <c r="I16">
        <f>'Monthly Data'!CJ16</f>
        <v>0</v>
      </c>
      <c r="K16" s="6">
        <f t="shared" si="2"/>
        <v>475930.57328307</v>
      </c>
      <c r="L16" s="6">
        <f t="shared" ca="1" si="3"/>
        <v>68.454863158104146</v>
      </c>
      <c r="M16" s="6">
        <f t="shared" si="4"/>
        <v>10445590.485508041</v>
      </c>
      <c r="N16" s="6">
        <f t="shared" si="5"/>
        <v>-74544.741795701702</v>
      </c>
      <c r="O16" s="6">
        <f t="shared" si="6"/>
        <v>0</v>
      </c>
      <c r="P16" s="6">
        <f t="shared" si="10"/>
        <v>0</v>
      </c>
      <c r="Q16" s="6">
        <f t="shared" ca="1" si="7"/>
        <v>10847044.771858567</v>
      </c>
      <c r="R16" s="6">
        <f t="shared" ca="1" si="8"/>
        <v>143793.40907330997</v>
      </c>
      <c r="S16" s="15">
        <f t="shared" ca="1" si="9"/>
        <v>1.3434554062074394E-2</v>
      </c>
      <c r="U16" t="s">
        <v>96</v>
      </c>
      <c r="V16" s="6">
        <v>20110558042615</v>
      </c>
      <c r="W16" t="s">
        <v>97</v>
      </c>
      <c r="X16" s="6">
        <v>399509.203289258</v>
      </c>
    </row>
    <row r="17" spans="1:24">
      <c r="A17" s="20">
        <f>'Monthly Data'!A17</f>
        <v>41365</v>
      </c>
      <c r="B17">
        <f t="shared" si="0"/>
        <v>4</v>
      </c>
      <c r="C17">
        <f t="shared" si="1"/>
        <v>2013</v>
      </c>
      <c r="D17" s="6">
        <f>'Monthly Data'!S17</f>
        <v>10644159.995785259</v>
      </c>
      <c r="E17" s="7">
        <f t="shared" ca="1" si="11"/>
        <v>1.3500000000000003</v>
      </c>
      <c r="F17">
        <f>'Monthly Data'!CF17</f>
        <v>30</v>
      </c>
      <c r="G17">
        <f>'Monthly Data'!BN17</f>
        <v>16</v>
      </c>
      <c r="H17">
        <f>'Monthly Data'!CB17</f>
        <v>0</v>
      </c>
      <c r="I17">
        <f>'Monthly Data'!CJ17</f>
        <v>0</v>
      </c>
      <c r="K17" s="6">
        <f t="shared" si="2"/>
        <v>475930.57328307</v>
      </c>
      <c r="L17" s="6">
        <f t="shared" ca="1" si="3"/>
        <v>4620.7032631720476</v>
      </c>
      <c r="M17" s="6">
        <f t="shared" si="4"/>
        <v>10108635.953717459</v>
      </c>
      <c r="N17" s="6">
        <f t="shared" si="5"/>
        <v>-79514.391248748478</v>
      </c>
      <c r="O17" s="6">
        <f t="shared" si="6"/>
        <v>0</v>
      </c>
      <c r="P17" s="6">
        <f t="shared" si="10"/>
        <v>0</v>
      </c>
      <c r="Q17" s="6">
        <f t="shared" ca="1" si="7"/>
        <v>10509672.839014953</v>
      </c>
      <c r="R17" s="6">
        <f t="shared" ca="1" si="8"/>
        <v>-134487.15677030571</v>
      </c>
      <c r="S17" s="15">
        <f t="shared" ca="1" si="9"/>
        <v>1.2634830444446368E-2</v>
      </c>
      <c r="U17" t="s">
        <v>98</v>
      </c>
      <c r="V17" s="241">
        <v>0.72333631980764901</v>
      </c>
      <c r="W17" t="s">
        <v>99</v>
      </c>
      <c r="X17" s="120">
        <v>0.71235760233969903</v>
      </c>
    </row>
    <row r="18" spans="1:24">
      <c r="A18" s="20">
        <f>'Monthly Data'!A18</f>
        <v>41395</v>
      </c>
      <c r="B18">
        <f t="shared" si="0"/>
        <v>5</v>
      </c>
      <c r="C18">
        <f t="shared" si="1"/>
        <v>2013</v>
      </c>
      <c r="D18" s="6">
        <f>'Monthly Data'!S18</f>
        <v>11574045.029185256</v>
      </c>
      <c r="E18" s="7">
        <f t="shared" ca="1" si="11"/>
        <v>42.72</v>
      </c>
      <c r="F18">
        <f>'Monthly Data'!CF18</f>
        <v>31</v>
      </c>
      <c r="G18">
        <f>'Monthly Data'!BN18</f>
        <v>17</v>
      </c>
      <c r="H18">
        <f>'Monthly Data'!CB18</f>
        <v>0</v>
      </c>
      <c r="I18">
        <f>'Monthly Data'!CJ18</f>
        <v>0</v>
      </c>
      <c r="K18" s="6">
        <f t="shared" si="2"/>
        <v>475930.57328307</v>
      </c>
      <c r="L18" s="6">
        <f t="shared" ca="1" si="3"/>
        <v>146219.58770571099</v>
      </c>
      <c r="M18" s="6">
        <f t="shared" si="4"/>
        <v>10445590.485508041</v>
      </c>
      <c r="N18" s="6">
        <f t="shared" si="5"/>
        <v>-84484.040701795253</v>
      </c>
      <c r="O18" s="6">
        <f t="shared" si="6"/>
        <v>0</v>
      </c>
      <c r="P18" s="6">
        <f t="shared" si="10"/>
        <v>0</v>
      </c>
      <c r="Q18" s="6">
        <f t="shared" ca="1" si="7"/>
        <v>10983256.605795028</v>
      </c>
      <c r="R18" s="6">
        <f t="shared" ca="1" si="8"/>
        <v>-590788.4233902283</v>
      </c>
      <c r="S18" s="15">
        <f t="shared" ca="1" si="9"/>
        <v>5.1044247875352902E-2</v>
      </c>
      <c r="U18" t="s">
        <v>383</v>
      </c>
      <c r="V18" s="242">
        <v>56.622474247173599</v>
      </c>
      <c r="W18" t="s">
        <v>100</v>
      </c>
      <c r="X18" s="120">
        <v>1.3493397666466899E-30</v>
      </c>
    </row>
    <row r="19" spans="1:24">
      <c r="A19" s="20">
        <f>'Monthly Data'!A19</f>
        <v>41426</v>
      </c>
      <c r="B19">
        <f t="shared" si="0"/>
        <v>6</v>
      </c>
      <c r="C19">
        <f t="shared" si="1"/>
        <v>2013</v>
      </c>
      <c r="D19" s="6">
        <f>'Monthly Data'!S19</f>
        <v>11274594.937385254</v>
      </c>
      <c r="E19" s="7">
        <f t="shared" ca="1" si="11"/>
        <v>97.63000000000001</v>
      </c>
      <c r="F19">
        <f>'Monthly Data'!CF19</f>
        <v>30</v>
      </c>
      <c r="G19">
        <f>'Monthly Data'!BN19</f>
        <v>18</v>
      </c>
      <c r="H19">
        <f>'Monthly Data'!CB19</f>
        <v>0</v>
      </c>
      <c r="I19">
        <f>'Monthly Data'!CJ19</f>
        <v>0</v>
      </c>
      <c r="K19" s="6">
        <f t="shared" si="2"/>
        <v>475930.57328307</v>
      </c>
      <c r="L19" s="6">
        <f t="shared" ca="1" si="3"/>
        <v>334162.41450628667</v>
      </c>
      <c r="M19" s="6">
        <f t="shared" si="4"/>
        <v>10108635.953717459</v>
      </c>
      <c r="N19" s="6">
        <f t="shared" si="5"/>
        <v>-89453.690154842043</v>
      </c>
      <c r="O19" s="6">
        <f t="shared" si="6"/>
        <v>0</v>
      </c>
      <c r="P19" s="6">
        <f t="shared" si="10"/>
        <v>0</v>
      </c>
      <c r="Q19" s="6">
        <f t="shared" ca="1" si="7"/>
        <v>10829275.251351975</v>
      </c>
      <c r="R19" s="6">
        <f t="shared" ca="1" si="8"/>
        <v>-445319.6860332787</v>
      </c>
      <c r="S19" s="15">
        <f t="shared" ca="1" si="9"/>
        <v>3.9497621733322774E-2</v>
      </c>
      <c r="U19" t="s">
        <v>101</v>
      </c>
      <c r="V19" s="244">
        <v>-4.3516735089859801E-2</v>
      </c>
      <c r="W19" t="s">
        <v>102</v>
      </c>
      <c r="X19" s="120">
        <v>2.0635164146162901</v>
      </c>
    </row>
    <row r="20" spans="1:24">
      <c r="A20" s="20">
        <f>'Monthly Data'!A20</f>
        <v>41456</v>
      </c>
      <c r="B20">
        <f t="shared" si="0"/>
        <v>7</v>
      </c>
      <c r="C20">
        <f t="shared" si="1"/>
        <v>2013</v>
      </c>
      <c r="D20" s="6">
        <f>'Monthly Data'!S20</f>
        <v>11333699.280185258</v>
      </c>
      <c r="E20" s="7">
        <f t="shared" ca="1" si="11"/>
        <v>172.46999999999997</v>
      </c>
      <c r="F20">
        <f>'Monthly Data'!CF20</f>
        <v>31</v>
      </c>
      <c r="G20">
        <f>'Monthly Data'!BN20</f>
        <v>19</v>
      </c>
      <c r="H20">
        <f>'Monthly Data'!CB20</f>
        <v>0</v>
      </c>
      <c r="I20">
        <f>'Monthly Data'!CJ20</f>
        <v>0</v>
      </c>
      <c r="K20" s="6">
        <f t="shared" si="2"/>
        <v>475930.57328307</v>
      </c>
      <c r="L20" s="6">
        <f t="shared" ca="1" si="3"/>
        <v>590320.51244391315</v>
      </c>
      <c r="M20" s="6">
        <f t="shared" si="4"/>
        <v>10445590.485508041</v>
      </c>
      <c r="N20" s="6">
        <f t="shared" si="5"/>
        <v>-94423.339607888818</v>
      </c>
      <c r="O20" s="6">
        <f t="shared" si="6"/>
        <v>0</v>
      </c>
      <c r="P20" s="6">
        <f t="shared" si="10"/>
        <v>0</v>
      </c>
      <c r="Q20" s="6">
        <f t="shared" ca="1" si="7"/>
        <v>11417418.231627136</v>
      </c>
      <c r="R20" s="6">
        <f t="shared" ca="1" si="8"/>
        <v>83718.951441878453</v>
      </c>
      <c r="S20" s="15">
        <f t="shared" ca="1" si="9"/>
        <v>7.3867277904791917E-3</v>
      </c>
      <c r="V20" s="243"/>
      <c r="X20" s="120"/>
    </row>
    <row r="21" spans="1:24">
      <c r="A21" s="20">
        <f>'Monthly Data'!A21</f>
        <v>41487</v>
      </c>
      <c r="B21">
        <f t="shared" si="0"/>
        <v>8</v>
      </c>
      <c r="C21">
        <f t="shared" si="1"/>
        <v>2013</v>
      </c>
      <c r="D21" s="6">
        <f>'Monthly Data'!S21</f>
        <v>11733516.672385257</v>
      </c>
      <c r="E21" s="7">
        <f t="shared" ca="1" si="11"/>
        <v>155.49999999999997</v>
      </c>
      <c r="F21">
        <f>'Monthly Data'!CF21</f>
        <v>31</v>
      </c>
      <c r="G21">
        <f>'Monthly Data'!BN21</f>
        <v>20</v>
      </c>
      <c r="H21">
        <f>'Monthly Data'!CB21</f>
        <v>0</v>
      </c>
      <c r="I21">
        <f>'Monthly Data'!CJ21</f>
        <v>0</v>
      </c>
      <c r="K21" s="6">
        <f t="shared" si="2"/>
        <v>475930.57328307</v>
      </c>
      <c r="L21" s="6">
        <f t="shared" ca="1" si="3"/>
        <v>532236.56105426163</v>
      </c>
      <c r="M21" s="6">
        <f t="shared" si="4"/>
        <v>10445590.485508041</v>
      </c>
      <c r="N21" s="6">
        <f t="shared" si="5"/>
        <v>-99392.989060935593</v>
      </c>
      <c r="O21" s="6">
        <f t="shared" si="6"/>
        <v>0</v>
      </c>
      <c r="P21" s="6">
        <f t="shared" si="10"/>
        <v>0</v>
      </c>
      <c r="Q21" s="6">
        <f t="shared" ca="1" si="7"/>
        <v>11354364.630784437</v>
      </c>
      <c r="R21" s="6">
        <f t="shared" ca="1" si="8"/>
        <v>-379152.04160081968</v>
      </c>
      <c r="S21" s="15">
        <f t="shared" ca="1" si="9"/>
        <v>3.2313589539029776E-2</v>
      </c>
    </row>
    <row r="22" spans="1:24">
      <c r="A22" s="20">
        <f>'Monthly Data'!A22</f>
        <v>41518</v>
      </c>
      <c r="B22">
        <f t="shared" si="0"/>
        <v>9</v>
      </c>
      <c r="C22">
        <f t="shared" si="1"/>
        <v>2013</v>
      </c>
      <c r="D22" s="6">
        <f>'Monthly Data'!S22</f>
        <v>11218710.709385253</v>
      </c>
      <c r="E22" s="7">
        <f t="shared" ca="1" si="11"/>
        <v>76.13</v>
      </c>
      <c r="F22">
        <f>'Monthly Data'!CF22</f>
        <v>30</v>
      </c>
      <c r="G22">
        <f>'Monthly Data'!BN22</f>
        <v>21</v>
      </c>
      <c r="H22">
        <f>'Monthly Data'!CB22</f>
        <v>0</v>
      </c>
      <c r="I22">
        <f>'Monthly Data'!CJ22</f>
        <v>0</v>
      </c>
      <c r="K22" s="6">
        <f t="shared" si="2"/>
        <v>475930.57328307</v>
      </c>
      <c r="L22" s="6">
        <f t="shared" ca="1" si="3"/>
        <v>260573.43661132437</v>
      </c>
      <c r="M22" s="6">
        <f t="shared" si="4"/>
        <v>10108635.953717459</v>
      </c>
      <c r="N22" s="6">
        <f t="shared" si="5"/>
        <v>-104362.63851398238</v>
      </c>
      <c r="O22" s="6">
        <f t="shared" si="6"/>
        <v>0</v>
      </c>
      <c r="P22" s="6">
        <f t="shared" si="10"/>
        <v>0</v>
      </c>
      <c r="Q22" s="6">
        <f t="shared" ca="1" si="7"/>
        <v>10740777.32509787</v>
      </c>
      <c r="R22" s="6">
        <f t="shared" ca="1" si="8"/>
        <v>-477933.38428738341</v>
      </c>
      <c r="S22" s="15">
        <f t="shared" ca="1" si="9"/>
        <v>4.260145364899711E-2</v>
      </c>
    </row>
    <row r="23" spans="1:24">
      <c r="A23" s="20">
        <f>'Monthly Data'!A23</f>
        <v>41548</v>
      </c>
      <c r="B23">
        <f t="shared" si="0"/>
        <v>10</v>
      </c>
      <c r="C23">
        <f t="shared" si="1"/>
        <v>2013</v>
      </c>
      <c r="D23" s="6">
        <f>'Monthly Data'!S23</f>
        <v>11555487.475785257</v>
      </c>
      <c r="E23" s="7">
        <f t="shared" ca="1" si="11"/>
        <v>15.330000000000002</v>
      </c>
      <c r="F23">
        <f>'Monthly Data'!CF23</f>
        <v>31</v>
      </c>
      <c r="G23">
        <f>'Monthly Data'!BN23</f>
        <v>22</v>
      </c>
      <c r="H23">
        <f>'Monthly Data'!CB23</f>
        <v>0</v>
      </c>
      <c r="I23">
        <f>'Monthly Data'!CJ23</f>
        <v>0</v>
      </c>
      <c r="K23" s="6">
        <f t="shared" si="2"/>
        <v>475930.57328307</v>
      </c>
      <c r="L23" s="6">
        <f t="shared" ca="1" si="3"/>
        <v>52470.65261068703</v>
      </c>
      <c r="M23" s="6">
        <f t="shared" si="4"/>
        <v>10445590.485508041</v>
      </c>
      <c r="N23" s="6">
        <f t="shared" si="5"/>
        <v>-109332.28796702916</v>
      </c>
      <c r="O23" s="6">
        <f t="shared" si="6"/>
        <v>0</v>
      </c>
      <c r="P23" s="6">
        <f t="shared" si="10"/>
        <v>0</v>
      </c>
      <c r="Q23" s="6">
        <f t="shared" ca="1" si="7"/>
        <v>10864659.423434768</v>
      </c>
      <c r="R23" s="6">
        <f t="shared" ca="1" si="8"/>
        <v>-690828.05235048942</v>
      </c>
      <c r="S23" s="15">
        <f t="shared" ca="1" si="9"/>
        <v>5.9783549053913365E-2</v>
      </c>
    </row>
    <row r="24" spans="1:24">
      <c r="A24" s="20">
        <f>'Monthly Data'!A24</f>
        <v>41579</v>
      </c>
      <c r="B24">
        <f t="shared" si="0"/>
        <v>11</v>
      </c>
      <c r="C24">
        <f t="shared" si="1"/>
        <v>2013</v>
      </c>
      <c r="D24" s="6">
        <f>'Monthly Data'!S24</f>
        <v>10890261.64758526</v>
      </c>
      <c r="E24" s="7">
        <f t="shared" ca="1" si="11"/>
        <v>0.76000000000000012</v>
      </c>
      <c r="F24">
        <f>'Monthly Data'!CF24</f>
        <v>30</v>
      </c>
      <c r="G24">
        <f>'Monthly Data'!BN24</f>
        <v>23</v>
      </c>
      <c r="H24">
        <f>'Monthly Data'!CB24</f>
        <v>0</v>
      </c>
      <c r="I24">
        <f>'Monthly Data'!CJ24</f>
        <v>0</v>
      </c>
      <c r="K24" s="6">
        <f t="shared" si="2"/>
        <v>475930.57328307</v>
      </c>
      <c r="L24" s="6">
        <f t="shared" ca="1" si="3"/>
        <v>2601.2848000079675</v>
      </c>
      <c r="M24" s="6">
        <f t="shared" si="4"/>
        <v>10108635.953717459</v>
      </c>
      <c r="N24" s="6">
        <f t="shared" si="5"/>
        <v>-114301.93742007593</v>
      </c>
      <c r="O24" s="6">
        <f t="shared" si="6"/>
        <v>0</v>
      </c>
      <c r="P24" s="6">
        <f t="shared" si="10"/>
        <v>0</v>
      </c>
      <c r="Q24" s="6">
        <f t="shared" ca="1" si="7"/>
        <v>10472865.874380462</v>
      </c>
      <c r="R24" s="6">
        <f t="shared" ca="1" si="8"/>
        <v>-417395.77320479788</v>
      </c>
      <c r="S24" s="15">
        <f t="shared" ca="1" si="9"/>
        <v>3.8327432959092279E-2</v>
      </c>
    </row>
    <row r="25" spans="1:24">
      <c r="A25" s="20">
        <f>'Monthly Data'!A25</f>
        <v>41609</v>
      </c>
      <c r="B25">
        <f t="shared" si="0"/>
        <v>12</v>
      </c>
      <c r="C25">
        <f t="shared" si="1"/>
        <v>2013</v>
      </c>
      <c r="D25" s="6">
        <f>'Monthly Data'!S25</f>
        <v>10629075.920985257</v>
      </c>
      <c r="E25" s="7">
        <f t="shared" ca="1" si="11"/>
        <v>0</v>
      </c>
      <c r="F25">
        <f>'Monthly Data'!CF25</f>
        <v>31</v>
      </c>
      <c r="G25">
        <f>'Monthly Data'!BN25</f>
        <v>24</v>
      </c>
      <c r="H25">
        <f>'Monthly Data'!CB25</f>
        <v>1</v>
      </c>
      <c r="I25">
        <f>'Monthly Data'!CJ25</f>
        <v>0</v>
      </c>
      <c r="K25" s="6">
        <f t="shared" si="2"/>
        <v>475930.57328307</v>
      </c>
      <c r="L25" s="6">
        <f t="shared" ca="1" si="3"/>
        <v>0</v>
      </c>
      <c r="M25" s="6">
        <f t="shared" si="4"/>
        <v>10445590.485508041</v>
      </c>
      <c r="N25" s="6">
        <f t="shared" si="5"/>
        <v>-119271.58687312272</v>
      </c>
      <c r="O25" s="6">
        <f t="shared" si="6"/>
        <v>-634211.854533192</v>
      </c>
      <c r="P25" s="6">
        <f t="shared" si="10"/>
        <v>0</v>
      </c>
      <c r="Q25" s="6">
        <f t="shared" ca="1" si="7"/>
        <v>10168037.617384797</v>
      </c>
      <c r="R25" s="6">
        <f t="shared" ca="1" si="8"/>
        <v>-461038.30360046029</v>
      </c>
      <c r="S25" s="15">
        <f t="shared" ca="1" si="9"/>
        <v>4.337520091377093E-2</v>
      </c>
    </row>
    <row r="26" spans="1:24">
      <c r="A26" s="20">
        <f>'Monthly Data'!A26</f>
        <v>41640</v>
      </c>
      <c r="B26">
        <f t="shared" si="0"/>
        <v>1</v>
      </c>
      <c r="C26">
        <f t="shared" si="1"/>
        <v>2014</v>
      </c>
      <c r="D26" s="6">
        <f>'Monthly Data'!S26</f>
        <v>11182147.167236708</v>
      </c>
      <c r="E26" s="7">
        <f t="shared" ca="1" si="11"/>
        <v>0</v>
      </c>
      <c r="F26">
        <f>'Monthly Data'!CF26</f>
        <v>31</v>
      </c>
      <c r="G26">
        <f>'Monthly Data'!BN26</f>
        <v>25</v>
      </c>
      <c r="H26">
        <f>'Monthly Data'!CB26</f>
        <v>0</v>
      </c>
      <c r="I26">
        <f>'Monthly Data'!CJ26</f>
        <v>0</v>
      </c>
      <c r="K26" s="6">
        <f t="shared" si="2"/>
        <v>475930.57328307</v>
      </c>
      <c r="L26" s="6">
        <f t="shared" ca="1" si="3"/>
        <v>0</v>
      </c>
      <c r="M26" s="6">
        <f t="shared" si="4"/>
        <v>10445590.485508041</v>
      </c>
      <c r="N26" s="6">
        <f t="shared" si="5"/>
        <v>-124241.2363261695</v>
      </c>
      <c r="O26" s="6">
        <f t="shared" si="6"/>
        <v>0</v>
      </c>
      <c r="P26" s="6">
        <f t="shared" si="10"/>
        <v>0</v>
      </c>
      <c r="Q26" s="6">
        <f t="shared" ca="1" si="7"/>
        <v>10797279.822464943</v>
      </c>
      <c r="R26" s="6">
        <f t="shared" ca="1" si="8"/>
        <v>-384867.34477176517</v>
      </c>
      <c r="S26" s="15">
        <f t="shared" ca="1" si="9"/>
        <v>3.4418018204894742E-2</v>
      </c>
    </row>
    <row r="27" spans="1:24">
      <c r="A27" s="20">
        <f>'Monthly Data'!A27</f>
        <v>41671</v>
      </c>
      <c r="B27">
        <f t="shared" si="0"/>
        <v>2</v>
      </c>
      <c r="C27">
        <f t="shared" si="1"/>
        <v>2014</v>
      </c>
      <c r="D27" s="6">
        <f>'Monthly Data'!S27</f>
        <v>9859051.9018367045</v>
      </c>
      <c r="E27" s="7">
        <f t="shared" ca="1" si="11"/>
        <v>0</v>
      </c>
      <c r="F27">
        <f>'Monthly Data'!CF27</f>
        <v>28</v>
      </c>
      <c r="G27">
        <f>'Monthly Data'!BN27</f>
        <v>26</v>
      </c>
      <c r="H27">
        <f>'Monthly Data'!CB27</f>
        <v>0</v>
      </c>
      <c r="I27">
        <f>'Monthly Data'!CJ27</f>
        <v>0</v>
      </c>
      <c r="K27" s="6">
        <f t="shared" si="2"/>
        <v>475930.57328307</v>
      </c>
      <c r="L27" s="6">
        <f t="shared" ca="1" si="3"/>
        <v>0</v>
      </c>
      <c r="M27" s="6">
        <f t="shared" si="4"/>
        <v>9434726.8901362959</v>
      </c>
      <c r="N27" s="6">
        <f t="shared" si="5"/>
        <v>-129210.88577921627</v>
      </c>
      <c r="O27" s="6">
        <f t="shared" si="6"/>
        <v>0</v>
      </c>
      <c r="P27" s="6">
        <f t="shared" si="10"/>
        <v>0</v>
      </c>
      <c r="Q27" s="6">
        <f t="shared" ca="1" si="7"/>
        <v>9781446.5776401497</v>
      </c>
      <c r="R27" s="6">
        <f t="shared" ca="1" si="8"/>
        <v>-77605.32419655472</v>
      </c>
      <c r="S27" s="15">
        <f t="shared" ca="1" si="9"/>
        <v>7.8714794251257703E-3</v>
      </c>
    </row>
    <row r="28" spans="1:24">
      <c r="A28" s="20">
        <f>'Monthly Data'!A28</f>
        <v>41699</v>
      </c>
      <c r="B28">
        <f t="shared" si="0"/>
        <v>3</v>
      </c>
      <c r="C28">
        <f t="shared" si="1"/>
        <v>2014</v>
      </c>
      <c r="D28" s="6">
        <f>'Monthly Data'!S28</f>
        <v>11209000.420836706</v>
      </c>
      <c r="E28" s="7">
        <f t="shared" ca="1" si="11"/>
        <v>1.9999999999999928E-2</v>
      </c>
      <c r="F28">
        <f>'Monthly Data'!CF28</f>
        <v>31</v>
      </c>
      <c r="G28">
        <f>'Monthly Data'!BN28</f>
        <v>27</v>
      </c>
      <c r="H28">
        <f>'Monthly Data'!CB28</f>
        <v>0</v>
      </c>
      <c r="I28">
        <f>'Monthly Data'!CJ28</f>
        <v>0</v>
      </c>
      <c r="K28" s="6">
        <f t="shared" si="2"/>
        <v>475930.57328307</v>
      </c>
      <c r="L28" s="6">
        <f t="shared" ca="1" si="3"/>
        <v>68.454863158104146</v>
      </c>
      <c r="M28" s="6">
        <f t="shared" si="4"/>
        <v>10445590.485508041</v>
      </c>
      <c r="N28" s="6">
        <f t="shared" si="5"/>
        <v>-134180.53523226306</v>
      </c>
      <c r="O28" s="6">
        <f t="shared" si="6"/>
        <v>0</v>
      </c>
      <c r="P28" s="6">
        <f t="shared" si="10"/>
        <v>0</v>
      </c>
      <c r="Q28" s="6">
        <f t="shared" ca="1" si="7"/>
        <v>10787408.978422007</v>
      </c>
      <c r="R28" s="6">
        <f t="shared" ca="1" si="8"/>
        <v>-421591.44241469912</v>
      </c>
      <c r="S28" s="15">
        <f t="shared" ca="1" si="9"/>
        <v>3.7611867837117008E-2</v>
      </c>
    </row>
    <row r="29" spans="1:24">
      <c r="A29" s="20">
        <f>'Monthly Data'!A29</f>
        <v>41730</v>
      </c>
      <c r="B29">
        <f t="shared" si="0"/>
        <v>4</v>
      </c>
      <c r="C29">
        <f t="shared" si="1"/>
        <v>2014</v>
      </c>
      <c r="D29" s="6">
        <f>'Monthly Data'!S29</f>
        <v>11171833.209036704</v>
      </c>
      <c r="E29" s="7">
        <f t="shared" ca="1" si="11"/>
        <v>1.3500000000000003</v>
      </c>
      <c r="F29">
        <f>'Monthly Data'!CF29</f>
        <v>30</v>
      </c>
      <c r="G29">
        <f>'Monthly Data'!BN29</f>
        <v>28</v>
      </c>
      <c r="H29">
        <f>'Monthly Data'!CB29</f>
        <v>0</v>
      </c>
      <c r="I29">
        <f>'Monthly Data'!CJ29</f>
        <v>0</v>
      </c>
      <c r="K29" s="6">
        <f t="shared" si="2"/>
        <v>475930.57328307</v>
      </c>
      <c r="L29" s="6">
        <f t="shared" ca="1" si="3"/>
        <v>4620.7032631720476</v>
      </c>
      <c r="M29" s="6">
        <f t="shared" si="4"/>
        <v>10108635.953717459</v>
      </c>
      <c r="N29" s="6">
        <f t="shared" si="5"/>
        <v>-139150.18468530982</v>
      </c>
      <c r="O29" s="6">
        <f t="shared" si="6"/>
        <v>0</v>
      </c>
      <c r="P29" s="6">
        <f t="shared" si="10"/>
        <v>0</v>
      </c>
      <c r="Q29" s="6">
        <f t="shared" ca="1" si="7"/>
        <v>10450037.04557839</v>
      </c>
      <c r="R29" s="6">
        <f t="shared" ca="1" si="8"/>
        <v>-721796.16345831379</v>
      </c>
      <c r="S29" s="15">
        <f t="shared" ca="1" si="9"/>
        <v>6.4608569601134508E-2</v>
      </c>
    </row>
    <row r="30" spans="1:24">
      <c r="A30" s="20">
        <f>'Monthly Data'!A30</f>
        <v>41760</v>
      </c>
      <c r="B30">
        <f t="shared" si="0"/>
        <v>5</v>
      </c>
      <c r="C30">
        <f t="shared" si="1"/>
        <v>2014</v>
      </c>
      <c r="D30" s="6">
        <f>'Monthly Data'!S30</f>
        <v>11807010.636436705</v>
      </c>
      <c r="E30" s="7">
        <f t="shared" ca="1" si="11"/>
        <v>42.72</v>
      </c>
      <c r="F30">
        <f>'Monthly Data'!CF30</f>
        <v>31</v>
      </c>
      <c r="G30">
        <f>'Monthly Data'!BN30</f>
        <v>29</v>
      </c>
      <c r="H30">
        <f>'Monthly Data'!CB30</f>
        <v>0</v>
      </c>
      <c r="I30">
        <f>'Monthly Data'!CJ30</f>
        <v>0</v>
      </c>
      <c r="K30" s="6">
        <f t="shared" si="2"/>
        <v>475930.57328307</v>
      </c>
      <c r="L30" s="6">
        <f t="shared" ca="1" si="3"/>
        <v>146219.58770571099</v>
      </c>
      <c r="M30" s="6">
        <f t="shared" si="4"/>
        <v>10445590.485508041</v>
      </c>
      <c r="N30" s="6">
        <f t="shared" si="5"/>
        <v>-144119.83413835661</v>
      </c>
      <c r="O30" s="6">
        <f t="shared" si="6"/>
        <v>0</v>
      </c>
      <c r="P30" s="6">
        <f t="shared" si="10"/>
        <v>0</v>
      </c>
      <c r="Q30" s="6">
        <f t="shared" ca="1" si="7"/>
        <v>10923620.812358467</v>
      </c>
      <c r="R30" s="6">
        <f t="shared" ca="1" si="8"/>
        <v>-883389.82407823764</v>
      </c>
      <c r="S30" s="15">
        <f t="shared" ca="1" si="9"/>
        <v>7.4819092764435768E-2</v>
      </c>
    </row>
    <row r="31" spans="1:24">
      <c r="A31" s="20">
        <f>'Monthly Data'!A31</f>
        <v>41791</v>
      </c>
      <c r="B31">
        <f t="shared" si="0"/>
        <v>6</v>
      </c>
      <c r="C31">
        <f t="shared" si="1"/>
        <v>2014</v>
      </c>
      <c r="D31" s="6">
        <f>'Monthly Data'!S31</f>
        <v>11080200.331636708</v>
      </c>
      <c r="E31" s="7">
        <f t="shared" ca="1" si="11"/>
        <v>97.63000000000001</v>
      </c>
      <c r="F31">
        <f>'Monthly Data'!CF31</f>
        <v>30</v>
      </c>
      <c r="G31">
        <f>'Monthly Data'!BN31</f>
        <v>30</v>
      </c>
      <c r="H31">
        <f>'Monthly Data'!CB31</f>
        <v>0</v>
      </c>
      <c r="I31">
        <f>'Monthly Data'!CJ31</f>
        <v>0</v>
      </c>
      <c r="K31" s="6">
        <f t="shared" si="2"/>
        <v>475930.57328307</v>
      </c>
      <c r="L31" s="6">
        <f t="shared" ca="1" si="3"/>
        <v>334162.41450628667</v>
      </c>
      <c r="M31" s="6">
        <f t="shared" si="4"/>
        <v>10108635.953717459</v>
      </c>
      <c r="N31" s="6">
        <f t="shared" si="5"/>
        <v>-149089.4835914034</v>
      </c>
      <c r="O31" s="6">
        <f t="shared" si="6"/>
        <v>0</v>
      </c>
      <c r="P31" s="6">
        <f t="shared" si="10"/>
        <v>0</v>
      </c>
      <c r="Q31" s="6">
        <f t="shared" ca="1" si="7"/>
        <v>10769639.457915412</v>
      </c>
      <c r="R31" s="6">
        <f t="shared" ca="1" si="8"/>
        <v>-310560.87372129597</v>
      </c>
      <c r="S31" s="15">
        <f t="shared" ca="1" si="9"/>
        <v>2.8028452954462203E-2</v>
      </c>
    </row>
    <row r="32" spans="1:24">
      <c r="A32" s="20">
        <f>'Monthly Data'!A32</f>
        <v>41821</v>
      </c>
      <c r="B32">
        <f t="shared" si="0"/>
        <v>7</v>
      </c>
      <c r="C32">
        <f t="shared" si="1"/>
        <v>2014</v>
      </c>
      <c r="D32" s="6">
        <f>'Monthly Data'!S32</f>
        <v>11727828.839436704</v>
      </c>
      <c r="E32" s="7">
        <f t="shared" ca="1" si="11"/>
        <v>172.46999999999997</v>
      </c>
      <c r="F32">
        <f>'Monthly Data'!CF32</f>
        <v>31</v>
      </c>
      <c r="G32">
        <f>'Monthly Data'!BN32</f>
        <v>31</v>
      </c>
      <c r="H32">
        <f>'Monthly Data'!CB32</f>
        <v>0</v>
      </c>
      <c r="I32">
        <f>'Monthly Data'!CJ32</f>
        <v>0</v>
      </c>
      <c r="K32" s="6">
        <f t="shared" si="2"/>
        <v>475930.57328307</v>
      </c>
      <c r="L32" s="6">
        <f t="shared" ca="1" si="3"/>
        <v>590320.51244391315</v>
      </c>
      <c r="M32" s="6">
        <f t="shared" si="4"/>
        <v>10445590.485508041</v>
      </c>
      <c r="N32" s="6">
        <f t="shared" si="5"/>
        <v>-154059.13304445017</v>
      </c>
      <c r="O32" s="6">
        <f t="shared" si="6"/>
        <v>0</v>
      </c>
      <c r="P32" s="6">
        <f t="shared" si="10"/>
        <v>0</v>
      </c>
      <c r="Q32" s="6">
        <f t="shared" ca="1" si="7"/>
        <v>11357782.438190576</v>
      </c>
      <c r="R32" s="6">
        <f t="shared" ca="1" si="8"/>
        <v>-370046.4012461286</v>
      </c>
      <c r="S32" s="15">
        <f t="shared" ca="1" si="9"/>
        <v>3.1552848043091171E-2</v>
      </c>
    </row>
    <row r="33" spans="1:19">
      <c r="A33" s="20">
        <f>'Monthly Data'!A33</f>
        <v>41852</v>
      </c>
      <c r="B33">
        <f t="shared" si="0"/>
        <v>8</v>
      </c>
      <c r="C33">
        <f t="shared" si="1"/>
        <v>2014</v>
      </c>
      <c r="D33" s="6">
        <f>'Monthly Data'!S33</f>
        <v>12013680.450836707</v>
      </c>
      <c r="E33" s="7">
        <f t="shared" ca="1" si="11"/>
        <v>155.49999999999997</v>
      </c>
      <c r="F33">
        <f>'Monthly Data'!CF33</f>
        <v>31</v>
      </c>
      <c r="G33">
        <f>'Monthly Data'!BN33</f>
        <v>32</v>
      </c>
      <c r="H33">
        <f>'Monthly Data'!CB33</f>
        <v>0</v>
      </c>
      <c r="I33">
        <f>'Monthly Data'!CJ33</f>
        <v>0</v>
      </c>
      <c r="K33" s="6">
        <f t="shared" si="2"/>
        <v>475930.57328307</v>
      </c>
      <c r="L33" s="6">
        <f t="shared" ca="1" si="3"/>
        <v>532236.56105426163</v>
      </c>
      <c r="M33" s="6">
        <f t="shared" si="4"/>
        <v>10445590.485508041</v>
      </c>
      <c r="N33" s="6">
        <f t="shared" si="5"/>
        <v>-159028.78249749696</v>
      </c>
      <c r="O33" s="6">
        <f t="shared" si="6"/>
        <v>0</v>
      </c>
      <c r="P33" s="6">
        <f t="shared" si="10"/>
        <v>0</v>
      </c>
      <c r="Q33" s="6">
        <f t="shared" ca="1" si="7"/>
        <v>11294728.837347876</v>
      </c>
      <c r="R33" s="6">
        <f t="shared" ca="1" si="8"/>
        <v>-718951.61348883063</v>
      </c>
      <c r="S33" s="15">
        <f t="shared" ca="1" si="9"/>
        <v>5.9844409582140864E-2</v>
      </c>
    </row>
    <row r="34" spans="1:19">
      <c r="A34" s="20">
        <f>'Monthly Data'!A34</f>
        <v>41883</v>
      </c>
      <c r="B34">
        <f t="shared" si="0"/>
        <v>9</v>
      </c>
      <c r="C34">
        <f t="shared" si="1"/>
        <v>2014</v>
      </c>
      <c r="D34" s="6">
        <f>'Monthly Data'!S34</f>
        <v>10309268.427036706</v>
      </c>
      <c r="E34" s="7">
        <f t="shared" ca="1" si="11"/>
        <v>76.13</v>
      </c>
      <c r="F34">
        <f>'Monthly Data'!CF34</f>
        <v>30</v>
      </c>
      <c r="G34">
        <f>'Monthly Data'!BN34</f>
        <v>33</v>
      </c>
      <c r="H34">
        <f>'Monthly Data'!CB34</f>
        <v>0</v>
      </c>
      <c r="I34">
        <f>'Monthly Data'!CJ34</f>
        <v>0</v>
      </c>
      <c r="K34" s="6">
        <f t="shared" ref="K34:K65" si="12">$V$7</f>
        <v>475930.57328307</v>
      </c>
      <c r="L34" s="6">
        <f t="shared" ref="L34:L65" ca="1" si="13">E34*$V$8</f>
        <v>260573.43661132437</v>
      </c>
      <c r="M34" s="6">
        <f t="shared" ref="M34:M65" si="14">F34*$V$9</f>
        <v>10108635.953717459</v>
      </c>
      <c r="N34" s="6">
        <f t="shared" ref="N34:N65" si="15">G34*$V$10</f>
        <v>-163998.43195054375</v>
      </c>
      <c r="O34" s="6">
        <f t="shared" ref="O34:O65" si="16">H34*$V$11</f>
        <v>0</v>
      </c>
      <c r="P34" s="6">
        <f t="shared" si="10"/>
        <v>0</v>
      </c>
      <c r="Q34" s="6">
        <f t="shared" ref="Q34:Q65" ca="1" si="17">SUM(K34:P34)</f>
        <v>10681141.531661309</v>
      </c>
      <c r="R34" s="6">
        <f t="shared" ref="R34:R65" ca="1" si="18">Q34-D34</f>
        <v>371873.10462460294</v>
      </c>
      <c r="S34" s="15">
        <f t="shared" ref="S34:S65" ca="1" si="19">ABS(Q34-D34)/D34</f>
        <v>3.6071725870416009E-2</v>
      </c>
    </row>
    <row r="35" spans="1:19">
      <c r="A35" s="20">
        <f>'Monthly Data'!A35</f>
        <v>41913</v>
      </c>
      <c r="B35">
        <f t="shared" si="0"/>
        <v>10</v>
      </c>
      <c r="C35">
        <f t="shared" si="1"/>
        <v>2014</v>
      </c>
      <c r="D35" s="6">
        <f>'Monthly Data'!S35</f>
        <v>10614411.401836708</v>
      </c>
      <c r="E35" s="7">
        <f t="shared" ca="1" si="11"/>
        <v>15.330000000000002</v>
      </c>
      <c r="F35">
        <f>'Monthly Data'!CF35</f>
        <v>31</v>
      </c>
      <c r="G35">
        <f>'Monthly Data'!BN35</f>
        <v>34</v>
      </c>
      <c r="H35">
        <f>'Monthly Data'!CB35</f>
        <v>0</v>
      </c>
      <c r="I35">
        <f>'Monthly Data'!CJ35</f>
        <v>0</v>
      </c>
      <c r="K35" s="6">
        <f t="shared" si="12"/>
        <v>475930.57328307</v>
      </c>
      <c r="L35" s="6">
        <f t="shared" ca="1" si="13"/>
        <v>52470.65261068703</v>
      </c>
      <c r="M35" s="6">
        <f t="shared" si="14"/>
        <v>10445590.485508041</v>
      </c>
      <c r="N35" s="6">
        <f t="shared" si="15"/>
        <v>-168968.08140359051</v>
      </c>
      <c r="O35" s="6">
        <f t="shared" si="16"/>
        <v>0</v>
      </c>
      <c r="P35" s="6">
        <f t="shared" si="10"/>
        <v>0</v>
      </c>
      <c r="Q35" s="6">
        <f t="shared" ca="1" si="17"/>
        <v>10805023.629998207</v>
      </c>
      <c r="R35" s="6">
        <f t="shared" ca="1" si="18"/>
        <v>190612.2281614989</v>
      </c>
      <c r="S35" s="15">
        <f t="shared" ca="1" si="19"/>
        <v>1.7957870761304347E-2</v>
      </c>
    </row>
    <row r="36" spans="1:19">
      <c r="A36" s="20">
        <f>'Monthly Data'!A36</f>
        <v>41944</v>
      </c>
      <c r="B36">
        <f t="shared" si="0"/>
        <v>11</v>
      </c>
      <c r="C36">
        <f t="shared" si="1"/>
        <v>2014</v>
      </c>
      <c r="D36" s="6">
        <f>'Monthly Data'!S36</f>
        <v>9874923.1360367052</v>
      </c>
      <c r="E36" s="7">
        <f t="shared" ca="1" si="11"/>
        <v>0.76000000000000012</v>
      </c>
      <c r="F36">
        <f>'Monthly Data'!CF36</f>
        <v>30</v>
      </c>
      <c r="G36">
        <f>'Monthly Data'!BN36</f>
        <v>35</v>
      </c>
      <c r="H36">
        <f>'Monthly Data'!CB36</f>
        <v>0</v>
      </c>
      <c r="I36">
        <f>'Monthly Data'!CJ36</f>
        <v>0</v>
      </c>
      <c r="K36" s="6">
        <f t="shared" si="12"/>
        <v>475930.57328307</v>
      </c>
      <c r="L36" s="6">
        <f t="shared" ca="1" si="13"/>
        <v>2601.2848000079675</v>
      </c>
      <c r="M36" s="6">
        <f t="shared" si="14"/>
        <v>10108635.953717459</v>
      </c>
      <c r="N36" s="6">
        <f t="shared" si="15"/>
        <v>-173937.7308566373</v>
      </c>
      <c r="O36" s="6">
        <f t="shared" si="16"/>
        <v>0</v>
      </c>
      <c r="P36" s="6">
        <f t="shared" si="10"/>
        <v>0</v>
      </c>
      <c r="Q36" s="6">
        <f t="shared" ca="1" si="17"/>
        <v>10413230.080943901</v>
      </c>
      <c r="R36" s="6">
        <f t="shared" ca="1" si="18"/>
        <v>538306.94490719587</v>
      </c>
      <c r="S36" s="15">
        <f t="shared" ca="1" si="19"/>
        <v>5.4512519995496903E-2</v>
      </c>
    </row>
    <row r="37" spans="1:19">
      <c r="A37" s="20">
        <f>'Monthly Data'!A37</f>
        <v>41974</v>
      </c>
      <c r="B37">
        <f t="shared" si="0"/>
        <v>12</v>
      </c>
      <c r="C37">
        <f t="shared" si="1"/>
        <v>2014</v>
      </c>
      <c r="D37" s="6">
        <f>'Monthly Data'!S37</f>
        <v>10271194.814436708</v>
      </c>
      <c r="E37" s="7">
        <f t="shared" ca="1" si="11"/>
        <v>0</v>
      </c>
      <c r="F37">
        <f>'Monthly Data'!CF37</f>
        <v>31</v>
      </c>
      <c r="G37">
        <f>'Monthly Data'!BN37</f>
        <v>36</v>
      </c>
      <c r="H37">
        <f>'Monthly Data'!CB37</f>
        <v>1</v>
      </c>
      <c r="I37">
        <f>'Monthly Data'!CJ37</f>
        <v>0</v>
      </c>
      <c r="K37" s="6">
        <f t="shared" si="12"/>
        <v>475930.57328307</v>
      </c>
      <c r="L37" s="6">
        <f t="shared" ca="1" si="13"/>
        <v>0</v>
      </c>
      <c r="M37" s="6">
        <f t="shared" si="14"/>
        <v>10445590.485508041</v>
      </c>
      <c r="N37" s="6">
        <f t="shared" si="15"/>
        <v>-178907.38030968409</v>
      </c>
      <c r="O37" s="6">
        <f t="shared" si="16"/>
        <v>-634211.854533192</v>
      </c>
      <c r="P37" s="6">
        <f t="shared" si="10"/>
        <v>0</v>
      </c>
      <c r="Q37" s="6">
        <f t="shared" ca="1" si="17"/>
        <v>10108401.823948236</v>
      </c>
      <c r="R37" s="6">
        <f t="shared" ca="1" si="18"/>
        <v>-162792.99048847146</v>
      </c>
      <c r="S37" s="15">
        <f t="shared" ca="1" si="19"/>
        <v>1.5849469650761304E-2</v>
      </c>
    </row>
    <row r="38" spans="1:19">
      <c r="A38" s="20">
        <f>'Monthly Data'!A38</f>
        <v>42005</v>
      </c>
      <c r="B38">
        <f t="shared" si="0"/>
        <v>1</v>
      </c>
      <c r="C38">
        <f t="shared" si="1"/>
        <v>2015</v>
      </c>
      <c r="D38" s="6">
        <f>'Monthly Data'!S38</f>
        <v>10703737.427634416</v>
      </c>
      <c r="E38" s="7">
        <f t="shared" ca="1" si="11"/>
        <v>0</v>
      </c>
      <c r="F38">
        <f>'Monthly Data'!CF38</f>
        <v>31</v>
      </c>
      <c r="G38">
        <f>'Monthly Data'!BN38</f>
        <v>37</v>
      </c>
      <c r="H38">
        <f>'Monthly Data'!CB38</f>
        <v>0</v>
      </c>
      <c r="I38">
        <f>'Monthly Data'!CJ38</f>
        <v>0</v>
      </c>
      <c r="K38" s="6">
        <f t="shared" si="12"/>
        <v>475930.57328307</v>
      </c>
      <c r="L38" s="6">
        <f t="shared" ca="1" si="13"/>
        <v>0</v>
      </c>
      <c r="M38" s="6">
        <f t="shared" si="14"/>
        <v>10445590.485508041</v>
      </c>
      <c r="N38" s="6">
        <f t="shared" si="15"/>
        <v>-183877.02976273085</v>
      </c>
      <c r="O38" s="6">
        <f t="shared" si="16"/>
        <v>0</v>
      </c>
      <c r="P38" s="6">
        <f t="shared" si="10"/>
        <v>0</v>
      </c>
      <c r="Q38" s="6">
        <f t="shared" ca="1" si="17"/>
        <v>10737644.029028382</v>
      </c>
      <c r="R38" s="6">
        <f t="shared" ca="1" si="18"/>
        <v>33906.601393966004</v>
      </c>
      <c r="S38" s="15">
        <f t="shared" ca="1" si="19"/>
        <v>3.167734786395965E-3</v>
      </c>
    </row>
    <row r="39" spans="1:19">
      <c r="A39" s="20">
        <f>'Monthly Data'!A39</f>
        <v>42036</v>
      </c>
      <c r="B39">
        <f t="shared" si="0"/>
        <v>2</v>
      </c>
      <c r="C39">
        <f t="shared" si="1"/>
        <v>2015</v>
      </c>
      <c r="D39" s="6">
        <f>'Monthly Data'!S39</f>
        <v>9934619.3988344166</v>
      </c>
      <c r="E39" s="7">
        <f t="shared" ca="1" si="11"/>
        <v>0</v>
      </c>
      <c r="F39">
        <f>'Monthly Data'!CF39</f>
        <v>28</v>
      </c>
      <c r="G39">
        <f>'Monthly Data'!BN39</f>
        <v>38</v>
      </c>
      <c r="H39">
        <f>'Monthly Data'!CB39</f>
        <v>0</v>
      </c>
      <c r="I39">
        <f>'Monthly Data'!CJ39</f>
        <v>0</v>
      </c>
      <c r="K39" s="6">
        <f t="shared" si="12"/>
        <v>475930.57328307</v>
      </c>
      <c r="L39" s="6">
        <f t="shared" ca="1" si="13"/>
        <v>0</v>
      </c>
      <c r="M39" s="6">
        <f t="shared" si="14"/>
        <v>9434726.8901362959</v>
      </c>
      <c r="N39" s="6">
        <f t="shared" si="15"/>
        <v>-188846.67921577764</v>
      </c>
      <c r="O39" s="6">
        <f t="shared" si="16"/>
        <v>0</v>
      </c>
      <c r="P39" s="6">
        <f t="shared" si="10"/>
        <v>0</v>
      </c>
      <c r="Q39" s="6">
        <f t="shared" ca="1" si="17"/>
        <v>9721810.784203589</v>
      </c>
      <c r="R39" s="6">
        <f t="shared" ca="1" si="18"/>
        <v>-212808.61463082768</v>
      </c>
      <c r="S39" s="15">
        <f t="shared" ca="1" si="19"/>
        <v>2.1420912677922573E-2</v>
      </c>
    </row>
    <row r="40" spans="1:19">
      <c r="A40" s="20">
        <f>'Monthly Data'!A40</f>
        <v>42064</v>
      </c>
      <c r="B40">
        <f t="shared" si="0"/>
        <v>3</v>
      </c>
      <c r="C40">
        <f t="shared" si="1"/>
        <v>2015</v>
      </c>
      <c r="D40" s="6">
        <f>'Monthly Data'!S40</f>
        <v>10564470.086034419</v>
      </c>
      <c r="E40" s="7">
        <f t="shared" ca="1" si="11"/>
        <v>1.9999999999999928E-2</v>
      </c>
      <c r="F40">
        <f>'Monthly Data'!CF40</f>
        <v>31</v>
      </c>
      <c r="G40">
        <f>'Monthly Data'!BN40</f>
        <v>39</v>
      </c>
      <c r="H40">
        <f>'Monthly Data'!CB40</f>
        <v>0</v>
      </c>
      <c r="I40">
        <f>'Monthly Data'!CJ40</f>
        <v>0</v>
      </c>
      <c r="K40" s="6">
        <f t="shared" si="12"/>
        <v>475930.57328307</v>
      </c>
      <c r="L40" s="6">
        <f t="shared" ca="1" si="13"/>
        <v>68.454863158104146</v>
      </c>
      <c r="M40" s="6">
        <f t="shared" si="14"/>
        <v>10445590.485508041</v>
      </c>
      <c r="N40" s="6">
        <f t="shared" si="15"/>
        <v>-193816.32866882443</v>
      </c>
      <c r="O40" s="6">
        <f t="shared" si="16"/>
        <v>0</v>
      </c>
      <c r="P40" s="6">
        <f t="shared" si="10"/>
        <v>0</v>
      </c>
      <c r="Q40" s="6">
        <f t="shared" ca="1" si="17"/>
        <v>10727773.184985444</v>
      </c>
      <c r="R40" s="6">
        <f t="shared" ca="1" si="18"/>
        <v>163303.09895102493</v>
      </c>
      <c r="S40" s="15">
        <f t="shared" ca="1" si="19"/>
        <v>1.5457765285066366E-2</v>
      </c>
    </row>
    <row r="41" spans="1:19">
      <c r="A41" s="20">
        <f>'Monthly Data'!A41</f>
        <v>42095</v>
      </c>
      <c r="B41">
        <f t="shared" si="0"/>
        <v>4</v>
      </c>
      <c r="C41">
        <f t="shared" si="1"/>
        <v>2015</v>
      </c>
      <c r="D41" s="6">
        <f>'Monthly Data'!S41</f>
        <v>10250089.431834416</v>
      </c>
      <c r="E41" s="7">
        <f t="shared" ca="1" si="11"/>
        <v>1.3500000000000003</v>
      </c>
      <c r="F41">
        <f>'Monthly Data'!CF41</f>
        <v>30</v>
      </c>
      <c r="G41">
        <f>'Monthly Data'!BN41</f>
        <v>40</v>
      </c>
      <c r="H41">
        <f>'Monthly Data'!CB41</f>
        <v>0</v>
      </c>
      <c r="I41">
        <f>'Monthly Data'!CJ41</f>
        <v>0</v>
      </c>
      <c r="K41" s="6">
        <f t="shared" si="12"/>
        <v>475930.57328307</v>
      </c>
      <c r="L41" s="6">
        <f t="shared" ca="1" si="13"/>
        <v>4620.7032631720476</v>
      </c>
      <c r="M41" s="6">
        <f t="shared" si="14"/>
        <v>10108635.953717459</v>
      </c>
      <c r="N41" s="6">
        <f t="shared" si="15"/>
        <v>-198785.97812187119</v>
      </c>
      <c r="O41" s="6">
        <f t="shared" si="16"/>
        <v>0</v>
      </c>
      <c r="P41" s="6">
        <f t="shared" si="10"/>
        <v>0</v>
      </c>
      <c r="Q41" s="6">
        <f t="shared" ca="1" si="17"/>
        <v>10390401.25214183</v>
      </c>
      <c r="R41" s="6">
        <f t="shared" ca="1" si="18"/>
        <v>140311.82030741312</v>
      </c>
      <c r="S41" s="15">
        <f t="shared" ca="1" si="19"/>
        <v>1.3688838642874367E-2</v>
      </c>
    </row>
    <row r="42" spans="1:19">
      <c r="A42" s="20">
        <f>'Monthly Data'!A42</f>
        <v>42125</v>
      </c>
      <c r="B42">
        <f t="shared" si="0"/>
        <v>5</v>
      </c>
      <c r="C42">
        <f t="shared" si="1"/>
        <v>2015</v>
      </c>
      <c r="D42" s="6">
        <f>'Monthly Data'!S42</f>
        <v>11332533.677434418</v>
      </c>
      <c r="E42" s="7">
        <f t="shared" ca="1" si="11"/>
        <v>42.72</v>
      </c>
      <c r="F42">
        <f>'Monthly Data'!CF42</f>
        <v>31</v>
      </c>
      <c r="G42">
        <f>'Monthly Data'!BN42</f>
        <v>41</v>
      </c>
      <c r="H42">
        <f>'Monthly Data'!CB42</f>
        <v>0</v>
      </c>
      <c r="I42">
        <f>'Monthly Data'!CJ42</f>
        <v>0</v>
      </c>
      <c r="K42" s="6">
        <f t="shared" si="12"/>
        <v>475930.57328307</v>
      </c>
      <c r="L42" s="6">
        <f t="shared" ca="1" si="13"/>
        <v>146219.58770571099</v>
      </c>
      <c r="M42" s="6">
        <f t="shared" si="14"/>
        <v>10445590.485508041</v>
      </c>
      <c r="N42" s="6">
        <f t="shared" si="15"/>
        <v>-203755.62757491798</v>
      </c>
      <c r="O42" s="6">
        <f t="shared" si="16"/>
        <v>0</v>
      </c>
      <c r="P42" s="6">
        <f t="shared" si="10"/>
        <v>0</v>
      </c>
      <c r="Q42" s="6">
        <f t="shared" ca="1" si="17"/>
        <v>10863985.018921904</v>
      </c>
      <c r="R42" s="6">
        <f t="shared" ca="1" si="18"/>
        <v>-468548.65851251408</v>
      </c>
      <c r="S42" s="15">
        <f t="shared" ca="1" si="19"/>
        <v>4.1345445939022278E-2</v>
      </c>
    </row>
    <row r="43" spans="1:19">
      <c r="A43" s="20">
        <f>'Monthly Data'!A43</f>
        <v>42156</v>
      </c>
      <c r="B43">
        <f t="shared" si="0"/>
        <v>6</v>
      </c>
      <c r="C43">
        <f t="shared" si="1"/>
        <v>2015</v>
      </c>
      <c r="D43" s="6">
        <f>'Monthly Data'!S43</f>
        <v>10405616.441234417</v>
      </c>
      <c r="E43" s="7">
        <f t="shared" ca="1" si="11"/>
        <v>97.63000000000001</v>
      </c>
      <c r="F43">
        <f>'Monthly Data'!CF43</f>
        <v>30</v>
      </c>
      <c r="G43">
        <f>'Monthly Data'!BN43</f>
        <v>42</v>
      </c>
      <c r="H43">
        <f>'Monthly Data'!CB43</f>
        <v>0</v>
      </c>
      <c r="I43">
        <f>'Monthly Data'!CJ43</f>
        <v>0</v>
      </c>
      <c r="K43" s="6">
        <f t="shared" si="12"/>
        <v>475930.57328307</v>
      </c>
      <c r="L43" s="6">
        <f t="shared" ca="1" si="13"/>
        <v>334162.41450628667</v>
      </c>
      <c r="M43" s="6">
        <f t="shared" si="14"/>
        <v>10108635.953717459</v>
      </c>
      <c r="N43" s="6">
        <f t="shared" si="15"/>
        <v>-208725.27702796477</v>
      </c>
      <c r="O43" s="6">
        <f t="shared" si="16"/>
        <v>0</v>
      </c>
      <c r="P43" s="6">
        <f t="shared" si="10"/>
        <v>0</v>
      </c>
      <c r="Q43" s="6">
        <f t="shared" ca="1" si="17"/>
        <v>10710003.664478851</v>
      </c>
      <c r="R43" s="6">
        <f t="shared" ca="1" si="18"/>
        <v>304387.22324443422</v>
      </c>
      <c r="S43" s="15">
        <f t="shared" ca="1" si="19"/>
        <v>2.9252204803382587E-2</v>
      </c>
    </row>
    <row r="44" spans="1:19">
      <c r="A44" s="20">
        <f>'Monthly Data'!A44</f>
        <v>42186</v>
      </c>
      <c r="B44">
        <f t="shared" si="0"/>
        <v>7</v>
      </c>
      <c r="C44">
        <f t="shared" si="1"/>
        <v>2015</v>
      </c>
      <c r="D44" s="6">
        <f>'Monthly Data'!S44</f>
        <v>10670202.756834416</v>
      </c>
      <c r="E44" s="7">
        <f t="shared" ca="1" si="11"/>
        <v>172.46999999999997</v>
      </c>
      <c r="F44">
        <f>'Monthly Data'!CF44</f>
        <v>31</v>
      </c>
      <c r="G44">
        <f>'Monthly Data'!BN44</f>
        <v>43</v>
      </c>
      <c r="H44">
        <f>'Monthly Data'!CB44</f>
        <v>0</v>
      </c>
      <c r="I44">
        <f>'Monthly Data'!CJ44</f>
        <v>0</v>
      </c>
      <c r="K44" s="6">
        <f t="shared" si="12"/>
        <v>475930.57328307</v>
      </c>
      <c r="L44" s="6">
        <f t="shared" ca="1" si="13"/>
        <v>590320.51244391315</v>
      </c>
      <c r="M44" s="6">
        <f t="shared" si="14"/>
        <v>10445590.485508041</v>
      </c>
      <c r="N44" s="6">
        <f t="shared" si="15"/>
        <v>-213694.92648101153</v>
      </c>
      <c r="O44" s="6">
        <f t="shared" si="16"/>
        <v>0</v>
      </c>
      <c r="P44" s="6">
        <f t="shared" si="10"/>
        <v>0</v>
      </c>
      <c r="Q44" s="6">
        <f t="shared" ca="1" si="17"/>
        <v>11298146.644754013</v>
      </c>
      <c r="R44" s="6">
        <f t="shared" ca="1" si="18"/>
        <v>627943.88791959733</v>
      </c>
      <c r="S44" s="15">
        <f t="shared" ca="1" si="19"/>
        <v>5.8850230143695288E-2</v>
      </c>
    </row>
    <row r="45" spans="1:19">
      <c r="A45" s="20">
        <f>'Monthly Data'!A45</f>
        <v>42217</v>
      </c>
      <c r="B45">
        <f t="shared" ref="B45:B97" si="20">MONTH(A45)</f>
        <v>8</v>
      </c>
      <c r="C45">
        <f t="shared" ref="C45:C97" si="21">YEAR(A45)</f>
        <v>2015</v>
      </c>
      <c r="D45" s="6">
        <f>'Monthly Data'!S45</f>
        <v>11177484.646834416</v>
      </c>
      <c r="E45" s="7">
        <f t="shared" ca="1" si="11"/>
        <v>155.49999999999997</v>
      </c>
      <c r="F45">
        <f>'Monthly Data'!CF45</f>
        <v>31</v>
      </c>
      <c r="G45">
        <f>'Monthly Data'!BN45</f>
        <v>44</v>
      </c>
      <c r="H45">
        <f>'Monthly Data'!CB45</f>
        <v>0</v>
      </c>
      <c r="I45">
        <f>'Monthly Data'!CJ45</f>
        <v>0</v>
      </c>
      <c r="K45" s="6">
        <f t="shared" si="12"/>
        <v>475930.57328307</v>
      </c>
      <c r="L45" s="6">
        <f t="shared" ca="1" si="13"/>
        <v>532236.56105426163</v>
      </c>
      <c r="M45" s="6">
        <f t="shared" si="14"/>
        <v>10445590.485508041</v>
      </c>
      <c r="N45" s="6">
        <f t="shared" si="15"/>
        <v>-218664.57593405832</v>
      </c>
      <c r="O45" s="6">
        <f t="shared" si="16"/>
        <v>0</v>
      </c>
      <c r="P45" s="6">
        <f t="shared" si="10"/>
        <v>0</v>
      </c>
      <c r="Q45" s="6">
        <f t="shared" ca="1" si="17"/>
        <v>11235093.043911316</v>
      </c>
      <c r="R45" s="6">
        <f t="shared" ca="1" si="18"/>
        <v>57608.397076899186</v>
      </c>
      <c r="S45" s="15">
        <f t="shared" ca="1" si="19"/>
        <v>5.1539679003911225E-3</v>
      </c>
    </row>
    <row r="46" spans="1:19">
      <c r="A46" s="20">
        <f>'Monthly Data'!A46</f>
        <v>42248</v>
      </c>
      <c r="B46">
        <f t="shared" si="20"/>
        <v>9</v>
      </c>
      <c r="C46">
        <f t="shared" si="21"/>
        <v>2015</v>
      </c>
      <c r="D46" s="6">
        <f>'Monthly Data'!S46</f>
        <v>11304598.170634419</v>
      </c>
      <c r="E46" s="7">
        <f t="shared" ca="1" si="11"/>
        <v>76.13</v>
      </c>
      <c r="F46">
        <f>'Monthly Data'!CF46</f>
        <v>30</v>
      </c>
      <c r="G46">
        <f>'Monthly Data'!BN46</f>
        <v>45</v>
      </c>
      <c r="H46">
        <f>'Monthly Data'!CB46</f>
        <v>0</v>
      </c>
      <c r="I46">
        <f>'Monthly Data'!CJ46</f>
        <v>0</v>
      </c>
      <c r="K46" s="6">
        <f t="shared" si="12"/>
        <v>475930.57328307</v>
      </c>
      <c r="L46" s="6">
        <f t="shared" ca="1" si="13"/>
        <v>260573.43661132437</v>
      </c>
      <c r="M46" s="6">
        <f t="shared" si="14"/>
        <v>10108635.953717459</v>
      </c>
      <c r="N46" s="6">
        <f t="shared" si="15"/>
        <v>-223634.22538710511</v>
      </c>
      <c r="O46" s="6">
        <f t="shared" si="16"/>
        <v>0</v>
      </c>
      <c r="P46" s="6">
        <f t="shared" si="10"/>
        <v>0</v>
      </c>
      <c r="Q46" s="6">
        <f t="shared" ca="1" si="17"/>
        <v>10621505.738224747</v>
      </c>
      <c r="R46" s="6">
        <f t="shared" ca="1" si="18"/>
        <v>-683092.43240967207</v>
      </c>
      <c r="S46" s="15">
        <f t="shared" ca="1" si="19"/>
        <v>6.0426069294892651E-2</v>
      </c>
    </row>
    <row r="47" spans="1:19">
      <c r="A47" s="20">
        <f>'Monthly Data'!A47</f>
        <v>42278</v>
      </c>
      <c r="B47">
        <f t="shared" si="20"/>
        <v>10</v>
      </c>
      <c r="C47">
        <f t="shared" si="21"/>
        <v>2015</v>
      </c>
      <c r="D47" s="6">
        <f>'Monthly Data'!S47</f>
        <v>10943657.302834416</v>
      </c>
      <c r="E47" s="7">
        <f t="shared" ca="1" si="11"/>
        <v>15.330000000000002</v>
      </c>
      <c r="F47">
        <f>'Monthly Data'!CF47</f>
        <v>31</v>
      </c>
      <c r="G47">
        <f>'Monthly Data'!BN47</f>
        <v>46</v>
      </c>
      <c r="H47">
        <f>'Monthly Data'!CB47</f>
        <v>0</v>
      </c>
      <c r="I47">
        <f>'Monthly Data'!CJ47</f>
        <v>0</v>
      </c>
      <c r="K47" s="6">
        <f t="shared" si="12"/>
        <v>475930.57328307</v>
      </c>
      <c r="L47" s="6">
        <f t="shared" ca="1" si="13"/>
        <v>52470.65261068703</v>
      </c>
      <c r="M47" s="6">
        <f t="shared" si="14"/>
        <v>10445590.485508041</v>
      </c>
      <c r="N47" s="6">
        <f t="shared" si="15"/>
        <v>-228603.87484015187</v>
      </c>
      <c r="O47" s="6">
        <f t="shared" si="16"/>
        <v>0</v>
      </c>
      <c r="P47" s="6">
        <f t="shared" si="10"/>
        <v>0</v>
      </c>
      <c r="Q47" s="6">
        <f t="shared" ca="1" si="17"/>
        <v>10745387.836561646</v>
      </c>
      <c r="R47" s="6">
        <f t="shared" ca="1" si="18"/>
        <v>-198269.4662727695</v>
      </c>
      <c r="S47" s="15">
        <f t="shared" ca="1" si="19"/>
        <v>1.8117294866444471E-2</v>
      </c>
    </row>
    <row r="48" spans="1:19">
      <c r="A48" s="20">
        <f>'Monthly Data'!A48</f>
        <v>42309</v>
      </c>
      <c r="B48">
        <f t="shared" si="20"/>
        <v>11</v>
      </c>
      <c r="C48">
        <f t="shared" si="21"/>
        <v>2015</v>
      </c>
      <c r="D48" s="6">
        <f>'Monthly Data'!S48</f>
        <v>11055950.328034418</v>
      </c>
      <c r="E48" s="7">
        <f t="shared" ca="1" si="11"/>
        <v>0.76000000000000012</v>
      </c>
      <c r="F48">
        <f>'Monthly Data'!CF48</f>
        <v>30</v>
      </c>
      <c r="G48">
        <f>'Monthly Data'!BN48</f>
        <v>47</v>
      </c>
      <c r="H48">
        <f>'Monthly Data'!CB48</f>
        <v>0</v>
      </c>
      <c r="I48">
        <f>'Monthly Data'!CJ48</f>
        <v>0</v>
      </c>
      <c r="K48" s="6">
        <f t="shared" si="12"/>
        <v>475930.57328307</v>
      </c>
      <c r="L48" s="6">
        <f t="shared" ca="1" si="13"/>
        <v>2601.2848000079675</v>
      </c>
      <c r="M48" s="6">
        <f t="shared" si="14"/>
        <v>10108635.953717459</v>
      </c>
      <c r="N48" s="6">
        <f t="shared" si="15"/>
        <v>-233573.52429319866</v>
      </c>
      <c r="O48" s="6">
        <f t="shared" si="16"/>
        <v>0</v>
      </c>
      <c r="P48" s="6">
        <f t="shared" si="10"/>
        <v>0</v>
      </c>
      <c r="Q48" s="6">
        <f t="shared" ca="1" si="17"/>
        <v>10353594.287507338</v>
      </c>
      <c r="R48" s="6">
        <f t="shared" ca="1" si="18"/>
        <v>-702356.04052707925</v>
      </c>
      <c r="S48" s="15">
        <f t="shared" ca="1" si="19"/>
        <v>6.3527423666704164E-2</v>
      </c>
    </row>
    <row r="49" spans="1:19">
      <c r="A49" s="20">
        <f>'Monthly Data'!A49</f>
        <v>42339</v>
      </c>
      <c r="B49">
        <f t="shared" si="20"/>
        <v>12</v>
      </c>
      <c r="C49">
        <f t="shared" si="21"/>
        <v>2015</v>
      </c>
      <c r="D49" s="6">
        <f>'Monthly Data'!S49</f>
        <v>10386598.003834419</v>
      </c>
      <c r="E49" s="7">
        <f t="shared" ca="1" si="11"/>
        <v>0</v>
      </c>
      <c r="F49">
        <f>'Monthly Data'!CF49</f>
        <v>31</v>
      </c>
      <c r="G49">
        <f>'Monthly Data'!BN49</f>
        <v>48</v>
      </c>
      <c r="H49">
        <f>'Monthly Data'!CB49</f>
        <v>1</v>
      </c>
      <c r="I49">
        <f>'Monthly Data'!CJ49</f>
        <v>0</v>
      </c>
      <c r="K49" s="6">
        <f t="shared" si="12"/>
        <v>475930.57328307</v>
      </c>
      <c r="L49" s="6">
        <f t="shared" ca="1" si="13"/>
        <v>0</v>
      </c>
      <c r="M49" s="6">
        <f t="shared" si="14"/>
        <v>10445590.485508041</v>
      </c>
      <c r="N49" s="6">
        <f t="shared" si="15"/>
        <v>-238543.17374624545</v>
      </c>
      <c r="O49" s="6">
        <f t="shared" si="16"/>
        <v>-634211.854533192</v>
      </c>
      <c r="P49" s="6">
        <f t="shared" si="10"/>
        <v>0</v>
      </c>
      <c r="Q49" s="6">
        <f t="shared" ca="1" si="17"/>
        <v>10048766.030511675</v>
      </c>
      <c r="R49" s="6">
        <f t="shared" ca="1" si="18"/>
        <v>-337831.97332274355</v>
      </c>
      <c r="S49" s="15">
        <f t="shared" ca="1" si="19"/>
        <v>3.2525758019904705E-2</v>
      </c>
    </row>
    <row r="50" spans="1:19">
      <c r="A50" s="20">
        <f>'Monthly Data'!A50</f>
        <v>42370</v>
      </c>
      <c r="B50">
        <f t="shared" si="20"/>
        <v>1</v>
      </c>
      <c r="C50">
        <f t="shared" si="21"/>
        <v>2016</v>
      </c>
      <c r="D50" s="6">
        <f>'Monthly Data'!S50</f>
        <v>10928461.398332786</v>
      </c>
      <c r="E50" s="7">
        <f t="shared" ca="1" si="11"/>
        <v>0</v>
      </c>
      <c r="F50">
        <f>'Monthly Data'!CF50</f>
        <v>31</v>
      </c>
      <c r="G50">
        <f>'Monthly Data'!BN50</f>
        <v>49</v>
      </c>
      <c r="H50">
        <f>'Monthly Data'!CB50</f>
        <v>0</v>
      </c>
      <c r="I50">
        <f>'Monthly Data'!CJ50</f>
        <v>0</v>
      </c>
      <c r="K50" s="6">
        <f t="shared" si="12"/>
        <v>475930.57328307</v>
      </c>
      <c r="L50" s="6">
        <f t="shared" ca="1" si="13"/>
        <v>0</v>
      </c>
      <c r="M50" s="6">
        <f t="shared" si="14"/>
        <v>10445590.485508041</v>
      </c>
      <c r="N50" s="6">
        <f t="shared" si="15"/>
        <v>-243512.82319929221</v>
      </c>
      <c r="O50" s="6">
        <f t="shared" si="16"/>
        <v>0</v>
      </c>
      <c r="P50" s="6">
        <f t="shared" si="10"/>
        <v>0</v>
      </c>
      <c r="Q50" s="6">
        <f t="shared" ca="1" si="17"/>
        <v>10678008.23559182</v>
      </c>
      <c r="R50" s="6">
        <f t="shared" ca="1" si="18"/>
        <v>-250453.16274096631</v>
      </c>
      <c r="S50" s="15">
        <f t="shared" ca="1" si="19"/>
        <v>2.2917513601610442E-2</v>
      </c>
    </row>
    <row r="51" spans="1:19">
      <c r="A51" s="20">
        <f>'Monthly Data'!A51</f>
        <v>42401</v>
      </c>
      <c r="B51">
        <f t="shared" si="20"/>
        <v>2</v>
      </c>
      <c r="C51">
        <f t="shared" si="21"/>
        <v>2016</v>
      </c>
      <c r="D51" s="6">
        <f>'Monthly Data'!S51</f>
        <v>10208865.756532786</v>
      </c>
      <c r="E51" s="7">
        <f t="shared" ca="1" si="11"/>
        <v>0</v>
      </c>
      <c r="F51">
        <f>'Monthly Data'!CF51</f>
        <v>29</v>
      </c>
      <c r="G51">
        <f>'Monthly Data'!BN51</f>
        <v>50</v>
      </c>
      <c r="H51">
        <f>'Monthly Data'!CB51</f>
        <v>0</v>
      </c>
      <c r="I51">
        <f>'Monthly Data'!CJ51</f>
        <v>0</v>
      </c>
      <c r="K51" s="6">
        <f t="shared" si="12"/>
        <v>475930.57328307</v>
      </c>
      <c r="L51" s="6">
        <f t="shared" ca="1" si="13"/>
        <v>0</v>
      </c>
      <c r="M51" s="6">
        <f t="shared" si="14"/>
        <v>9771681.4219268784</v>
      </c>
      <c r="N51" s="6">
        <f t="shared" si="15"/>
        <v>-248482.472652339</v>
      </c>
      <c r="O51" s="6">
        <f t="shared" si="16"/>
        <v>0</v>
      </c>
      <c r="P51" s="6">
        <f t="shared" si="10"/>
        <v>0</v>
      </c>
      <c r="Q51" s="6">
        <f t="shared" ca="1" si="17"/>
        <v>9999129.5225576106</v>
      </c>
      <c r="R51" s="6">
        <f t="shared" ca="1" si="18"/>
        <v>-209736.23397517577</v>
      </c>
      <c r="S51" s="15">
        <f t="shared" ca="1" si="19"/>
        <v>2.0544518752336694E-2</v>
      </c>
    </row>
    <row r="52" spans="1:19">
      <c r="A52" s="20">
        <f>'Monthly Data'!A52</f>
        <v>42430</v>
      </c>
      <c r="B52">
        <f t="shared" si="20"/>
        <v>3</v>
      </c>
      <c r="C52">
        <f t="shared" si="21"/>
        <v>2016</v>
      </c>
      <c r="D52" s="6">
        <f>'Monthly Data'!S52</f>
        <v>11012974.092732787</v>
      </c>
      <c r="E52" s="7">
        <f t="shared" ca="1" si="11"/>
        <v>1.9999999999999928E-2</v>
      </c>
      <c r="F52">
        <f>'Monthly Data'!CF52</f>
        <v>31</v>
      </c>
      <c r="G52">
        <f>'Monthly Data'!BN52</f>
        <v>51</v>
      </c>
      <c r="H52">
        <f>'Monthly Data'!CB52</f>
        <v>0</v>
      </c>
      <c r="I52">
        <f>'Monthly Data'!CJ52</f>
        <v>0</v>
      </c>
      <c r="K52" s="6">
        <f t="shared" si="12"/>
        <v>475930.57328307</v>
      </c>
      <c r="L52" s="6">
        <f t="shared" ca="1" si="13"/>
        <v>68.454863158104146</v>
      </c>
      <c r="M52" s="6">
        <f t="shared" si="14"/>
        <v>10445590.485508041</v>
      </c>
      <c r="N52" s="6">
        <f t="shared" si="15"/>
        <v>-253452.12210538576</v>
      </c>
      <c r="O52" s="6">
        <f t="shared" si="16"/>
        <v>0</v>
      </c>
      <c r="P52" s="6">
        <f t="shared" si="10"/>
        <v>0</v>
      </c>
      <c r="Q52" s="6">
        <f t="shared" ca="1" si="17"/>
        <v>10668137.391548883</v>
      </c>
      <c r="R52" s="6">
        <f t="shared" ca="1" si="18"/>
        <v>-344836.70118390396</v>
      </c>
      <c r="S52" s="15">
        <f t="shared" ca="1" si="19"/>
        <v>3.1311859837339841E-2</v>
      </c>
    </row>
    <row r="53" spans="1:19">
      <c r="A53" s="20">
        <f>'Monthly Data'!A53</f>
        <v>42461</v>
      </c>
      <c r="B53">
        <f t="shared" si="20"/>
        <v>4</v>
      </c>
      <c r="C53">
        <f t="shared" si="21"/>
        <v>2016</v>
      </c>
      <c r="D53" s="6">
        <f>'Monthly Data'!S53</f>
        <v>10383710.915132785</v>
      </c>
      <c r="E53" s="7">
        <f t="shared" ca="1" si="11"/>
        <v>1.3500000000000003</v>
      </c>
      <c r="F53">
        <f>'Monthly Data'!CF53</f>
        <v>30</v>
      </c>
      <c r="G53">
        <f>'Monthly Data'!BN53</f>
        <v>52</v>
      </c>
      <c r="H53">
        <f>'Monthly Data'!CB53</f>
        <v>0</v>
      </c>
      <c r="I53">
        <f>'Monthly Data'!CJ53</f>
        <v>0</v>
      </c>
      <c r="K53" s="6">
        <f t="shared" si="12"/>
        <v>475930.57328307</v>
      </c>
      <c r="L53" s="6">
        <f t="shared" ca="1" si="13"/>
        <v>4620.7032631720476</v>
      </c>
      <c r="M53" s="6">
        <f t="shared" si="14"/>
        <v>10108635.953717459</v>
      </c>
      <c r="N53" s="6">
        <f t="shared" si="15"/>
        <v>-258421.77155843255</v>
      </c>
      <c r="O53" s="6">
        <f t="shared" si="16"/>
        <v>0</v>
      </c>
      <c r="P53" s="6">
        <f t="shared" si="10"/>
        <v>0</v>
      </c>
      <c r="Q53" s="6">
        <f t="shared" ca="1" si="17"/>
        <v>10330765.458705269</v>
      </c>
      <c r="R53" s="6">
        <f t="shared" ca="1" si="18"/>
        <v>-52945.456427516416</v>
      </c>
      <c r="S53" s="15">
        <f t="shared" ca="1" si="19"/>
        <v>5.098895458497012E-3</v>
      </c>
    </row>
    <row r="54" spans="1:19">
      <c r="A54" s="20">
        <f>'Monthly Data'!A54</f>
        <v>42491</v>
      </c>
      <c r="B54">
        <f t="shared" si="20"/>
        <v>5</v>
      </c>
      <c r="C54">
        <f t="shared" si="21"/>
        <v>2016</v>
      </c>
      <c r="D54" s="6">
        <f>'Monthly Data'!S54</f>
        <v>11123234.901132789</v>
      </c>
      <c r="E54" s="7">
        <f t="shared" ca="1" si="11"/>
        <v>42.72</v>
      </c>
      <c r="F54">
        <f>'Monthly Data'!CF54</f>
        <v>31</v>
      </c>
      <c r="G54">
        <f>'Monthly Data'!BN54</f>
        <v>53</v>
      </c>
      <c r="H54">
        <f>'Monthly Data'!CB54</f>
        <v>0</v>
      </c>
      <c r="I54">
        <f>'Monthly Data'!CJ54</f>
        <v>0</v>
      </c>
      <c r="K54" s="6">
        <f t="shared" si="12"/>
        <v>475930.57328307</v>
      </c>
      <c r="L54" s="6">
        <f t="shared" ca="1" si="13"/>
        <v>146219.58770571099</v>
      </c>
      <c r="M54" s="6">
        <f t="shared" si="14"/>
        <v>10445590.485508041</v>
      </c>
      <c r="N54" s="6">
        <f t="shared" si="15"/>
        <v>-263391.42101147934</v>
      </c>
      <c r="O54" s="6">
        <f t="shared" si="16"/>
        <v>0</v>
      </c>
      <c r="P54" s="6">
        <f t="shared" si="10"/>
        <v>0</v>
      </c>
      <c r="Q54" s="6">
        <f t="shared" ca="1" si="17"/>
        <v>10804349.225485343</v>
      </c>
      <c r="R54" s="6">
        <f t="shared" ca="1" si="18"/>
        <v>-318885.67564744502</v>
      </c>
      <c r="S54" s="15">
        <f t="shared" ca="1" si="19"/>
        <v>2.866842950650712E-2</v>
      </c>
    </row>
    <row r="55" spans="1:19">
      <c r="A55" s="20">
        <f>'Monthly Data'!A55</f>
        <v>42522</v>
      </c>
      <c r="B55">
        <f t="shared" si="20"/>
        <v>6</v>
      </c>
      <c r="C55">
        <f t="shared" si="21"/>
        <v>2016</v>
      </c>
      <c r="D55" s="6">
        <f>'Monthly Data'!S55</f>
        <v>9791929.087932786</v>
      </c>
      <c r="E55" s="7">
        <f t="shared" ca="1" si="11"/>
        <v>97.63000000000001</v>
      </c>
      <c r="F55">
        <f>'Monthly Data'!CF55</f>
        <v>30</v>
      </c>
      <c r="G55">
        <f>'Monthly Data'!BN55</f>
        <v>54</v>
      </c>
      <c r="H55">
        <f>'Monthly Data'!CB55</f>
        <v>0</v>
      </c>
      <c r="I55">
        <f>'Monthly Data'!CJ55</f>
        <v>0</v>
      </c>
      <c r="K55" s="6">
        <f t="shared" si="12"/>
        <v>475930.57328307</v>
      </c>
      <c r="L55" s="6">
        <f t="shared" ca="1" si="13"/>
        <v>334162.41450628667</v>
      </c>
      <c r="M55" s="6">
        <f t="shared" si="14"/>
        <v>10108635.953717459</v>
      </c>
      <c r="N55" s="6">
        <f t="shared" si="15"/>
        <v>-268361.07046452613</v>
      </c>
      <c r="O55" s="6">
        <f t="shared" si="16"/>
        <v>0</v>
      </c>
      <c r="P55" s="6">
        <f t="shared" si="10"/>
        <v>0</v>
      </c>
      <c r="Q55" s="6">
        <f t="shared" ca="1" si="17"/>
        <v>10650367.871042291</v>
      </c>
      <c r="R55" s="6">
        <f t="shared" ca="1" si="18"/>
        <v>858438.78310950473</v>
      </c>
      <c r="S55" s="15">
        <f t="shared" ca="1" si="19"/>
        <v>8.7667994263501484E-2</v>
      </c>
    </row>
    <row r="56" spans="1:19">
      <c r="A56" s="20">
        <f>'Monthly Data'!A56</f>
        <v>42552</v>
      </c>
      <c r="B56">
        <f t="shared" si="20"/>
        <v>7</v>
      </c>
      <c r="C56">
        <f t="shared" si="21"/>
        <v>2016</v>
      </c>
      <c r="D56" s="6">
        <f>'Monthly Data'!S56</f>
        <v>10797079.981132787</v>
      </c>
      <c r="E56" s="7">
        <f t="shared" ca="1" si="11"/>
        <v>172.46999999999997</v>
      </c>
      <c r="F56">
        <f>'Monthly Data'!CF56</f>
        <v>31</v>
      </c>
      <c r="G56">
        <f>'Monthly Data'!BN56</f>
        <v>55</v>
      </c>
      <c r="H56">
        <f>'Monthly Data'!CB56</f>
        <v>0</v>
      </c>
      <c r="I56">
        <f>'Monthly Data'!CJ56</f>
        <v>0</v>
      </c>
      <c r="K56" s="6">
        <f t="shared" si="12"/>
        <v>475930.57328307</v>
      </c>
      <c r="L56" s="6">
        <f t="shared" ca="1" si="13"/>
        <v>590320.51244391315</v>
      </c>
      <c r="M56" s="6">
        <f t="shared" si="14"/>
        <v>10445590.485508041</v>
      </c>
      <c r="N56" s="6">
        <f t="shared" si="15"/>
        <v>-273330.71991757292</v>
      </c>
      <c r="O56" s="6">
        <f t="shared" si="16"/>
        <v>0</v>
      </c>
      <c r="P56" s="6">
        <f t="shared" si="10"/>
        <v>0</v>
      </c>
      <c r="Q56" s="6">
        <f t="shared" ca="1" si="17"/>
        <v>11238510.851317452</v>
      </c>
      <c r="R56" s="6">
        <f t="shared" ca="1" si="18"/>
        <v>441430.87018466555</v>
      </c>
      <c r="S56" s="15">
        <f t="shared" ca="1" si="19"/>
        <v>4.0884282690879202E-2</v>
      </c>
    </row>
    <row r="57" spans="1:19">
      <c r="A57" s="20">
        <f>'Monthly Data'!A57</f>
        <v>42583</v>
      </c>
      <c r="B57">
        <f t="shared" si="20"/>
        <v>8</v>
      </c>
      <c r="C57">
        <f t="shared" si="21"/>
        <v>2016</v>
      </c>
      <c r="D57" s="6">
        <f>'Monthly Data'!S57</f>
        <v>10973992.038532788</v>
      </c>
      <c r="E57" s="7">
        <f t="shared" ca="1" si="11"/>
        <v>155.49999999999997</v>
      </c>
      <c r="F57">
        <f>'Monthly Data'!CF57</f>
        <v>31</v>
      </c>
      <c r="G57">
        <f>'Monthly Data'!BN57</f>
        <v>56</v>
      </c>
      <c r="H57">
        <f>'Monthly Data'!CB57</f>
        <v>0</v>
      </c>
      <c r="I57">
        <f>'Monthly Data'!CJ57</f>
        <v>0</v>
      </c>
      <c r="K57" s="6">
        <f t="shared" si="12"/>
        <v>475930.57328307</v>
      </c>
      <c r="L57" s="6">
        <f t="shared" ca="1" si="13"/>
        <v>532236.56105426163</v>
      </c>
      <c r="M57" s="6">
        <f t="shared" si="14"/>
        <v>10445590.485508041</v>
      </c>
      <c r="N57" s="6">
        <f t="shared" si="15"/>
        <v>-278300.36937061965</v>
      </c>
      <c r="O57" s="6">
        <f t="shared" si="16"/>
        <v>0</v>
      </c>
      <c r="P57" s="6">
        <f t="shared" si="10"/>
        <v>0</v>
      </c>
      <c r="Q57" s="6">
        <f t="shared" ca="1" si="17"/>
        <v>11175457.250474755</v>
      </c>
      <c r="R57" s="6">
        <f t="shared" ca="1" si="18"/>
        <v>201465.21194196679</v>
      </c>
      <c r="S57" s="15">
        <f t="shared" ca="1" si="19"/>
        <v>1.8358425196096869E-2</v>
      </c>
    </row>
    <row r="58" spans="1:19">
      <c r="A58" s="20">
        <f>'Monthly Data'!A58</f>
        <v>42614</v>
      </c>
      <c r="B58">
        <f t="shared" si="20"/>
        <v>9</v>
      </c>
      <c r="C58">
        <f t="shared" si="21"/>
        <v>2016</v>
      </c>
      <c r="D58" s="6">
        <f>'Monthly Data'!S58</f>
        <v>10286117.250332788</v>
      </c>
      <c r="E58" s="7">
        <f t="shared" ca="1" si="11"/>
        <v>76.13</v>
      </c>
      <c r="F58">
        <f>'Monthly Data'!CF58</f>
        <v>30</v>
      </c>
      <c r="G58">
        <f>'Monthly Data'!BN58</f>
        <v>57</v>
      </c>
      <c r="H58">
        <f>'Monthly Data'!CB58</f>
        <v>0</v>
      </c>
      <c r="I58">
        <f>'Monthly Data'!CJ58</f>
        <v>0</v>
      </c>
      <c r="K58" s="6">
        <f t="shared" si="12"/>
        <v>475930.57328307</v>
      </c>
      <c r="L58" s="6">
        <f t="shared" ca="1" si="13"/>
        <v>260573.43661132437</v>
      </c>
      <c r="M58" s="6">
        <f t="shared" si="14"/>
        <v>10108635.953717459</v>
      </c>
      <c r="N58" s="6">
        <f t="shared" si="15"/>
        <v>-283270.01882366644</v>
      </c>
      <c r="O58" s="6">
        <f t="shared" si="16"/>
        <v>0</v>
      </c>
      <c r="P58" s="6">
        <f t="shared" si="10"/>
        <v>0</v>
      </c>
      <c r="Q58" s="6">
        <f t="shared" ca="1" si="17"/>
        <v>10561869.944788186</v>
      </c>
      <c r="R58" s="6">
        <f t="shared" ca="1" si="18"/>
        <v>275752.69445539825</v>
      </c>
      <c r="S58" s="15">
        <f t="shared" ca="1" si="19"/>
        <v>2.6808239469220205E-2</v>
      </c>
    </row>
    <row r="59" spans="1:19">
      <c r="A59" s="20">
        <f>'Monthly Data'!A59</f>
        <v>42644</v>
      </c>
      <c r="B59">
        <f t="shared" si="20"/>
        <v>10</v>
      </c>
      <c r="C59">
        <f t="shared" si="21"/>
        <v>2016</v>
      </c>
      <c r="D59" s="6">
        <f>'Monthly Data'!S59</f>
        <v>10353933.551132789</v>
      </c>
      <c r="E59" s="7">
        <f t="shared" ca="1" si="11"/>
        <v>15.330000000000002</v>
      </c>
      <c r="F59">
        <f>'Monthly Data'!CF59</f>
        <v>31</v>
      </c>
      <c r="G59">
        <f>'Monthly Data'!BN59</f>
        <v>58</v>
      </c>
      <c r="H59">
        <f>'Monthly Data'!CB59</f>
        <v>0</v>
      </c>
      <c r="I59">
        <f>'Monthly Data'!CJ59</f>
        <v>0</v>
      </c>
      <c r="K59" s="6">
        <f t="shared" si="12"/>
        <v>475930.57328307</v>
      </c>
      <c r="L59" s="6">
        <f t="shared" ca="1" si="13"/>
        <v>52470.65261068703</v>
      </c>
      <c r="M59" s="6">
        <f t="shared" si="14"/>
        <v>10445590.485508041</v>
      </c>
      <c r="N59" s="6">
        <f t="shared" si="15"/>
        <v>-288239.66827671323</v>
      </c>
      <c r="O59" s="6">
        <f t="shared" si="16"/>
        <v>0</v>
      </c>
      <c r="P59" s="6">
        <f t="shared" si="10"/>
        <v>0</v>
      </c>
      <c r="Q59" s="6">
        <f t="shared" ca="1" si="17"/>
        <v>10685752.043125086</v>
      </c>
      <c r="R59" s="6">
        <f t="shared" ca="1" si="18"/>
        <v>331818.49199229665</v>
      </c>
      <c r="S59" s="15">
        <f t="shared" ca="1" si="19"/>
        <v>3.2047577894296367E-2</v>
      </c>
    </row>
    <row r="60" spans="1:19">
      <c r="A60" s="20">
        <f>'Monthly Data'!A60</f>
        <v>42675</v>
      </c>
      <c r="B60">
        <f t="shared" si="20"/>
        <v>11</v>
      </c>
      <c r="C60">
        <f t="shared" si="21"/>
        <v>2016</v>
      </c>
      <c r="D60" s="6">
        <f>'Monthly Data'!S60</f>
        <v>10009720.752132788</v>
      </c>
      <c r="E60" s="7">
        <f t="shared" ca="1" si="11"/>
        <v>0.76000000000000012</v>
      </c>
      <c r="F60">
        <f>'Monthly Data'!CF60</f>
        <v>30</v>
      </c>
      <c r="G60">
        <f>'Monthly Data'!BN60</f>
        <v>59</v>
      </c>
      <c r="H60">
        <f>'Monthly Data'!CB60</f>
        <v>0</v>
      </c>
      <c r="I60">
        <f>'Monthly Data'!CJ60</f>
        <v>0</v>
      </c>
      <c r="K60" s="6">
        <f t="shared" si="12"/>
        <v>475930.57328307</v>
      </c>
      <c r="L60" s="6">
        <f t="shared" ca="1" si="13"/>
        <v>2601.2848000079675</v>
      </c>
      <c r="M60" s="6">
        <f t="shared" si="14"/>
        <v>10108635.953717459</v>
      </c>
      <c r="N60" s="6">
        <f t="shared" si="15"/>
        <v>-293209.31772976002</v>
      </c>
      <c r="O60" s="6">
        <f t="shared" si="16"/>
        <v>0</v>
      </c>
      <c r="P60" s="6">
        <f t="shared" si="10"/>
        <v>0</v>
      </c>
      <c r="Q60" s="6">
        <f t="shared" ca="1" si="17"/>
        <v>10293958.494070778</v>
      </c>
      <c r="R60" s="6">
        <f t="shared" ca="1" si="18"/>
        <v>284237.74193798937</v>
      </c>
      <c r="S60" s="15">
        <f t="shared" ca="1" si="19"/>
        <v>2.8396170979837411E-2</v>
      </c>
    </row>
    <row r="61" spans="1:19">
      <c r="A61" s="20">
        <f>'Monthly Data'!A61</f>
        <v>42705</v>
      </c>
      <c r="B61">
        <f t="shared" si="20"/>
        <v>12</v>
      </c>
      <c r="C61">
        <f t="shared" si="21"/>
        <v>2016</v>
      </c>
      <c r="D61" s="6">
        <f>'Monthly Data'!S61</f>
        <v>9627014.5981327891</v>
      </c>
      <c r="E61" s="7">
        <f t="shared" ca="1" si="11"/>
        <v>0</v>
      </c>
      <c r="F61">
        <f>'Monthly Data'!CF61</f>
        <v>31</v>
      </c>
      <c r="G61">
        <f>'Monthly Data'!BN61</f>
        <v>60</v>
      </c>
      <c r="H61">
        <f>'Monthly Data'!CB61</f>
        <v>1</v>
      </c>
      <c r="I61">
        <f>'Monthly Data'!CJ61</f>
        <v>0</v>
      </c>
      <c r="K61" s="6">
        <f t="shared" si="12"/>
        <v>475930.57328307</v>
      </c>
      <c r="L61" s="6">
        <f t="shared" ca="1" si="13"/>
        <v>0</v>
      </c>
      <c r="M61" s="6">
        <f t="shared" si="14"/>
        <v>10445590.485508041</v>
      </c>
      <c r="N61" s="6">
        <f t="shared" si="15"/>
        <v>-298178.96718280681</v>
      </c>
      <c r="O61" s="6">
        <f t="shared" si="16"/>
        <v>-634211.854533192</v>
      </c>
      <c r="P61" s="6">
        <f t="shared" si="10"/>
        <v>0</v>
      </c>
      <c r="Q61" s="6">
        <f t="shared" ca="1" si="17"/>
        <v>9989130.2370751128</v>
      </c>
      <c r="R61" s="6">
        <f t="shared" ca="1" si="18"/>
        <v>362115.63894232363</v>
      </c>
      <c r="S61" s="15">
        <f t="shared" ca="1" si="19"/>
        <v>3.7614530989966283E-2</v>
      </c>
    </row>
    <row r="62" spans="1:19">
      <c r="A62" s="20">
        <f>'Monthly Data'!A62</f>
        <v>42736</v>
      </c>
      <c r="B62">
        <f t="shared" si="20"/>
        <v>1</v>
      </c>
      <c r="C62">
        <f t="shared" si="21"/>
        <v>2017</v>
      </c>
      <c r="D62" s="6">
        <f>'Monthly Data'!S62</f>
        <v>9591765.3648723848</v>
      </c>
      <c r="E62" s="7">
        <f t="shared" ca="1" si="11"/>
        <v>0</v>
      </c>
      <c r="F62">
        <f>'Monthly Data'!CF62</f>
        <v>31</v>
      </c>
      <c r="G62">
        <f>'Monthly Data'!BN62</f>
        <v>61</v>
      </c>
      <c r="H62">
        <f>'Monthly Data'!CB62</f>
        <v>0</v>
      </c>
      <c r="I62">
        <f>'Monthly Data'!CJ62</f>
        <v>0</v>
      </c>
      <c r="K62" s="6">
        <f t="shared" si="12"/>
        <v>475930.57328307</v>
      </c>
      <c r="L62" s="6">
        <f t="shared" ca="1" si="13"/>
        <v>0</v>
      </c>
      <c r="M62" s="6">
        <f t="shared" si="14"/>
        <v>10445590.485508041</v>
      </c>
      <c r="N62" s="6">
        <f t="shared" si="15"/>
        <v>-303148.6166358536</v>
      </c>
      <c r="O62" s="6">
        <f t="shared" si="16"/>
        <v>0</v>
      </c>
      <c r="P62" s="6">
        <f t="shared" si="10"/>
        <v>0</v>
      </c>
      <c r="Q62" s="6">
        <f t="shared" ca="1" si="17"/>
        <v>10618372.442155259</v>
      </c>
      <c r="R62" s="6">
        <f t="shared" ca="1" si="18"/>
        <v>1026607.0772828739</v>
      </c>
      <c r="S62" s="15">
        <f t="shared" ca="1" si="19"/>
        <v>0.10703004485937324</v>
      </c>
    </row>
    <row r="63" spans="1:19">
      <c r="A63" s="20">
        <f>'Monthly Data'!A63</f>
        <v>42767</v>
      </c>
      <c r="B63">
        <f t="shared" si="20"/>
        <v>2</v>
      </c>
      <c r="C63">
        <f t="shared" si="21"/>
        <v>2017</v>
      </c>
      <c r="D63" s="6">
        <f>'Monthly Data'!S63</f>
        <v>9108161.2460723836</v>
      </c>
      <c r="E63" s="7">
        <f t="shared" ca="1" si="11"/>
        <v>0</v>
      </c>
      <c r="F63">
        <f>'Monthly Data'!CF63</f>
        <v>28</v>
      </c>
      <c r="G63">
        <f>'Monthly Data'!BN63</f>
        <v>62</v>
      </c>
      <c r="H63">
        <f>'Monthly Data'!CB63</f>
        <v>0</v>
      </c>
      <c r="I63">
        <f>'Monthly Data'!CJ63</f>
        <v>0</v>
      </c>
      <c r="K63" s="6">
        <f t="shared" si="12"/>
        <v>475930.57328307</v>
      </c>
      <c r="L63" s="6">
        <f t="shared" ca="1" si="13"/>
        <v>0</v>
      </c>
      <c r="M63" s="6">
        <f t="shared" si="14"/>
        <v>9434726.8901362959</v>
      </c>
      <c r="N63" s="6">
        <f t="shared" si="15"/>
        <v>-308118.26608890033</v>
      </c>
      <c r="O63" s="6">
        <f t="shared" si="16"/>
        <v>0</v>
      </c>
      <c r="P63" s="6">
        <f t="shared" si="10"/>
        <v>0</v>
      </c>
      <c r="Q63" s="6">
        <f t="shared" ca="1" si="17"/>
        <v>9602539.1973304655</v>
      </c>
      <c r="R63" s="6">
        <f t="shared" ca="1" si="18"/>
        <v>494377.95125808194</v>
      </c>
      <c r="S63" s="15">
        <f t="shared" ca="1" si="19"/>
        <v>5.4278568187543598E-2</v>
      </c>
    </row>
    <row r="64" spans="1:19">
      <c r="A64" s="20">
        <f>'Monthly Data'!A64</f>
        <v>42795</v>
      </c>
      <c r="B64">
        <f t="shared" si="20"/>
        <v>3</v>
      </c>
      <c r="C64">
        <f t="shared" si="21"/>
        <v>2017</v>
      </c>
      <c r="D64" s="6">
        <f>'Monthly Data'!S64</f>
        <v>10666257.661872383</v>
      </c>
      <c r="E64" s="7">
        <f t="shared" ca="1" si="11"/>
        <v>1.9999999999999928E-2</v>
      </c>
      <c r="F64">
        <f>'Monthly Data'!CF64</f>
        <v>31</v>
      </c>
      <c r="G64">
        <f>'Monthly Data'!BN64</f>
        <v>63</v>
      </c>
      <c r="H64">
        <f>'Monthly Data'!CB64</f>
        <v>0</v>
      </c>
      <c r="I64">
        <f>'Monthly Data'!CJ64</f>
        <v>0</v>
      </c>
      <c r="K64" s="6">
        <f t="shared" si="12"/>
        <v>475930.57328307</v>
      </c>
      <c r="L64" s="6">
        <f t="shared" ca="1" si="13"/>
        <v>68.454863158104146</v>
      </c>
      <c r="M64" s="6">
        <f t="shared" si="14"/>
        <v>10445590.485508041</v>
      </c>
      <c r="N64" s="6">
        <f t="shared" si="15"/>
        <v>-313087.91554194712</v>
      </c>
      <c r="O64" s="6">
        <f t="shared" si="16"/>
        <v>0</v>
      </c>
      <c r="P64" s="6">
        <f t="shared" si="10"/>
        <v>0</v>
      </c>
      <c r="Q64" s="6">
        <f t="shared" ca="1" si="17"/>
        <v>10608501.598112322</v>
      </c>
      <c r="R64" s="6">
        <f t="shared" ca="1" si="18"/>
        <v>-57756.063760060817</v>
      </c>
      <c r="S64" s="15">
        <f t="shared" ca="1" si="19"/>
        <v>5.4148386051572437E-3</v>
      </c>
    </row>
    <row r="65" spans="1:19">
      <c r="A65" s="20">
        <f>'Monthly Data'!A65</f>
        <v>42826</v>
      </c>
      <c r="B65">
        <f t="shared" si="20"/>
        <v>4</v>
      </c>
      <c r="C65">
        <f t="shared" si="21"/>
        <v>2017</v>
      </c>
      <c r="D65" s="6">
        <f>'Monthly Data'!S65</f>
        <v>9877999.4840723816</v>
      </c>
      <c r="E65" s="7">
        <f t="shared" ca="1" si="11"/>
        <v>1.3500000000000003</v>
      </c>
      <c r="F65">
        <f>'Monthly Data'!CF65</f>
        <v>30</v>
      </c>
      <c r="G65">
        <f>'Monthly Data'!BN65</f>
        <v>64</v>
      </c>
      <c r="H65">
        <f>'Monthly Data'!CB65</f>
        <v>0</v>
      </c>
      <c r="I65">
        <f>'Monthly Data'!CJ65</f>
        <v>0</v>
      </c>
      <c r="K65" s="6">
        <f t="shared" si="12"/>
        <v>475930.57328307</v>
      </c>
      <c r="L65" s="6">
        <f t="shared" ca="1" si="13"/>
        <v>4620.7032631720476</v>
      </c>
      <c r="M65" s="6">
        <f t="shared" si="14"/>
        <v>10108635.953717459</v>
      </c>
      <c r="N65" s="6">
        <f t="shared" si="15"/>
        <v>-318057.56499499391</v>
      </c>
      <c r="O65" s="6">
        <f t="shared" si="16"/>
        <v>0</v>
      </c>
      <c r="P65" s="6">
        <f t="shared" si="10"/>
        <v>0</v>
      </c>
      <c r="Q65" s="6">
        <f t="shared" ca="1" si="17"/>
        <v>10271129.665268706</v>
      </c>
      <c r="R65" s="6">
        <f t="shared" ca="1" si="18"/>
        <v>393130.18119632453</v>
      </c>
      <c r="S65" s="15">
        <f t="shared" ca="1" si="19"/>
        <v>3.9798562637123121E-2</v>
      </c>
    </row>
    <row r="66" spans="1:19">
      <c r="A66" s="20">
        <f>'Monthly Data'!A66</f>
        <v>42856</v>
      </c>
      <c r="B66">
        <f t="shared" si="20"/>
        <v>5</v>
      </c>
      <c r="C66">
        <f t="shared" si="21"/>
        <v>2017</v>
      </c>
      <c r="D66" s="6">
        <f>'Monthly Data'!S66</f>
        <v>10238197.053872384</v>
      </c>
      <c r="E66" s="7">
        <f t="shared" ca="1" si="11"/>
        <v>42.72</v>
      </c>
      <c r="F66">
        <f>'Monthly Data'!CF66</f>
        <v>31</v>
      </c>
      <c r="G66">
        <f>'Monthly Data'!BN66</f>
        <v>65</v>
      </c>
      <c r="H66">
        <f>'Monthly Data'!CB66</f>
        <v>0</v>
      </c>
      <c r="I66">
        <f>'Monthly Data'!CJ66</f>
        <v>0</v>
      </c>
      <c r="K66" s="6">
        <f t="shared" ref="K66:K97" si="22">$V$7</f>
        <v>475930.57328307</v>
      </c>
      <c r="L66" s="6">
        <f t="shared" ref="L66:L97" ca="1" si="23">E66*$V$8</f>
        <v>146219.58770571099</v>
      </c>
      <c r="M66" s="6">
        <f t="shared" ref="M66:M97" si="24">F66*$V$9</f>
        <v>10445590.485508041</v>
      </c>
      <c r="N66" s="6">
        <f t="shared" ref="N66:N97" si="25">G66*$V$10</f>
        <v>-323027.2144480407</v>
      </c>
      <c r="O66" s="6">
        <f t="shared" ref="O66:O97" si="26">H66*$V$11</f>
        <v>0</v>
      </c>
      <c r="P66" s="6">
        <f t="shared" si="10"/>
        <v>0</v>
      </c>
      <c r="Q66" s="6">
        <f t="shared" ref="Q66:Q97" ca="1" si="27">SUM(K66:P66)</f>
        <v>10744713.432048783</v>
      </c>
      <c r="R66" s="6">
        <f t="shared" ref="R66:R97" ca="1" si="28">Q66-D66</f>
        <v>506516.37817639858</v>
      </c>
      <c r="S66" s="15">
        <f t="shared" ref="S66:S97" ca="1" si="29">ABS(Q66-D66)/D66</f>
        <v>4.9473200751182979E-2</v>
      </c>
    </row>
    <row r="67" spans="1:19">
      <c r="A67" s="20">
        <f>'Monthly Data'!A67</f>
        <v>42887</v>
      </c>
      <c r="B67">
        <f t="shared" si="20"/>
        <v>6</v>
      </c>
      <c r="C67">
        <f t="shared" si="21"/>
        <v>2017</v>
      </c>
      <c r="D67" s="6">
        <f>'Monthly Data'!S67</f>
        <v>10531905.199872384</v>
      </c>
      <c r="E67" s="7">
        <f t="shared" ca="1" si="11"/>
        <v>97.63000000000001</v>
      </c>
      <c r="F67">
        <f>'Monthly Data'!CF67</f>
        <v>30</v>
      </c>
      <c r="G67">
        <f>'Monthly Data'!BN67</f>
        <v>66</v>
      </c>
      <c r="H67">
        <f>'Monthly Data'!CB67</f>
        <v>0</v>
      </c>
      <c r="I67">
        <f>'Monthly Data'!CJ67</f>
        <v>0</v>
      </c>
      <c r="K67" s="6">
        <f t="shared" si="22"/>
        <v>475930.57328307</v>
      </c>
      <c r="L67" s="6">
        <f t="shared" ca="1" si="23"/>
        <v>334162.41450628667</v>
      </c>
      <c r="M67" s="6">
        <f t="shared" si="24"/>
        <v>10108635.953717459</v>
      </c>
      <c r="N67" s="6">
        <f t="shared" si="25"/>
        <v>-327996.86390108749</v>
      </c>
      <c r="O67" s="6">
        <f t="shared" si="26"/>
        <v>0</v>
      </c>
      <c r="P67" s="6">
        <f t="shared" ref="P67:P130" si="30">I67*$V$12</f>
        <v>0</v>
      </c>
      <c r="Q67" s="6">
        <f t="shared" ca="1" si="27"/>
        <v>10590732.077605728</v>
      </c>
      <c r="R67" s="6">
        <f t="shared" ca="1" si="28"/>
        <v>58826.877733344212</v>
      </c>
      <c r="S67" s="15">
        <f t="shared" ca="1" si="29"/>
        <v>5.5855874713016812E-3</v>
      </c>
    </row>
    <row r="68" spans="1:19">
      <c r="A68" s="20">
        <f>'Monthly Data'!A68</f>
        <v>42917</v>
      </c>
      <c r="B68">
        <f t="shared" si="20"/>
        <v>7</v>
      </c>
      <c r="C68">
        <f t="shared" si="21"/>
        <v>2017</v>
      </c>
      <c r="D68" s="6">
        <f>'Monthly Data'!S68</f>
        <v>10960999.166472385</v>
      </c>
      <c r="E68" s="7">
        <f t="shared" ca="1" si="11"/>
        <v>172.46999999999997</v>
      </c>
      <c r="F68">
        <f>'Monthly Data'!CF68</f>
        <v>31</v>
      </c>
      <c r="G68">
        <f>'Monthly Data'!BN68</f>
        <v>67</v>
      </c>
      <c r="H68">
        <f>'Monthly Data'!CB68</f>
        <v>0</v>
      </c>
      <c r="I68">
        <f>'Monthly Data'!CJ68</f>
        <v>0</v>
      </c>
      <c r="K68" s="6">
        <f t="shared" si="22"/>
        <v>475930.57328307</v>
      </c>
      <c r="L68" s="6">
        <f t="shared" ca="1" si="23"/>
        <v>590320.51244391315</v>
      </c>
      <c r="M68" s="6">
        <f t="shared" si="24"/>
        <v>10445590.485508041</v>
      </c>
      <c r="N68" s="6">
        <f t="shared" si="25"/>
        <v>-332966.51335413422</v>
      </c>
      <c r="O68" s="6">
        <f t="shared" si="26"/>
        <v>0</v>
      </c>
      <c r="P68" s="6">
        <f t="shared" si="30"/>
        <v>0</v>
      </c>
      <c r="Q68" s="6">
        <f t="shared" ca="1" si="27"/>
        <v>11178875.057880891</v>
      </c>
      <c r="R68" s="6">
        <f t="shared" ca="1" si="28"/>
        <v>217875.89140850678</v>
      </c>
      <c r="S68" s="15">
        <f t="shared" ca="1" si="29"/>
        <v>1.9877375054908112E-2</v>
      </c>
    </row>
    <row r="69" spans="1:19">
      <c r="A69" s="20">
        <f>'Monthly Data'!A69</f>
        <v>42948</v>
      </c>
      <c r="B69">
        <f t="shared" si="20"/>
        <v>8</v>
      </c>
      <c r="C69">
        <f t="shared" si="21"/>
        <v>2017</v>
      </c>
      <c r="D69" s="6">
        <f>'Monthly Data'!S69</f>
        <v>11556821.517472384</v>
      </c>
      <c r="E69" s="7">
        <f t="shared" ca="1" si="11"/>
        <v>155.49999999999997</v>
      </c>
      <c r="F69">
        <f>'Monthly Data'!CF69</f>
        <v>31</v>
      </c>
      <c r="G69">
        <f>'Monthly Data'!BN69</f>
        <v>68</v>
      </c>
      <c r="H69">
        <f>'Monthly Data'!CB69</f>
        <v>0</v>
      </c>
      <c r="I69">
        <f>'Monthly Data'!CJ69</f>
        <v>0</v>
      </c>
      <c r="K69" s="6">
        <f t="shared" si="22"/>
        <v>475930.57328307</v>
      </c>
      <c r="L69" s="6">
        <f t="shared" ca="1" si="23"/>
        <v>532236.56105426163</v>
      </c>
      <c r="M69" s="6">
        <f t="shared" si="24"/>
        <v>10445590.485508041</v>
      </c>
      <c r="N69" s="6">
        <f t="shared" si="25"/>
        <v>-337936.16280718101</v>
      </c>
      <c r="O69" s="6">
        <f t="shared" si="26"/>
        <v>0</v>
      </c>
      <c r="P69" s="6">
        <f t="shared" si="30"/>
        <v>0</v>
      </c>
      <c r="Q69" s="6">
        <f t="shared" ca="1" si="27"/>
        <v>11115821.457038192</v>
      </c>
      <c r="R69" s="6">
        <f t="shared" ca="1" si="28"/>
        <v>-441000.06043419242</v>
      </c>
      <c r="S69" s="15">
        <f t="shared" ca="1" si="29"/>
        <v>3.8159286250761829E-2</v>
      </c>
    </row>
    <row r="70" spans="1:19">
      <c r="A70" s="20">
        <f>'Monthly Data'!A70</f>
        <v>42979</v>
      </c>
      <c r="B70">
        <f t="shared" si="20"/>
        <v>9</v>
      </c>
      <c r="C70">
        <f t="shared" si="21"/>
        <v>2017</v>
      </c>
      <c r="D70" s="6">
        <f>'Monthly Data'!S70</f>
        <v>10202301.272072384</v>
      </c>
      <c r="E70" s="7">
        <f t="shared" ca="1" si="11"/>
        <v>76.13</v>
      </c>
      <c r="F70">
        <f>'Monthly Data'!CF70</f>
        <v>30</v>
      </c>
      <c r="G70">
        <f>'Monthly Data'!BN70</f>
        <v>69</v>
      </c>
      <c r="H70">
        <f>'Monthly Data'!CB70</f>
        <v>0</v>
      </c>
      <c r="I70">
        <f>'Monthly Data'!CJ70</f>
        <v>0</v>
      </c>
      <c r="K70" s="6">
        <f t="shared" si="22"/>
        <v>475930.57328307</v>
      </c>
      <c r="L70" s="6">
        <f t="shared" ca="1" si="23"/>
        <v>260573.43661132437</v>
      </c>
      <c r="M70" s="6">
        <f t="shared" si="24"/>
        <v>10108635.953717459</v>
      </c>
      <c r="N70" s="6">
        <f t="shared" si="25"/>
        <v>-342905.8122602278</v>
      </c>
      <c r="O70" s="6">
        <f t="shared" si="26"/>
        <v>0</v>
      </c>
      <c r="P70" s="6">
        <f t="shared" si="30"/>
        <v>0</v>
      </c>
      <c r="Q70" s="6">
        <f t="shared" ca="1" si="27"/>
        <v>10502234.151351625</v>
      </c>
      <c r="R70" s="6">
        <f t="shared" ca="1" si="28"/>
        <v>299932.87927924097</v>
      </c>
      <c r="S70" s="15">
        <f t="shared" ca="1" si="29"/>
        <v>2.939855149154166E-2</v>
      </c>
    </row>
    <row r="71" spans="1:19">
      <c r="A71" s="20">
        <f>'Monthly Data'!A71</f>
        <v>43009</v>
      </c>
      <c r="B71">
        <f t="shared" si="20"/>
        <v>10</v>
      </c>
      <c r="C71">
        <f t="shared" si="21"/>
        <v>2017</v>
      </c>
      <c r="D71" s="6">
        <f>'Monthly Data'!S71</f>
        <v>10935420.474472385</v>
      </c>
      <c r="E71" s="7">
        <f t="shared" ca="1" si="11"/>
        <v>15.330000000000002</v>
      </c>
      <c r="F71">
        <f>'Monthly Data'!CF71</f>
        <v>31</v>
      </c>
      <c r="G71">
        <f>'Monthly Data'!BN71</f>
        <v>70</v>
      </c>
      <c r="H71">
        <f>'Monthly Data'!CB71</f>
        <v>0</v>
      </c>
      <c r="I71">
        <f>'Monthly Data'!CJ71</f>
        <v>0</v>
      </c>
      <c r="K71" s="6">
        <f t="shared" si="22"/>
        <v>475930.57328307</v>
      </c>
      <c r="L71" s="6">
        <f t="shared" ca="1" si="23"/>
        <v>52470.65261068703</v>
      </c>
      <c r="M71" s="6">
        <f t="shared" si="24"/>
        <v>10445590.485508041</v>
      </c>
      <c r="N71" s="6">
        <f t="shared" si="25"/>
        <v>-347875.46171327459</v>
      </c>
      <c r="O71" s="6">
        <f t="shared" si="26"/>
        <v>0</v>
      </c>
      <c r="P71" s="6">
        <f t="shared" si="30"/>
        <v>0</v>
      </c>
      <c r="Q71" s="6">
        <f t="shared" ca="1" si="27"/>
        <v>10626116.249688523</v>
      </c>
      <c r="R71" s="6">
        <f t="shared" ca="1" si="28"/>
        <v>-309304.22478386201</v>
      </c>
      <c r="S71" s="15">
        <f t="shared" ca="1" si="29"/>
        <v>2.8284621108616806E-2</v>
      </c>
    </row>
    <row r="72" spans="1:19">
      <c r="A72" s="20">
        <f>'Monthly Data'!A72</f>
        <v>43040</v>
      </c>
      <c r="B72">
        <f t="shared" si="20"/>
        <v>11</v>
      </c>
      <c r="C72">
        <f t="shared" si="21"/>
        <v>2017</v>
      </c>
      <c r="D72" s="6">
        <f>'Monthly Data'!S72</f>
        <v>10844267.199072385</v>
      </c>
      <c r="E72" s="7">
        <f t="shared" ca="1" si="11"/>
        <v>0.76000000000000012</v>
      </c>
      <c r="F72">
        <f>'Monthly Data'!CF72</f>
        <v>30</v>
      </c>
      <c r="G72">
        <f>'Monthly Data'!BN72</f>
        <v>71</v>
      </c>
      <c r="H72">
        <f>'Monthly Data'!CB72</f>
        <v>0</v>
      </c>
      <c r="I72">
        <f>'Monthly Data'!CJ72</f>
        <v>0</v>
      </c>
      <c r="K72" s="6">
        <f t="shared" si="22"/>
        <v>475930.57328307</v>
      </c>
      <c r="L72" s="6">
        <f t="shared" ca="1" si="23"/>
        <v>2601.2848000079675</v>
      </c>
      <c r="M72" s="6">
        <f t="shared" si="24"/>
        <v>10108635.953717459</v>
      </c>
      <c r="N72" s="6">
        <f t="shared" si="25"/>
        <v>-352845.11116632138</v>
      </c>
      <c r="O72" s="6">
        <f t="shared" si="26"/>
        <v>0</v>
      </c>
      <c r="P72" s="6">
        <f t="shared" si="30"/>
        <v>0</v>
      </c>
      <c r="Q72" s="6">
        <f t="shared" ca="1" si="27"/>
        <v>10234322.700634217</v>
      </c>
      <c r="R72" s="6">
        <f t="shared" ca="1" si="28"/>
        <v>-609944.49843816832</v>
      </c>
      <c r="S72" s="15">
        <f t="shared" ca="1" si="29"/>
        <v>5.6245801329050868E-2</v>
      </c>
    </row>
    <row r="73" spans="1:19">
      <c r="A73" s="20">
        <f>'Monthly Data'!A73</f>
        <v>43070</v>
      </c>
      <c r="B73">
        <f t="shared" si="20"/>
        <v>12</v>
      </c>
      <c r="C73">
        <f t="shared" si="21"/>
        <v>2017</v>
      </c>
      <c r="D73" s="6">
        <f>'Monthly Data'!S73</f>
        <v>10244707.849472385</v>
      </c>
      <c r="E73" s="7">
        <f t="shared" ca="1" si="11"/>
        <v>0</v>
      </c>
      <c r="F73">
        <f>'Monthly Data'!CF73</f>
        <v>31</v>
      </c>
      <c r="G73">
        <f>'Monthly Data'!BN73</f>
        <v>72</v>
      </c>
      <c r="H73">
        <f>'Monthly Data'!CB73</f>
        <v>1</v>
      </c>
      <c r="I73">
        <f>'Monthly Data'!CJ73</f>
        <v>0</v>
      </c>
      <c r="K73" s="6">
        <f t="shared" si="22"/>
        <v>475930.57328307</v>
      </c>
      <c r="L73" s="6">
        <f t="shared" ca="1" si="23"/>
        <v>0</v>
      </c>
      <c r="M73" s="6">
        <f t="shared" si="24"/>
        <v>10445590.485508041</v>
      </c>
      <c r="N73" s="6">
        <f t="shared" si="25"/>
        <v>-357814.76061936817</v>
      </c>
      <c r="O73" s="6">
        <f t="shared" si="26"/>
        <v>-634211.854533192</v>
      </c>
      <c r="P73" s="6">
        <f t="shared" si="30"/>
        <v>0</v>
      </c>
      <c r="Q73" s="6">
        <f t="shared" ca="1" si="27"/>
        <v>9929494.443638552</v>
      </c>
      <c r="R73" s="6">
        <f t="shared" ca="1" si="28"/>
        <v>-315213.40583383292</v>
      </c>
      <c r="S73" s="15">
        <f t="shared" ca="1" si="29"/>
        <v>3.0768413356957448E-2</v>
      </c>
    </row>
    <row r="74" spans="1:19">
      <c r="A74" s="20">
        <f>'Monthly Data'!A74</f>
        <v>43101</v>
      </c>
      <c r="B74">
        <f t="shared" si="20"/>
        <v>1</v>
      </c>
      <c r="C74">
        <f t="shared" si="21"/>
        <v>2018</v>
      </c>
      <c r="D74" s="6">
        <f>'Monthly Data'!S74</f>
        <v>10220507.912220106</v>
      </c>
      <c r="E74" s="7">
        <f t="shared" ca="1" si="11"/>
        <v>0</v>
      </c>
      <c r="F74">
        <f>'Monthly Data'!CF74</f>
        <v>31</v>
      </c>
      <c r="G74">
        <f>'Monthly Data'!BN74</f>
        <v>73</v>
      </c>
      <c r="H74">
        <f>'Monthly Data'!CB74</f>
        <v>0</v>
      </c>
      <c r="I74">
        <f>'Monthly Data'!CJ74</f>
        <v>0</v>
      </c>
      <c r="K74" s="6">
        <f t="shared" si="22"/>
        <v>475930.57328307</v>
      </c>
      <c r="L74" s="6">
        <f t="shared" ca="1" si="23"/>
        <v>0</v>
      </c>
      <c r="M74" s="6">
        <f t="shared" si="24"/>
        <v>10445590.485508041</v>
      </c>
      <c r="N74" s="6">
        <f t="shared" si="25"/>
        <v>-362784.4100724149</v>
      </c>
      <c r="O74" s="6">
        <f t="shared" si="26"/>
        <v>0</v>
      </c>
      <c r="P74" s="6">
        <f t="shared" si="30"/>
        <v>0</v>
      </c>
      <c r="Q74" s="6">
        <f t="shared" ca="1" si="27"/>
        <v>10558736.648718698</v>
      </c>
      <c r="R74" s="6">
        <f t="shared" ca="1" si="28"/>
        <v>338228.73649859242</v>
      </c>
      <c r="S74" s="15">
        <f t="shared" ca="1" si="29"/>
        <v>3.3093143648388619E-2</v>
      </c>
    </row>
    <row r="75" spans="1:19">
      <c r="A75" s="20">
        <f>'Monthly Data'!A75</f>
        <v>43132</v>
      </c>
      <c r="B75">
        <f t="shared" si="20"/>
        <v>2</v>
      </c>
      <c r="C75">
        <f t="shared" si="21"/>
        <v>2018</v>
      </c>
      <c r="D75" s="6">
        <f>'Monthly Data'!S75</f>
        <v>9550053.2290201057</v>
      </c>
      <c r="E75" s="7">
        <f t="shared" ca="1" si="11"/>
        <v>0</v>
      </c>
      <c r="F75">
        <f>'Monthly Data'!CF75</f>
        <v>28</v>
      </c>
      <c r="G75">
        <f>'Monthly Data'!BN75</f>
        <v>74</v>
      </c>
      <c r="H75">
        <f>'Monthly Data'!CB75</f>
        <v>0</v>
      </c>
      <c r="I75">
        <f>'Monthly Data'!CJ75</f>
        <v>0</v>
      </c>
      <c r="K75" s="6">
        <f t="shared" si="22"/>
        <v>475930.57328307</v>
      </c>
      <c r="L75" s="6">
        <f t="shared" ca="1" si="23"/>
        <v>0</v>
      </c>
      <c r="M75" s="6">
        <f t="shared" si="24"/>
        <v>9434726.8901362959</v>
      </c>
      <c r="N75" s="6">
        <f t="shared" si="25"/>
        <v>-367754.05952546169</v>
      </c>
      <c r="O75" s="6">
        <f t="shared" si="26"/>
        <v>0</v>
      </c>
      <c r="P75" s="6">
        <f t="shared" si="30"/>
        <v>0</v>
      </c>
      <c r="Q75" s="6">
        <f t="shared" ca="1" si="27"/>
        <v>9542903.4038939048</v>
      </c>
      <c r="R75" s="6">
        <f t="shared" ca="1" si="28"/>
        <v>-7149.8251262009144</v>
      </c>
      <c r="S75" s="15">
        <f t="shared" ca="1" si="29"/>
        <v>7.4866861521509346E-4</v>
      </c>
    </row>
    <row r="76" spans="1:19">
      <c r="A76" s="20">
        <f>'Monthly Data'!A76</f>
        <v>43160</v>
      </c>
      <c r="B76">
        <f t="shared" si="20"/>
        <v>3</v>
      </c>
      <c r="C76">
        <f t="shared" si="21"/>
        <v>2018</v>
      </c>
      <c r="D76" s="6">
        <f>'Monthly Data'!S76</f>
        <v>10495231.318020105</v>
      </c>
      <c r="E76" s="7">
        <f t="shared" ca="1" si="11"/>
        <v>1.9999999999999928E-2</v>
      </c>
      <c r="F76">
        <f>'Monthly Data'!CF76</f>
        <v>31</v>
      </c>
      <c r="G76">
        <f>'Monthly Data'!BN76</f>
        <v>75</v>
      </c>
      <c r="H76">
        <f>'Monthly Data'!CB76</f>
        <v>0</v>
      </c>
      <c r="I76">
        <f>'Monthly Data'!CJ76</f>
        <v>0</v>
      </c>
      <c r="K76" s="6">
        <f t="shared" si="22"/>
        <v>475930.57328307</v>
      </c>
      <c r="L76" s="6">
        <f t="shared" ca="1" si="23"/>
        <v>68.454863158104146</v>
      </c>
      <c r="M76" s="6">
        <f t="shared" si="24"/>
        <v>10445590.485508041</v>
      </c>
      <c r="N76" s="6">
        <f t="shared" si="25"/>
        <v>-372723.70897850848</v>
      </c>
      <c r="O76" s="6">
        <f t="shared" si="26"/>
        <v>0</v>
      </c>
      <c r="P76" s="6">
        <f t="shared" si="30"/>
        <v>0</v>
      </c>
      <c r="Q76" s="6">
        <f t="shared" ca="1" si="27"/>
        <v>10548865.804675762</v>
      </c>
      <c r="R76" s="6">
        <f t="shared" ca="1" si="28"/>
        <v>53634.486655656248</v>
      </c>
      <c r="S76" s="15">
        <f t="shared" ca="1" si="29"/>
        <v>5.1103672735222988E-3</v>
      </c>
    </row>
    <row r="77" spans="1:19">
      <c r="A77" s="20">
        <f>'Monthly Data'!A77</f>
        <v>43191</v>
      </c>
      <c r="B77">
        <f t="shared" si="20"/>
        <v>4</v>
      </c>
      <c r="C77">
        <f t="shared" si="21"/>
        <v>2018</v>
      </c>
      <c r="D77" s="6">
        <f>'Monthly Data'!S77</f>
        <v>9247887.7546201069</v>
      </c>
      <c r="E77" s="7">
        <f t="shared" ca="1" si="11"/>
        <v>1.3500000000000003</v>
      </c>
      <c r="F77">
        <f>'Monthly Data'!CF77</f>
        <v>30</v>
      </c>
      <c r="G77">
        <f>'Monthly Data'!BN77</f>
        <v>76</v>
      </c>
      <c r="H77">
        <f>'Monthly Data'!CB77</f>
        <v>0</v>
      </c>
      <c r="I77">
        <f>'Monthly Data'!CJ77</f>
        <v>0</v>
      </c>
      <c r="K77" s="6">
        <f t="shared" si="22"/>
        <v>475930.57328307</v>
      </c>
      <c r="L77" s="6">
        <f t="shared" ca="1" si="23"/>
        <v>4620.7032631720476</v>
      </c>
      <c r="M77" s="6">
        <f t="shared" si="24"/>
        <v>10108635.953717459</v>
      </c>
      <c r="N77" s="6">
        <f t="shared" si="25"/>
        <v>-377693.35843155527</v>
      </c>
      <c r="O77" s="6">
        <f t="shared" si="26"/>
        <v>0</v>
      </c>
      <c r="P77" s="6">
        <f t="shared" si="30"/>
        <v>0</v>
      </c>
      <c r="Q77" s="6">
        <f t="shared" ca="1" si="27"/>
        <v>10211493.871832145</v>
      </c>
      <c r="R77" s="6">
        <f t="shared" ca="1" si="28"/>
        <v>963606.11721203849</v>
      </c>
      <c r="S77" s="15">
        <f t="shared" ca="1" si="29"/>
        <v>0.10419742786460998</v>
      </c>
    </row>
    <row r="78" spans="1:19">
      <c r="A78" s="20">
        <f>'Monthly Data'!A78</f>
        <v>43221</v>
      </c>
      <c r="B78">
        <f t="shared" si="20"/>
        <v>5</v>
      </c>
      <c r="C78">
        <f t="shared" si="21"/>
        <v>2018</v>
      </c>
      <c r="D78" s="6">
        <f>'Monthly Data'!S78</f>
        <v>9898713.6104201023</v>
      </c>
      <c r="E78" s="7">
        <f t="shared" ca="1" si="11"/>
        <v>42.72</v>
      </c>
      <c r="F78">
        <f>'Monthly Data'!CF78</f>
        <v>31</v>
      </c>
      <c r="G78">
        <f>'Monthly Data'!BN78</f>
        <v>77</v>
      </c>
      <c r="H78">
        <f>'Monthly Data'!CB78</f>
        <v>0</v>
      </c>
      <c r="I78">
        <f>'Monthly Data'!CJ78</f>
        <v>0</v>
      </c>
      <c r="K78" s="6">
        <f t="shared" si="22"/>
        <v>475930.57328307</v>
      </c>
      <c r="L78" s="6">
        <f t="shared" ca="1" si="23"/>
        <v>146219.58770571099</v>
      </c>
      <c r="M78" s="6">
        <f t="shared" si="24"/>
        <v>10445590.485508041</v>
      </c>
      <c r="N78" s="6">
        <f t="shared" si="25"/>
        <v>-382663.00788460206</v>
      </c>
      <c r="O78" s="6">
        <f t="shared" si="26"/>
        <v>0</v>
      </c>
      <c r="P78" s="6">
        <f t="shared" si="30"/>
        <v>0</v>
      </c>
      <c r="Q78" s="6">
        <f t="shared" ca="1" si="27"/>
        <v>10685077.638612222</v>
      </c>
      <c r="R78" s="6">
        <f t="shared" ca="1" si="28"/>
        <v>786364.02819211967</v>
      </c>
      <c r="S78" s="15">
        <f t="shared" ca="1" si="29"/>
        <v>7.9441032354379465E-2</v>
      </c>
    </row>
    <row r="79" spans="1:19">
      <c r="A79" s="20">
        <f>'Monthly Data'!A79</f>
        <v>43252</v>
      </c>
      <c r="B79">
        <f t="shared" si="20"/>
        <v>6</v>
      </c>
      <c r="C79">
        <f t="shared" si="21"/>
        <v>2018</v>
      </c>
      <c r="D79" s="6">
        <f>'Monthly Data'!S79</f>
        <v>10266712.966820106</v>
      </c>
      <c r="E79" s="7">
        <f t="shared" ref="E79:E142" ca="1" si="31">E67</f>
        <v>97.63000000000001</v>
      </c>
      <c r="F79">
        <f>'Monthly Data'!CF79</f>
        <v>30</v>
      </c>
      <c r="G79">
        <f>'Monthly Data'!BN79</f>
        <v>78</v>
      </c>
      <c r="H79">
        <f>'Monthly Data'!CB79</f>
        <v>0</v>
      </c>
      <c r="I79">
        <f>'Monthly Data'!CJ79</f>
        <v>0</v>
      </c>
      <c r="K79" s="6">
        <f t="shared" si="22"/>
        <v>475930.57328307</v>
      </c>
      <c r="L79" s="6">
        <f t="shared" ca="1" si="23"/>
        <v>334162.41450628667</v>
      </c>
      <c r="M79" s="6">
        <f t="shared" si="24"/>
        <v>10108635.953717459</v>
      </c>
      <c r="N79" s="6">
        <f t="shared" si="25"/>
        <v>-387632.65733764885</v>
      </c>
      <c r="O79" s="6">
        <f t="shared" si="26"/>
        <v>0</v>
      </c>
      <c r="P79" s="6">
        <f t="shared" si="30"/>
        <v>0</v>
      </c>
      <c r="Q79" s="6">
        <f t="shared" ca="1" si="27"/>
        <v>10531096.284169167</v>
      </c>
      <c r="R79" s="6">
        <f t="shared" ca="1" si="28"/>
        <v>264383.31734906137</v>
      </c>
      <c r="S79" s="15">
        <f t="shared" ca="1" si="29"/>
        <v>2.5751505686726961E-2</v>
      </c>
    </row>
    <row r="80" spans="1:19">
      <c r="A80" s="20">
        <f>'Monthly Data'!A80</f>
        <v>43282</v>
      </c>
      <c r="B80">
        <f t="shared" si="20"/>
        <v>7</v>
      </c>
      <c r="C80">
        <f t="shared" si="21"/>
        <v>2018</v>
      </c>
      <c r="D80" s="6">
        <f>'Monthly Data'!S80</f>
        <v>10897159.829020105</v>
      </c>
      <c r="E80" s="7">
        <f t="shared" ca="1" si="31"/>
        <v>172.46999999999997</v>
      </c>
      <c r="F80">
        <f>'Monthly Data'!CF80</f>
        <v>31</v>
      </c>
      <c r="G80">
        <f>'Monthly Data'!BN80</f>
        <v>79</v>
      </c>
      <c r="H80">
        <f>'Monthly Data'!CB80</f>
        <v>0</v>
      </c>
      <c r="I80">
        <f>'Monthly Data'!CJ80</f>
        <v>0</v>
      </c>
      <c r="K80" s="6">
        <f t="shared" si="22"/>
        <v>475930.57328307</v>
      </c>
      <c r="L80" s="6">
        <f t="shared" ca="1" si="23"/>
        <v>590320.51244391315</v>
      </c>
      <c r="M80" s="6">
        <f t="shared" si="24"/>
        <v>10445590.485508041</v>
      </c>
      <c r="N80" s="6">
        <f t="shared" si="25"/>
        <v>-392602.30679069558</v>
      </c>
      <c r="O80" s="6">
        <f t="shared" si="26"/>
        <v>0</v>
      </c>
      <c r="P80" s="6">
        <f t="shared" si="30"/>
        <v>0</v>
      </c>
      <c r="Q80" s="6">
        <f t="shared" ca="1" si="27"/>
        <v>11119239.264444329</v>
      </c>
      <c r="R80" s="6">
        <f t="shared" ca="1" si="28"/>
        <v>222079.43542422354</v>
      </c>
      <c r="S80" s="15">
        <f t="shared" ca="1" si="29"/>
        <v>2.0379570356746191E-2</v>
      </c>
    </row>
    <row r="81" spans="1:19">
      <c r="A81" s="20">
        <f>'Monthly Data'!A81</f>
        <v>43313</v>
      </c>
      <c r="B81">
        <f t="shared" si="20"/>
        <v>8</v>
      </c>
      <c r="C81">
        <f t="shared" si="21"/>
        <v>2018</v>
      </c>
      <c r="D81" s="6">
        <f>'Monthly Data'!S81</f>
        <v>11401005.786220107</v>
      </c>
      <c r="E81" s="7">
        <f t="shared" ca="1" si="31"/>
        <v>155.49999999999997</v>
      </c>
      <c r="F81">
        <f>'Monthly Data'!CF81</f>
        <v>31</v>
      </c>
      <c r="G81">
        <f>'Monthly Data'!BN81</f>
        <v>80</v>
      </c>
      <c r="H81">
        <f>'Monthly Data'!CB81</f>
        <v>0</v>
      </c>
      <c r="I81">
        <f>'Monthly Data'!CJ81</f>
        <v>0</v>
      </c>
      <c r="K81" s="6">
        <f t="shared" si="22"/>
        <v>475930.57328307</v>
      </c>
      <c r="L81" s="6">
        <f t="shared" ca="1" si="23"/>
        <v>532236.56105426163</v>
      </c>
      <c r="M81" s="6">
        <f t="shared" si="24"/>
        <v>10445590.485508041</v>
      </c>
      <c r="N81" s="6">
        <f t="shared" si="25"/>
        <v>-397571.95624374237</v>
      </c>
      <c r="O81" s="6">
        <f t="shared" si="26"/>
        <v>0</v>
      </c>
      <c r="P81" s="6">
        <f t="shared" si="30"/>
        <v>0</v>
      </c>
      <c r="Q81" s="6">
        <f t="shared" ca="1" si="27"/>
        <v>11056185.663601631</v>
      </c>
      <c r="R81" s="6">
        <f t="shared" ca="1" si="28"/>
        <v>-344820.12261847593</v>
      </c>
      <c r="S81" s="15">
        <f t="shared" ca="1" si="29"/>
        <v>3.024471078115273E-2</v>
      </c>
    </row>
    <row r="82" spans="1:19">
      <c r="A82" s="20">
        <f>'Monthly Data'!A82</f>
        <v>43344</v>
      </c>
      <c r="B82">
        <f t="shared" si="20"/>
        <v>9</v>
      </c>
      <c r="C82">
        <f t="shared" si="21"/>
        <v>2018</v>
      </c>
      <c r="D82" s="6">
        <f>'Monthly Data'!S82</f>
        <v>10821083.914820107</v>
      </c>
      <c r="E82" s="7">
        <f t="shared" ca="1" si="31"/>
        <v>76.13</v>
      </c>
      <c r="F82">
        <f>'Monthly Data'!CF82</f>
        <v>30</v>
      </c>
      <c r="G82">
        <f>'Monthly Data'!BN82</f>
        <v>81</v>
      </c>
      <c r="H82">
        <f>'Monthly Data'!CB82</f>
        <v>0</v>
      </c>
      <c r="I82">
        <f>'Monthly Data'!CJ82</f>
        <v>0</v>
      </c>
      <c r="K82" s="6">
        <f t="shared" si="22"/>
        <v>475930.57328307</v>
      </c>
      <c r="L82" s="6">
        <f t="shared" ca="1" si="23"/>
        <v>260573.43661132437</v>
      </c>
      <c r="M82" s="6">
        <f t="shared" si="24"/>
        <v>10108635.953717459</v>
      </c>
      <c r="N82" s="6">
        <f t="shared" si="25"/>
        <v>-402541.60569678916</v>
      </c>
      <c r="O82" s="6">
        <f t="shared" si="26"/>
        <v>0</v>
      </c>
      <c r="P82" s="6">
        <f t="shared" si="30"/>
        <v>0</v>
      </c>
      <c r="Q82" s="6">
        <f t="shared" ca="1" si="27"/>
        <v>10442598.357915062</v>
      </c>
      <c r="R82" s="6">
        <f t="shared" ca="1" si="28"/>
        <v>-378485.55690504424</v>
      </c>
      <c r="S82" s="15">
        <f t="shared" ca="1" si="29"/>
        <v>3.4976677002447616E-2</v>
      </c>
    </row>
    <row r="83" spans="1:19">
      <c r="A83" s="20">
        <f>'Monthly Data'!A83</f>
        <v>43374</v>
      </c>
      <c r="B83">
        <f t="shared" si="20"/>
        <v>10</v>
      </c>
      <c r="C83">
        <f t="shared" si="21"/>
        <v>2018</v>
      </c>
      <c r="D83" s="6">
        <f>'Monthly Data'!S83</f>
        <v>10464975.140420105</v>
      </c>
      <c r="E83" s="7">
        <f t="shared" ca="1" si="31"/>
        <v>15.330000000000002</v>
      </c>
      <c r="F83">
        <f>'Monthly Data'!CF83</f>
        <v>31</v>
      </c>
      <c r="G83">
        <f>'Monthly Data'!BN83</f>
        <v>82</v>
      </c>
      <c r="H83">
        <f>'Monthly Data'!CB83</f>
        <v>0</v>
      </c>
      <c r="I83">
        <f>'Monthly Data'!CJ83</f>
        <v>0</v>
      </c>
      <c r="K83" s="6">
        <f t="shared" si="22"/>
        <v>475930.57328307</v>
      </c>
      <c r="L83" s="6">
        <f t="shared" ca="1" si="23"/>
        <v>52470.65261068703</v>
      </c>
      <c r="M83" s="6">
        <f t="shared" si="24"/>
        <v>10445590.485508041</v>
      </c>
      <c r="N83" s="6">
        <f t="shared" si="25"/>
        <v>-407511.25514983595</v>
      </c>
      <c r="O83" s="6">
        <f t="shared" si="26"/>
        <v>0</v>
      </c>
      <c r="P83" s="6">
        <f t="shared" si="30"/>
        <v>0</v>
      </c>
      <c r="Q83" s="6">
        <f t="shared" ca="1" si="27"/>
        <v>10566480.456251962</v>
      </c>
      <c r="R83" s="6">
        <f t="shared" ca="1" si="28"/>
        <v>101505.3158318568</v>
      </c>
      <c r="S83" s="15">
        <f t="shared" ca="1" si="29"/>
        <v>9.6995276596311131E-3</v>
      </c>
    </row>
    <row r="84" spans="1:19">
      <c r="A84" s="20">
        <f>'Monthly Data'!A84</f>
        <v>43405</v>
      </c>
      <c r="B84">
        <f t="shared" si="20"/>
        <v>11</v>
      </c>
      <c r="C84">
        <f t="shared" si="21"/>
        <v>2018</v>
      </c>
      <c r="D84" s="6">
        <f>'Monthly Data'!S84</f>
        <v>10468682.646420106</v>
      </c>
      <c r="E84" s="7">
        <f t="shared" ca="1" si="31"/>
        <v>0.76000000000000012</v>
      </c>
      <c r="F84">
        <f>'Monthly Data'!CF84</f>
        <v>30</v>
      </c>
      <c r="G84">
        <f>'Monthly Data'!BN84</f>
        <v>83</v>
      </c>
      <c r="H84">
        <f>'Monthly Data'!CB84</f>
        <v>0</v>
      </c>
      <c r="I84">
        <f>'Monthly Data'!CJ84</f>
        <v>0</v>
      </c>
      <c r="K84" s="6">
        <f t="shared" si="22"/>
        <v>475930.57328307</v>
      </c>
      <c r="L84" s="6">
        <f t="shared" ca="1" si="23"/>
        <v>2601.2848000079675</v>
      </c>
      <c r="M84" s="6">
        <f t="shared" si="24"/>
        <v>10108635.953717459</v>
      </c>
      <c r="N84" s="6">
        <f t="shared" si="25"/>
        <v>-412480.90460288274</v>
      </c>
      <c r="O84" s="6">
        <f t="shared" si="26"/>
        <v>0</v>
      </c>
      <c r="P84" s="6">
        <f t="shared" si="30"/>
        <v>0</v>
      </c>
      <c r="Q84" s="6">
        <f t="shared" ca="1" si="27"/>
        <v>10174686.907197654</v>
      </c>
      <c r="R84" s="6">
        <f t="shared" ca="1" si="28"/>
        <v>-293995.73922245204</v>
      </c>
      <c r="S84" s="15">
        <f t="shared" ca="1" si="29"/>
        <v>2.8083355771892415E-2</v>
      </c>
    </row>
    <row r="85" spans="1:19">
      <c r="A85" s="20">
        <f>'Monthly Data'!A85</f>
        <v>43435</v>
      </c>
      <c r="B85">
        <f t="shared" si="20"/>
        <v>12</v>
      </c>
      <c r="C85">
        <f t="shared" si="21"/>
        <v>2018</v>
      </c>
      <c r="D85" s="6">
        <f>'Monthly Data'!S85</f>
        <v>9918059.8559201062</v>
      </c>
      <c r="E85" s="7">
        <f t="shared" ca="1" si="31"/>
        <v>0</v>
      </c>
      <c r="F85">
        <f>'Monthly Data'!CF85</f>
        <v>31</v>
      </c>
      <c r="G85">
        <f>'Monthly Data'!BN85</f>
        <v>84</v>
      </c>
      <c r="H85">
        <f>'Monthly Data'!CB85</f>
        <v>1</v>
      </c>
      <c r="I85">
        <f>'Monthly Data'!CJ85</f>
        <v>0</v>
      </c>
      <c r="K85" s="6">
        <f t="shared" si="22"/>
        <v>475930.57328307</v>
      </c>
      <c r="L85" s="6">
        <f t="shared" ca="1" si="23"/>
        <v>0</v>
      </c>
      <c r="M85" s="6">
        <f t="shared" si="24"/>
        <v>10445590.485508041</v>
      </c>
      <c r="N85" s="6">
        <f t="shared" si="25"/>
        <v>-417450.55405592953</v>
      </c>
      <c r="O85" s="6">
        <f t="shared" si="26"/>
        <v>-634211.854533192</v>
      </c>
      <c r="P85" s="6">
        <f t="shared" si="30"/>
        <v>0</v>
      </c>
      <c r="Q85" s="6">
        <f t="shared" ca="1" si="27"/>
        <v>9869858.6502019912</v>
      </c>
      <c r="R85" s="6">
        <f t="shared" ca="1" si="28"/>
        <v>-48201.205718114972</v>
      </c>
      <c r="S85" s="15">
        <f t="shared" ca="1" si="29"/>
        <v>4.8599430148975756E-3</v>
      </c>
    </row>
    <row r="86" spans="1:19">
      <c r="A86" s="20">
        <f>'Monthly Data'!A86</f>
        <v>43466</v>
      </c>
      <c r="B86">
        <f t="shared" si="20"/>
        <v>1</v>
      </c>
      <c r="C86">
        <f t="shared" si="21"/>
        <v>2019</v>
      </c>
      <c r="D86" s="6">
        <f>'Monthly Data'!S86</f>
        <v>10580549.646441238</v>
      </c>
      <c r="E86" s="7">
        <f t="shared" ca="1" si="31"/>
        <v>0</v>
      </c>
      <c r="F86">
        <f>'Monthly Data'!CF86</f>
        <v>31</v>
      </c>
      <c r="G86">
        <f>'Monthly Data'!BN86</f>
        <v>85</v>
      </c>
      <c r="H86">
        <f>'Monthly Data'!CB86</f>
        <v>0</v>
      </c>
      <c r="I86">
        <f>'Monthly Data'!CJ86</f>
        <v>0</v>
      </c>
      <c r="K86" s="6">
        <f t="shared" si="22"/>
        <v>475930.57328307</v>
      </c>
      <c r="L86" s="6">
        <f t="shared" ca="1" si="23"/>
        <v>0</v>
      </c>
      <c r="M86" s="6">
        <f t="shared" si="24"/>
        <v>10445590.485508041</v>
      </c>
      <c r="N86" s="6">
        <f t="shared" si="25"/>
        <v>-422420.20350897626</v>
      </c>
      <c r="O86" s="6">
        <f t="shared" si="26"/>
        <v>0</v>
      </c>
      <c r="P86" s="6">
        <f t="shared" si="30"/>
        <v>0</v>
      </c>
      <c r="Q86" s="6">
        <f t="shared" ca="1" si="27"/>
        <v>10499100.855282135</v>
      </c>
      <c r="R86" s="6">
        <f t="shared" ca="1" si="28"/>
        <v>-81448.791159102693</v>
      </c>
      <c r="S86" s="15">
        <f t="shared" ca="1" si="29"/>
        <v>7.6979735345316345E-3</v>
      </c>
    </row>
    <row r="87" spans="1:19">
      <c r="A87" s="20">
        <f>'Monthly Data'!A87</f>
        <v>43497</v>
      </c>
      <c r="B87">
        <f t="shared" si="20"/>
        <v>2</v>
      </c>
      <c r="C87">
        <f t="shared" si="21"/>
        <v>2019</v>
      </c>
      <c r="D87" s="6">
        <f>'Monthly Data'!S87</f>
        <v>9087897.3551412392</v>
      </c>
      <c r="E87" s="7">
        <f t="shared" ca="1" si="31"/>
        <v>0</v>
      </c>
      <c r="F87">
        <f>'Monthly Data'!CF87</f>
        <v>28</v>
      </c>
      <c r="G87">
        <f>'Monthly Data'!BN87</f>
        <v>86</v>
      </c>
      <c r="H87">
        <f>'Monthly Data'!CB87</f>
        <v>0</v>
      </c>
      <c r="I87">
        <f>'Monthly Data'!CJ87</f>
        <v>0</v>
      </c>
      <c r="K87" s="6">
        <f t="shared" si="22"/>
        <v>475930.57328307</v>
      </c>
      <c r="L87" s="6">
        <f t="shared" ca="1" si="23"/>
        <v>0</v>
      </c>
      <c r="M87" s="6">
        <f t="shared" si="24"/>
        <v>9434726.8901362959</v>
      </c>
      <c r="N87" s="6">
        <f t="shared" si="25"/>
        <v>-427389.85296202305</v>
      </c>
      <c r="O87" s="6">
        <f t="shared" si="26"/>
        <v>0</v>
      </c>
      <c r="P87" s="6">
        <f t="shared" si="30"/>
        <v>0</v>
      </c>
      <c r="Q87" s="6">
        <f t="shared" ca="1" si="27"/>
        <v>9483267.610457344</v>
      </c>
      <c r="R87" s="6">
        <f t="shared" ca="1" si="28"/>
        <v>395370.25531610474</v>
      </c>
      <c r="S87" s="15">
        <f t="shared" ca="1" si="29"/>
        <v>4.3505140943568693E-2</v>
      </c>
    </row>
    <row r="88" spans="1:19">
      <c r="A88" s="20">
        <f>'Monthly Data'!A88</f>
        <v>43525</v>
      </c>
      <c r="B88">
        <f t="shared" si="20"/>
        <v>3</v>
      </c>
      <c r="C88">
        <f t="shared" si="21"/>
        <v>2019</v>
      </c>
      <c r="D88" s="6">
        <f>'Monthly Data'!S88</f>
        <v>10442893.534841239</v>
      </c>
      <c r="E88" s="7">
        <f t="shared" ca="1" si="31"/>
        <v>1.9999999999999928E-2</v>
      </c>
      <c r="F88">
        <f>'Monthly Data'!CF88</f>
        <v>31</v>
      </c>
      <c r="G88">
        <f>'Monthly Data'!BN88</f>
        <v>87</v>
      </c>
      <c r="H88">
        <f>'Monthly Data'!CB88</f>
        <v>0</v>
      </c>
      <c r="I88">
        <f>'Monthly Data'!CJ88</f>
        <v>0</v>
      </c>
      <c r="K88" s="6">
        <f t="shared" si="22"/>
        <v>475930.57328307</v>
      </c>
      <c r="L88" s="6">
        <f t="shared" ca="1" si="23"/>
        <v>68.454863158104146</v>
      </c>
      <c r="M88" s="6">
        <f t="shared" si="24"/>
        <v>10445590.485508041</v>
      </c>
      <c r="N88" s="6">
        <f t="shared" si="25"/>
        <v>-432359.50241506984</v>
      </c>
      <c r="O88" s="6">
        <f t="shared" si="26"/>
        <v>0</v>
      </c>
      <c r="P88" s="6">
        <f t="shared" si="30"/>
        <v>0</v>
      </c>
      <c r="Q88" s="6">
        <f t="shared" ca="1" si="27"/>
        <v>10489230.011239199</v>
      </c>
      <c r="R88" s="6">
        <f t="shared" ca="1" si="28"/>
        <v>46336.476397959515</v>
      </c>
      <c r="S88" s="15">
        <f t="shared" ca="1" si="29"/>
        <v>4.4371300198900246E-3</v>
      </c>
    </row>
    <row r="89" spans="1:19">
      <c r="A89" s="20">
        <f>'Monthly Data'!A89</f>
        <v>43556</v>
      </c>
      <c r="B89">
        <f t="shared" si="20"/>
        <v>4</v>
      </c>
      <c r="C89">
        <f t="shared" si="21"/>
        <v>2019</v>
      </c>
      <c r="D89" s="6">
        <f>'Monthly Data'!S89</f>
        <v>9711950.3278412391</v>
      </c>
      <c r="E89" s="7">
        <f t="shared" ca="1" si="31"/>
        <v>1.3500000000000003</v>
      </c>
      <c r="F89">
        <f>'Monthly Data'!CF89</f>
        <v>30</v>
      </c>
      <c r="G89">
        <f>'Monthly Data'!BN89</f>
        <v>88</v>
      </c>
      <c r="H89">
        <f>'Monthly Data'!CB89</f>
        <v>0</v>
      </c>
      <c r="I89">
        <f>'Monthly Data'!CJ89</f>
        <v>0</v>
      </c>
      <c r="K89" s="6">
        <f t="shared" si="22"/>
        <v>475930.57328307</v>
      </c>
      <c r="L89" s="6">
        <f t="shared" ca="1" si="23"/>
        <v>4620.7032631720476</v>
      </c>
      <c r="M89" s="6">
        <f t="shared" si="24"/>
        <v>10108635.953717459</v>
      </c>
      <c r="N89" s="6">
        <f t="shared" si="25"/>
        <v>-437329.15186811663</v>
      </c>
      <c r="O89" s="6">
        <f t="shared" si="26"/>
        <v>0</v>
      </c>
      <c r="P89" s="6">
        <f t="shared" si="30"/>
        <v>0</v>
      </c>
      <c r="Q89" s="6">
        <f t="shared" ca="1" si="27"/>
        <v>10151858.078395585</v>
      </c>
      <c r="R89" s="6">
        <f t="shared" ca="1" si="28"/>
        <v>439907.75055434555</v>
      </c>
      <c r="S89" s="15">
        <f t="shared" ca="1" si="29"/>
        <v>4.5295510757840517E-2</v>
      </c>
    </row>
    <row r="90" spans="1:19">
      <c r="A90" s="20">
        <f>'Monthly Data'!A90</f>
        <v>43586</v>
      </c>
      <c r="B90">
        <f t="shared" si="20"/>
        <v>5</v>
      </c>
      <c r="C90">
        <f t="shared" si="21"/>
        <v>2019</v>
      </c>
      <c r="D90" s="6">
        <f>'Monthly Data'!S90</f>
        <v>10564339.08304124</v>
      </c>
      <c r="E90" s="7">
        <f t="shared" ca="1" si="31"/>
        <v>42.72</v>
      </c>
      <c r="F90">
        <f>'Monthly Data'!CF90</f>
        <v>31</v>
      </c>
      <c r="G90">
        <f>'Monthly Data'!BN90</f>
        <v>89</v>
      </c>
      <c r="H90">
        <f>'Monthly Data'!CB90</f>
        <v>0</v>
      </c>
      <c r="I90">
        <f>'Monthly Data'!CJ90</f>
        <v>0</v>
      </c>
      <c r="K90" s="6">
        <f t="shared" si="22"/>
        <v>475930.57328307</v>
      </c>
      <c r="L90" s="6">
        <f t="shared" ca="1" si="23"/>
        <v>146219.58770571099</v>
      </c>
      <c r="M90" s="6">
        <f t="shared" si="24"/>
        <v>10445590.485508041</v>
      </c>
      <c r="N90" s="6">
        <f t="shared" si="25"/>
        <v>-442298.80132116342</v>
      </c>
      <c r="O90" s="6">
        <f t="shared" si="26"/>
        <v>0</v>
      </c>
      <c r="P90" s="6">
        <f t="shared" si="30"/>
        <v>0</v>
      </c>
      <c r="Q90" s="6">
        <f t="shared" ca="1" si="27"/>
        <v>10625441.845175659</v>
      </c>
      <c r="R90" s="6">
        <f t="shared" ca="1" si="28"/>
        <v>61102.762134419754</v>
      </c>
      <c r="S90" s="15">
        <f t="shared" ca="1" si="29"/>
        <v>5.7838698336090911E-3</v>
      </c>
    </row>
    <row r="91" spans="1:19">
      <c r="A91" s="20">
        <f>'Monthly Data'!A91</f>
        <v>43617</v>
      </c>
      <c r="B91">
        <f t="shared" si="20"/>
        <v>6</v>
      </c>
      <c r="C91">
        <f t="shared" si="21"/>
        <v>2019</v>
      </c>
      <c r="D91" s="6">
        <f>'Monthly Data'!S91</f>
        <v>10143892.84824124</v>
      </c>
      <c r="E91" s="7">
        <f t="shared" ca="1" si="31"/>
        <v>97.63000000000001</v>
      </c>
      <c r="F91">
        <f>'Monthly Data'!CF91</f>
        <v>30</v>
      </c>
      <c r="G91">
        <f>'Monthly Data'!BN91</f>
        <v>90</v>
      </c>
      <c r="H91">
        <f>'Monthly Data'!CB91</f>
        <v>0</v>
      </c>
      <c r="I91">
        <f>'Monthly Data'!CJ91</f>
        <v>0</v>
      </c>
      <c r="K91" s="6">
        <f t="shared" si="22"/>
        <v>475930.57328307</v>
      </c>
      <c r="L91" s="6">
        <f t="shared" ca="1" si="23"/>
        <v>334162.41450628667</v>
      </c>
      <c r="M91" s="6">
        <f t="shared" si="24"/>
        <v>10108635.953717459</v>
      </c>
      <c r="N91" s="6">
        <f t="shared" si="25"/>
        <v>-447268.45077421021</v>
      </c>
      <c r="O91" s="6">
        <f t="shared" si="26"/>
        <v>0</v>
      </c>
      <c r="P91" s="6">
        <f t="shared" si="30"/>
        <v>0</v>
      </c>
      <c r="Q91" s="6">
        <f t="shared" ca="1" si="27"/>
        <v>10471460.490732607</v>
      </c>
      <c r="R91" s="6">
        <f t="shared" ca="1" si="28"/>
        <v>327567.64249136671</v>
      </c>
      <c r="S91" s="15">
        <f t="shared" ca="1" si="29"/>
        <v>3.2292103967576979E-2</v>
      </c>
    </row>
    <row r="92" spans="1:19">
      <c r="A92" s="20">
        <f>'Monthly Data'!A92</f>
        <v>43647</v>
      </c>
      <c r="B92">
        <f t="shared" si="20"/>
        <v>7</v>
      </c>
      <c r="C92">
        <f t="shared" si="21"/>
        <v>2019</v>
      </c>
      <c r="D92" s="6">
        <f>'Monthly Data'!S92</f>
        <v>11027370.031341238</v>
      </c>
      <c r="E92" s="7">
        <f t="shared" ca="1" si="31"/>
        <v>172.46999999999997</v>
      </c>
      <c r="F92">
        <f>'Monthly Data'!CF92</f>
        <v>31</v>
      </c>
      <c r="G92">
        <f>'Monthly Data'!BN92</f>
        <v>91</v>
      </c>
      <c r="H92">
        <f>'Monthly Data'!CB92</f>
        <v>0</v>
      </c>
      <c r="I92">
        <f>'Monthly Data'!CJ92</f>
        <v>0</v>
      </c>
      <c r="K92" s="6">
        <f t="shared" si="22"/>
        <v>475930.57328307</v>
      </c>
      <c r="L92" s="6">
        <f t="shared" ca="1" si="23"/>
        <v>590320.51244391315</v>
      </c>
      <c r="M92" s="6">
        <f t="shared" si="24"/>
        <v>10445590.485508041</v>
      </c>
      <c r="N92" s="6">
        <f t="shared" si="25"/>
        <v>-452238.10022725695</v>
      </c>
      <c r="O92" s="6">
        <f t="shared" si="26"/>
        <v>0</v>
      </c>
      <c r="P92" s="6">
        <f t="shared" si="30"/>
        <v>0</v>
      </c>
      <c r="Q92" s="6">
        <f t="shared" ca="1" si="27"/>
        <v>11059603.471007768</v>
      </c>
      <c r="R92" s="6">
        <f t="shared" ca="1" si="28"/>
        <v>32233.439666530117</v>
      </c>
      <c r="S92" s="15">
        <f t="shared" ca="1" si="29"/>
        <v>2.9230396345564205E-3</v>
      </c>
    </row>
    <row r="93" spans="1:19">
      <c r="A93" s="20">
        <f>'Monthly Data'!A93</f>
        <v>43678</v>
      </c>
      <c r="B93">
        <f t="shared" si="20"/>
        <v>8</v>
      </c>
      <c r="C93">
        <f t="shared" si="21"/>
        <v>2019</v>
      </c>
      <c r="D93" s="6">
        <f>'Monthly Data'!S93</f>
        <v>11094807.338341238</v>
      </c>
      <c r="E93" s="7">
        <f t="shared" ca="1" si="31"/>
        <v>155.49999999999997</v>
      </c>
      <c r="F93">
        <f>'Monthly Data'!CF93</f>
        <v>31</v>
      </c>
      <c r="G93">
        <f>'Monthly Data'!BN93</f>
        <v>92</v>
      </c>
      <c r="H93">
        <f>'Monthly Data'!CB93</f>
        <v>0</v>
      </c>
      <c r="I93">
        <f>'Monthly Data'!CJ93</f>
        <v>0</v>
      </c>
      <c r="K93" s="6">
        <f t="shared" si="22"/>
        <v>475930.57328307</v>
      </c>
      <c r="L93" s="6">
        <f t="shared" ca="1" si="23"/>
        <v>532236.56105426163</v>
      </c>
      <c r="M93" s="6">
        <f t="shared" si="24"/>
        <v>10445590.485508041</v>
      </c>
      <c r="N93" s="6">
        <f t="shared" si="25"/>
        <v>-457207.74968030374</v>
      </c>
      <c r="O93" s="6">
        <f t="shared" si="26"/>
        <v>0</v>
      </c>
      <c r="P93" s="6">
        <f t="shared" si="30"/>
        <v>0</v>
      </c>
      <c r="Q93" s="6">
        <f t="shared" ca="1" si="27"/>
        <v>10996549.870165071</v>
      </c>
      <c r="R93" s="6">
        <f t="shared" ca="1" si="28"/>
        <v>-98257.468176167458</v>
      </c>
      <c r="S93" s="15">
        <f t="shared" ca="1" si="29"/>
        <v>8.8561671401549309E-3</v>
      </c>
    </row>
    <row r="94" spans="1:19">
      <c r="A94" s="20">
        <f>'Monthly Data'!A94</f>
        <v>43709</v>
      </c>
      <c r="B94">
        <f t="shared" si="20"/>
        <v>9</v>
      </c>
      <c r="C94">
        <f t="shared" si="21"/>
        <v>2019</v>
      </c>
      <c r="D94" s="6">
        <f>'Monthly Data'!S94</f>
        <v>10437974.525241239</v>
      </c>
      <c r="E94" s="7">
        <f t="shared" ca="1" si="31"/>
        <v>76.13</v>
      </c>
      <c r="F94">
        <f>'Monthly Data'!CF94</f>
        <v>30</v>
      </c>
      <c r="G94">
        <f>'Monthly Data'!BN94</f>
        <v>93</v>
      </c>
      <c r="H94">
        <f>'Monthly Data'!CB94</f>
        <v>0</v>
      </c>
      <c r="I94">
        <f>'Monthly Data'!CJ94</f>
        <v>0</v>
      </c>
      <c r="K94" s="6">
        <f t="shared" si="22"/>
        <v>475930.57328307</v>
      </c>
      <c r="L94" s="6">
        <f t="shared" ca="1" si="23"/>
        <v>260573.43661132437</v>
      </c>
      <c r="M94" s="6">
        <f t="shared" si="24"/>
        <v>10108635.953717459</v>
      </c>
      <c r="N94" s="6">
        <f t="shared" si="25"/>
        <v>-462177.39913335053</v>
      </c>
      <c r="O94" s="6">
        <f t="shared" si="26"/>
        <v>0</v>
      </c>
      <c r="P94" s="6">
        <f t="shared" si="30"/>
        <v>0</v>
      </c>
      <c r="Q94" s="6">
        <f t="shared" ca="1" si="27"/>
        <v>10382962.564478502</v>
      </c>
      <c r="R94" s="6">
        <f t="shared" ca="1" si="28"/>
        <v>-55011.960762737319</v>
      </c>
      <c r="S94" s="15">
        <f t="shared" ca="1" si="29"/>
        <v>5.270367409855879E-3</v>
      </c>
    </row>
    <row r="95" spans="1:19">
      <c r="A95" s="20">
        <f>'Monthly Data'!A95</f>
        <v>43739</v>
      </c>
      <c r="B95">
        <f t="shared" si="20"/>
        <v>10</v>
      </c>
      <c r="C95">
        <f t="shared" si="21"/>
        <v>2019</v>
      </c>
      <c r="D95" s="6">
        <f>'Monthly Data'!S95</f>
        <v>9493542.1670412384</v>
      </c>
      <c r="E95" s="7">
        <f t="shared" ca="1" si="31"/>
        <v>15.330000000000002</v>
      </c>
      <c r="F95">
        <f>'Monthly Data'!CF95</f>
        <v>31</v>
      </c>
      <c r="G95">
        <f>'Monthly Data'!BN95</f>
        <v>94</v>
      </c>
      <c r="H95">
        <f>'Monthly Data'!CB95</f>
        <v>0</v>
      </c>
      <c r="I95">
        <f>'Monthly Data'!CJ95</f>
        <v>0</v>
      </c>
      <c r="K95" s="6">
        <f t="shared" si="22"/>
        <v>475930.57328307</v>
      </c>
      <c r="L95" s="6">
        <f t="shared" ca="1" si="23"/>
        <v>52470.65261068703</v>
      </c>
      <c r="M95" s="6">
        <f t="shared" si="24"/>
        <v>10445590.485508041</v>
      </c>
      <c r="N95" s="6">
        <f t="shared" si="25"/>
        <v>-467147.04858639732</v>
      </c>
      <c r="O95" s="6">
        <f t="shared" si="26"/>
        <v>0</v>
      </c>
      <c r="P95" s="6">
        <f t="shared" si="30"/>
        <v>0</v>
      </c>
      <c r="Q95" s="6">
        <f t="shared" ca="1" si="27"/>
        <v>10506844.662815401</v>
      </c>
      <c r="R95" s="6">
        <f t="shared" ca="1" si="28"/>
        <v>1013302.4957741629</v>
      </c>
      <c r="S95" s="15">
        <f t="shared" ca="1" si="29"/>
        <v>0.10673597672447788</v>
      </c>
    </row>
    <row r="96" spans="1:19">
      <c r="A96" s="20">
        <f>'Monthly Data'!A96</f>
        <v>43770</v>
      </c>
      <c r="B96">
        <f t="shared" si="20"/>
        <v>11</v>
      </c>
      <c r="C96">
        <f t="shared" si="21"/>
        <v>2019</v>
      </c>
      <c r="D96" s="6">
        <f>'Monthly Data'!S96</f>
        <v>10128962.257941239</v>
      </c>
      <c r="E96" s="7">
        <f t="shared" ca="1" si="31"/>
        <v>0.76000000000000012</v>
      </c>
      <c r="F96">
        <f>'Monthly Data'!CF96</f>
        <v>30</v>
      </c>
      <c r="G96">
        <f>'Monthly Data'!BN96</f>
        <v>95</v>
      </c>
      <c r="H96">
        <f>'Monthly Data'!CB96</f>
        <v>0</v>
      </c>
      <c r="I96">
        <f>'Monthly Data'!CJ96</f>
        <v>0</v>
      </c>
      <c r="K96" s="6">
        <f t="shared" si="22"/>
        <v>475930.57328307</v>
      </c>
      <c r="L96" s="6">
        <f t="shared" ca="1" si="23"/>
        <v>2601.2848000079675</v>
      </c>
      <c r="M96" s="6">
        <f t="shared" si="24"/>
        <v>10108635.953717459</v>
      </c>
      <c r="N96" s="6">
        <f t="shared" si="25"/>
        <v>-472116.69803944411</v>
      </c>
      <c r="O96" s="6">
        <f t="shared" si="26"/>
        <v>0</v>
      </c>
      <c r="P96" s="6">
        <f t="shared" si="30"/>
        <v>0</v>
      </c>
      <c r="Q96" s="6">
        <f t="shared" ca="1" si="27"/>
        <v>10115051.113761093</v>
      </c>
      <c r="R96" s="6">
        <f t="shared" ca="1" si="28"/>
        <v>-13911.144180145115</v>
      </c>
      <c r="S96" s="15">
        <f t="shared" ca="1" si="29"/>
        <v>1.3734027066038869E-3</v>
      </c>
    </row>
    <row r="97" spans="1:19">
      <c r="A97" s="20">
        <f>'Monthly Data'!A97</f>
        <v>43800</v>
      </c>
      <c r="B97">
        <f t="shared" si="20"/>
        <v>12</v>
      </c>
      <c r="C97">
        <f t="shared" si="21"/>
        <v>2019</v>
      </c>
      <c r="D97" s="6">
        <f>'Monthly Data'!S97</f>
        <v>9547978.0903412383</v>
      </c>
      <c r="E97" s="7">
        <f t="shared" ca="1" si="31"/>
        <v>0</v>
      </c>
      <c r="F97">
        <f>'Monthly Data'!CF97</f>
        <v>31</v>
      </c>
      <c r="G97">
        <f>'Monthly Data'!BN97</f>
        <v>96</v>
      </c>
      <c r="H97">
        <f>'Monthly Data'!CB97</f>
        <v>1</v>
      </c>
      <c r="I97">
        <f>'Monthly Data'!CJ97</f>
        <v>0</v>
      </c>
      <c r="K97" s="6">
        <f t="shared" si="22"/>
        <v>475930.57328307</v>
      </c>
      <c r="L97" s="6">
        <f t="shared" ca="1" si="23"/>
        <v>0</v>
      </c>
      <c r="M97" s="6">
        <f t="shared" si="24"/>
        <v>10445590.485508041</v>
      </c>
      <c r="N97" s="6">
        <f t="shared" si="25"/>
        <v>-477086.3474924909</v>
      </c>
      <c r="O97" s="6">
        <f t="shared" si="26"/>
        <v>-634211.854533192</v>
      </c>
      <c r="P97" s="6">
        <f t="shared" si="30"/>
        <v>0</v>
      </c>
      <c r="Q97" s="6">
        <f t="shared" ca="1" si="27"/>
        <v>9810222.8567654304</v>
      </c>
      <c r="R97" s="6">
        <f t="shared" ca="1" si="28"/>
        <v>262244.76642419212</v>
      </c>
      <c r="S97" s="15">
        <f t="shared" ca="1" si="29"/>
        <v>2.746600002041057E-2</v>
      </c>
    </row>
    <row r="98" spans="1:19">
      <c r="A98" s="20">
        <f>'Monthly Data'!A98</f>
        <v>43831</v>
      </c>
      <c r="B98">
        <f t="shared" ref="B98:B121" si="32">MONTH(A98)</f>
        <v>1</v>
      </c>
      <c r="C98">
        <f t="shared" ref="C98:C121" si="33">YEAR(A98)</f>
        <v>2020</v>
      </c>
      <c r="D98" s="6">
        <f>'Monthly Data'!S98</f>
        <v>9921631.7113578096</v>
      </c>
      <c r="E98" s="7">
        <f t="shared" ca="1" si="31"/>
        <v>0</v>
      </c>
      <c r="F98">
        <f>'Monthly Data'!CF98</f>
        <v>31</v>
      </c>
      <c r="G98">
        <f>'Monthly Data'!BN98</f>
        <v>97</v>
      </c>
      <c r="H98">
        <f>'Monthly Data'!CB98</f>
        <v>0</v>
      </c>
      <c r="I98">
        <f>'Monthly Data'!CJ98</f>
        <v>0</v>
      </c>
      <c r="K98" s="6">
        <f t="shared" ref="K98:K129" si="34">$V$7</f>
        <v>475930.57328307</v>
      </c>
      <c r="L98" s="6">
        <f t="shared" ref="L98:L129" ca="1" si="35">E98*$V$8</f>
        <v>0</v>
      </c>
      <c r="M98" s="6">
        <f t="shared" ref="M98:M129" si="36">F98*$V$9</f>
        <v>10445590.485508041</v>
      </c>
      <c r="N98" s="6">
        <f t="shared" ref="N98:N129" si="37">G98*$V$10</f>
        <v>-482055.99694553763</v>
      </c>
      <c r="O98" s="6">
        <f t="shared" ref="O98:O129" si="38">H98*$V$11</f>
        <v>0</v>
      </c>
      <c r="P98" s="6">
        <f t="shared" si="30"/>
        <v>0</v>
      </c>
      <c r="Q98" s="6">
        <f t="shared" ref="Q98:Q129" ca="1" si="39">SUM(K98:P98)</f>
        <v>10439465.061845575</v>
      </c>
      <c r="R98" s="6">
        <f t="shared" ref="R98:R121" ca="1" si="40">Q98-D98</f>
        <v>517833.35048776492</v>
      </c>
      <c r="S98" s="15">
        <f t="shared" ref="S98:S121" ca="1" si="41">ABS(Q98-D98)/D98</f>
        <v>5.219235762349192E-2</v>
      </c>
    </row>
    <row r="99" spans="1:19">
      <c r="A99" s="20">
        <f>'Monthly Data'!A99</f>
        <v>43862</v>
      </c>
      <c r="B99">
        <f t="shared" si="32"/>
        <v>2</v>
      </c>
      <c r="C99">
        <f t="shared" si="33"/>
        <v>2020</v>
      </c>
      <c r="D99" s="6">
        <f>'Monthly Data'!S99</f>
        <v>9277118.9465578087</v>
      </c>
      <c r="E99" s="7">
        <f t="shared" ca="1" si="31"/>
        <v>0</v>
      </c>
      <c r="F99">
        <f>'Monthly Data'!CF99</f>
        <v>29</v>
      </c>
      <c r="G99">
        <f>'Monthly Data'!BN99</f>
        <v>98</v>
      </c>
      <c r="H99">
        <f>'Monthly Data'!CB99</f>
        <v>0</v>
      </c>
      <c r="I99">
        <f>'Monthly Data'!CJ99</f>
        <v>0</v>
      </c>
      <c r="K99" s="6">
        <f t="shared" si="34"/>
        <v>475930.57328307</v>
      </c>
      <c r="L99" s="6">
        <f t="shared" ca="1" si="35"/>
        <v>0</v>
      </c>
      <c r="M99" s="6">
        <f t="shared" si="36"/>
        <v>9771681.4219268784</v>
      </c>
      <c r="N99" s="6">
        <f t="shared" si="37"/>
        <v>-487025.64639858442</v>
      </c>
      <c r="O99" s="6">
        <f t="shared" si="38"/>
        <v>0</v>
      </c>
      <c r="P99" s="6">
        <f t="shared" si="30"/>
        <v>0</v>
      </c>
      <c r="Q99" s="6">
        <f t="shared" ca="1" si="39"/>
        <v>9760586.3488113638</v>
      </c>
      <c r="R99" s="6">
        <f t="shared" ca="1" si="40"/>
        <v>483467.40225355513</v>
      </c>
      <c r="S99" s="15">
        <f t="shared" ca="1" si="41"/>
        <v>5.2113959628914894E-2</v>
      </c>
    </row>
    <row r="100" spans="1:19">
      <c r="A100" s="20">
        <f>'Monthly Data'!A100</f>
        <v>43891</v>
      </c>
      <c r="B100">
        <f t="shared" si="32"/>
        <v>3</v>
      </c>
      <c r="C100">
        <f t="shared" si="33"/>
        <v>2020</v>
      </c>
      <c r="D100" s="6">
        <f>'Monthly Data'!S100</f>
        <v>9069482.4465578087</v>
      </c>
      <c r="E100" s="7">
        <f t="shared" ca="1" si="31"/>
        <v>1.9999999999999928E-2</v>
      </c>
      <c r="F100">
        <f>'Monthly Data'!CF100</f>
        <v>31</v>
      </c>
      <c r="G100">
        <f>'Monthly Data'!BN100</f>
        <v>99</v>
      </c>
      <c r="H100">
        <f>'Monthly Data'!CB100</f>
        <v>0</v>
      </c>
      <c r="I100">
        <f>'Monthly Data'!CJ100</f>
        <v>0.5</v>
      </c>
      <c r="K100" s="6">
        <f t="shared" si="34"/>
        <v>475930.57328307</v>
      </c>
      <c r="L100" s="6">
        <f t="shared" ca="1" si="35"/>
        <v>68.454863158104146</v>
      </c>
      <c r="M100" s="6">
        <f t="shared" si="36"/>
        <v>10445590.485508041</v>
      </c>
      <c r="N100" s="6">
        <f t="shared" si="37"/>
        <v>-491995.29585163121</v>
      </c>
      <c r="O100" s="6">
        <f t="shared" si="38"/>
        <v>0</v>
      </c>
      <c r="P100" s="6">
        <f t="shared" si="30"/>
        <v>-1321576.1947862201</v>
      </c>
      <c r="Q100" s="6">
        <f t="shared" ca="1" si="39"/>
        <v>9108018.0230164174</v>
      </c>
      <c r="R100" s="6">
        <f t="shared" ca="1" si="40"/>
        <v>38535.576458608732</v>
      </c>
      <c r="S100" s="15">
        <f t="shared" ca="1" si="41"/>
        <v>4.2489278396734042E-3</v>
      </c>
    </row>
    <row r="101" spans="1:19">
      <c r="A101" s="20">
        <f>'Monthly Data'!A101</f>
        <v>43922</v>
      </c>
      <c r="B101">
        <f t="shared" si="32"/>
        <v>4</v>
      </c>
      <c r="C101">
        <f t="shared" si="33"/>
        <v>2020</v>
      </c>
      <c r="D101" s="6">
        <f>'Monthly Data'!S101</f>
        <v>6993046.1341578094</v>
      </c>
      <c r="E101" s="7">
        <f t="shared" ca="1" si="31"/>
        <v>1.3500000000000003</v>
      </c>
      <c r="F101">
        <f>'Monthly Data'!CF101</f>
        <v>30</v>
      </c>
      <c r="G101">
        <f>'Monthly Data'!BN101</f>
        <v>100</v>
      </c>
      <c r="H101">
        <f>'Monthly Data'!CB101</f>
        <v>0</v>
      </c>
      <c r="I101">
        <f>'Monthly Data'!CJ101</f>
        <v>1</v>
      </c>
      <c r="K101" s="6">
        <f t="shared" si="34"/>
        <v>475930.57328307</v>
      </c>
      <c r="L101" s="6">
        <f t="shared" ca="1" si="35"/>
        <v>4620.7032631720476</v>
      </c>
      <c r="M101" s="6">
        <f t="shared" si="36"/>
        <v>10108635.953717459</v>
      </c>
      <c r="N101" s="6">
        <f t="shared" si="37"/>
        <v>-496964.945304678</v>
      </c>
      <c r="O101" s="6">
        <f t="shared" si="38"/>
        <v>0</v>
      </c>
      <c r="P101" s="6">
        <f t="shared" si="30"/>
        <v>-2643152.3895724402</v>
      </c>
      <c r="Q101" s="6">
        <f t="shared" ca="1" si="39"/>
        <v>7449069.8953865822</v>
      </c>
      <c r="R101" s="6">
        <f t="shared" ca="1" si="40"/>
        <v>456023.76122877281</v>
      </c>
      <c r="S101" s="15">
        <f t="shared" ca="1" si="41"/>
        <v>6.5211032857527815E-2</v>
      </c>
    </row>
    <row r="102" spans="1:19">
      <c r="A102" s="20">
        <f>'Monthly Data'!A102</f>
        <v>43952</v>
      </c>
      <c r="B102">
        <f t="shared" si="32"/>
        <v>5</v>
      </c>
      <c r="C102">
        <f t="shared" si="33"/>
        <v>2020</v>
      </c>
      <c r="D102" s="6">
        <f>'Monthly Data'!S102</f>
        <v>7888313.4887578087</v>
      </c>
      <c r="E102" s="7">
        <f t="shared" ca="1" si="31"/>
        <v>42.72</v>
      </c>
      <c r="F102">
        <f>'Monthly Data'!CF102</f>
        <v>31</v>
      </c>
      <c r="G102">
        <f>'Monthly Data'!BN102</f>
        <v>101</v>
      </c>
      <c r="H102">
        <f>'Monthly Data'!CB102</f>
        <v>0</v>
      </c>
      <c r="I102">
        <f>'Monthly Data'!CJ102</f>
        <v>1</v>
      </c>
      <c r="K102" s="6">
        <f t="shared" si="34"/>
        <v>475930.57328307</v>
      </c>
      <c r="L102" s="6">
        <f t="shared" ca="1" si="35"/>
        <v>146219.58770571099</v>
      </c>
      <c r="M102" s="6">
        <f t="shared" si="36"/>
        <v>10445590.485508041</v>
      </c>
      <c r="N102" s="6">
        <f t="shared" si="37"/>
        <v>-501934.59475772479</v>
      </c>
      <c r="O102" s="6">
        <f t="shared" si="38"/>
        <v>0</v>
      </c>
      <c r="P102" s="6">
        <f t="shared" si="30"/>
        <v>-2643152.3895724402</v>
      </c>
      <c r="Q102" s="6">
        <f t="shared" ca="1" si="39"/>
        <v>7922653.6621666588</v>
      </c>
      <c r="R102" s="6">
        <f t="shared" ca="1" si="40"/>
        <v>34340.173408850096</v>
      </c>
      <c r="S102" s="15">
        <f t="shared" ca="1" si="41"/>
        <v>4.353297248872106E-3</v>
      </c>
    </row>
    <row r="103" spans="1:19">
      <c r="A103" s="20">
        <f>'Monthly Data'!A103</f>
        <v>43983</v>
      </c>
      <c r="B103">
        <f t="shared" si="32"/>
        <v>6</v>
      </c>
      <c r="C103">
        <f t="shared" si="33"/>
        <v>2020</v>
      </c>
      <c r="D103" s="6">
        <f>'Monthly Data'!S103</f>
        <v>9866092.8563578092</v>
      </c>
      <c r="E103" s="7">
        <f t="shared" ca="1" si="31"/>
        <v>97.63000000000001</v>
      </c>
      <c r="F103">
        <f>'Monthly Data'!CF103</f>
        <v>30</v>
      </c>
      <c r="G103">
        <f>'Monthly Data'!BN103</f>
        <v>102</v>
      </c>
      <c r="H103">
        <f>'Monthly Data'!CB103</f>
        <v>0</v>
      </c>
      <c r="I103">
        <f>'Monthly Data'!CJ103</f>
        <v>0.5</v>
      </c>
      <c r="K103" s="6">
        <f t="shared" si="34"/>
        <v>475930.57328307</v>
      </c>
      <c r="L103" s="6">
        <f t="shared" ca="1" si="35"/>
        <v>334162.41450628667</v>
      </c>
      <c r="M103" s="6">
        <f t="shared" si="36"/>
        <v>10108635.953717459</v>
      </c>
      <c r="N103" s="6">
        <f t="shared" si="37"/>
        <v>-506904.24421077152</v>
      </c>
      <c r="O103" s="6">
        <f t="shared" si="38"/>
        <v>0</v>
      </c>
      <c r="P103" s="6">
        <f t="shared" si="30"/>
        <v>-1321576.1947862201</v>
      </c>
      <c r="Q103" s="6">
        <f t="shared" ca="1" si="39"/>
        <v>9090248.5025098231</v>
      </c>
      <c r="R103" s="6">
        <f t="shared" ca="1" si="40"/>
        <v>-775844.35384798609</v>
      </c>
      <c r="S103" s="15">
        <f t="shared" ca="1" si="41"/>
        <v>7.8637446975580019E-2</v>
      </c>
    </row>
    <row r="104" spans="1:19">
      <c r="A104" s="20">
        <f>'Monthly Data'!A104</f>
        <v>44013</v>
      </c>
      <c r="B104">
        <f t="shared" si="32"/>
        <v>7</v>
      </c>
      <c r="C104">
        <f t="shared" si="33"/>
        <v>2020</v>
      </c>
      <c r="D104" s="6">
        <f>'Monthly Data'!S104</f>
        <v>10920252.898157809</v>
      </c>
      <c r="E104" s="7">
        <f t="shared" ca="1" si="31"/>
        <v>172.46999999999997</v>
      </c>
      <c r="F104">
        <f>'Monthly Data'!CF104</f>
        <v>31</v>
      </c>
      <c r="G104">
        <f>'Monthly Data'!BN104</f>
        <v>103</v>
      </c>
      <c r="H104">
        <f>'Monthly Data'!CB104</f>
        <v>0</v>
      </c>
      <c r="I104">
        <f>'Monthly Data'!CJ104</f>
        <v>0</v>
      </c>
      <c r="K104" s="6">
        <f t="shared" si="34"/>
        <v>475930.57328307</v>
      </c>
      <c r="L104" s="6">
        <f t="shared" ca="1" si="35"/>
        <v>590320.51244391315</v>
      </c>
      <c r="M104" s="6">
        <f t="shared" si="36"/>
        <v>10445590.485508041</v>
      </c>
      <c r="N104" s="6">
        <f t="shared" si="37"/>
        <v>-511873.89366381831</v>
      </c>
      <c r="O104" s="6">
        <f t="shared" si="38"/>
        <v>0</v>
      </c>
      <c r="P104" s="6">
        <f t="shared" si="30"/>
        <v>0</v>
      </c>
      <c r="Q104" s="6">
        <f t="shared" ca="1" si="39"/>
        <v>10999967.677571207</v>
      </c>
      <c r="R104" s="6">
        <f t="shared" ca="1" si="40"/>
        <v>79714.779413398355</v>
      </c>
      <c r="S104" s="15">
        <f t="shared" ca="1" si="41"/>
        <v>7.2997191692186752E-3</v>
      </c>
    </row>
    <row r="105" spans="1:19">
      <c r="A105" s="20">
        <f>'Monthly Data'!A105</f>
        <v>44044</v>
      </c>
      <c r="B105">
        <f t="shared" si="32"/>
        <v>8</v>
      </c>
      <c r="C105">
        <f t="shared" si="33"/>
        <v>2020</v>
      </c>
      <c r="D105" s="6">
        <f>'Monthly Data'!S105</f>
        <v>11090449.078957809</v>
      </c>
      <c r="E105" s="7">
        <f t="shared" ca="1" si="31"/>
        <v>155.49999999999997</v>
      </c>
      <c r="F105">
        <f>'Monthly Data'!CF105</f>
        <v>31</v>
      </c>
      <c r="G105">
        <f>'Monthly Data'!BN105</f>
        <v>104</v>
      </c>
      <c r="H105">
        <f>'Monthly Data'!CB105</f>
        <v>0</v>
      </c>
      <c r="I105">
        <f>'Monthly Data'!CJ105</f>
        <v>0</v>
      </c>
      <c r="K105" s="6">
        <f t="shared" si="34"/>
        <v>475930.57328307</v>
      </c>
      <c r="L105" s="6">
        <f t="shared" ca="1" si="35"/>
        <v>532236.56105426163</v>
      </c>
      <c r="M105" s="6">
        <f t="shared" si="36"/>
        <v>10445590.485508041</v>
      </c>
      <c r="N105" s="6">
        <f t="shared" si="37"/>
        <v>-516843.5431168651</v>
      </c>
      <c r="O105" s="6">
        <f t="shared" si="38"/>
        <v>0</v>
      </c>
      <c r="P105" s="6">
        <f t="shared" si="30"/>
        <v>0</v>
      </c>
      <c r="Q105" s="6">
        <f t="shared" ca="1" si="39"/>
        <v>10936914.076728508</v>
      </c>
      <c r="R105" s="6">
        <f t="shared" ca="1" si="40"/>
        <v>-153535.00222930126</v>
      </c>
      <c r="S105" s="15">
        <f t="shared" ca="1" si="41"/>
        <v>1.3843894069231796E-2</v>
      </c>
    </row>
    <row r="106" spans="1:19">
      <c r="A106" s="20">
        <f>'Monthly Data'!A106</f>
        <v>44075</v>
      </c>
      <c r="B106">
        <f t="shared" si="32"/>
        <v>9</v>
      </c>
      <c r="C106">
        <f t="shared" si="33"/>
        <v>2020</v>
      </c>
      <c r="D106" s="6">
        <f>'Monthly Data'!S106</f>
        <v>10920681.765957808</v>
      </c>
      <c r="E106" s="7">
        <f t="shared" ca="1" si="31"/>
        <v>76.13</v>
      </c>
      <c r="F106">
        <f>'Monthly Data'!CF106</f>
        <v>30</v>
      </c>
      <c r="G106">
        <f>'Monthly Data'!BN106</f>
        <v>105</v>
      </c>
      <c r="H106">
        <f>'Monthly Data'!CB106</f>
        <v>0</v>
      </c>
      <c r="I106">
        <f>'Monthly Data'!CJ106</f>
        <v>0</v>
      </c>
      <c r="K106" s="6">
        <f t="shared" si="34"/>
        <v>475930.57328307</v>
      </c>
      <c r="L106" s="6">
        <f t="shared" ca="1" si="35"/>
        <v>260573.43661132437</v>
      </c>
      <c r="M106" s="6">
        <f t="shared" si="36"/>
        <v>10108635.953717459</v>
      </c>
      <c r="N106" s="6">
        <f t="shared" si="37"/>
        <v>-521813.19256991189</v>
      </c>
      <c r="O106" s="6">
        <f t="shared" si="38"/>
        <v>0</v>
      </c>
      <c r="P106" s="6">
        <f t="shared" si="30"/>
        <v>0</v>
      </c>
      <c r="Q106" s="6">
        <f t="shared" ca="1" si="39"/>
        <v>10323326.771041941</v>
      </c>
      <c r="R106" s="6">
        <f t="shared" ca="1" si="40"/>
        <v>-597354.99491586722</v>
      </c>
      <c r="S106" s="15">
        <f t="shared" ca="1" si="41"/>
        <v>5.4699423325195271E-2</v>
      </c>
    </row>
    <row r="107" spans="1:19">
      <c r="A107" s="20">
        <f>'Monthly Data'!A107</f>
        <v>44105</v>
      </c>
      <c r="B107">
        <f t="shared" si="32"/>
        <v>10</v>
      </c>
      <c r="C107">
        <f t="shared" si="33"/>
        <v>2020</v>
      </c>
      <c r="D107" s="6">
        <f>'Monthly Data'!S107</f>
        <v>9775097.1195578109</v>
      </c>
      <c r="E107" s="7">
        <f t="shared" ca="1" si="31"/>
        <v>15.330000000000002</v>
      </c>
      <c r="F107">
        <f>'Monthly Data'!CF107</f>
        <v>31</v>
      </c>
      <c r="G107">
        <f>'Monthly Data'!BN107</f>
        <v>106</v>
      </c>
      <c r="H107">
        <f>'Monthly Data'!CB107</f>
        <v>0</v>
      </c>
      <c r="I107">
        <f>'Monthly Data'!CJ107</f>
        <v>0</v>
      </c>
      <c r="K107" s="6">
        <f t="shared" si="34"/>
        <v>475930.57328307</v>
      </c>
      <c r="L107" s="6">
        <f t="shared" ca="1" si="35"/>
        <v>52470.65261068703</v>
      </c>
      <c r="M107" s="6">
        <f t="shared" si="36"/>
        <v>10445590.485508041</v>
      </c>
      <c r="N107" s="6">
        <f t="shared" si="37"/>
        <v>-526782.84202295868</v>
      </c>
      <c r="O107" s="6">
        <f t="shared" si="38"/>
        <v>0</v>
      </c>
      <c r="P107" s="6">
        <f t="shared" si="30"/>
        <v>0</v>
      </c>
      <c r="Q107" s="6">
        <f t="shared" ca="1" si="39"/>
        <v>10447208.869378839</v>
      </c>
      <c r="R107" s="6">
        <f t="shared" ca="1" si="40"/>
        <v>672111.74982102774</v>
      </c>
      <c r="S107" s="15">
        <f t="shared" ca="1" si="41"/>
        <v>6.8757552134830507E-2</v>
      </c>
    </row>
    <row r="108" spans="1:19">
      <c r="A108" s="20">
        <f>'Monthly Data'!A108</f>
        <v>44136</v>
      </c>
      <c r="B108">
        <f t="shared" si="32"/>
        <v>11</v>
      </c>
      <c r="C108">
        <f t="shared" si="33"/>
        <v>2020</v>
      </c>
      <c r="D108" s="6">
        <f>'Monthly Data'!S108</f>
        <v>10268568.615157809</v>
      </c>
      <c r="E108" s="7">
        <f t="shared" ca="1" si="31"/>
        <v>0.76000000000000012</v>
      </c>
      <c r="F108">
        <f>'Monthly Data'!CF108</f>
        <v>30</v>
      </c>
      <c r="G108">
        <f>'Monthly Data'!BN108</f>
        <v>107</v>
      </c>
      <c r="H108">
        <f>'Monthly Data'!CB108</f>
        <v>0</v>
      </c>
      <c r="I108">
        <f>'Monthly Data'!CJ108</f>
        <v>0</v>
      </c>
      <c r="K108" s="6">
        <f t="shared" si="34"/>
        <v>475930.57328307</v>
      </c>
      <c r="L108" s="6">
        <f t="shared" ca="1" si="35"/>
        <v>2601.2848000079675</v>
      </c>
      <c r="M108" s="6">
        <f t="shared" si="36"/>
        <v>10108635.953717459</v>
      </c>
      <c r="N108" s="6">
        <f t="shared" si="37"/>
        <v>-531752.49147600541</v>
      </c>
      <c r="O108" s="6">
        <f t="shared" si="38"/>
        <v>0</v>
      </c>
      <c r="P108" s="6">
        <f t="shared" si="30"/>
        <v>0</v>
      </c>
      <c r="Q108" s="6">
        <f t="shared" ca="1" si="39"/>
        <v>10055415.320324533</v>
      </c>
      <c r="R108" s="6">
        <f t="shared" ca="1" si="40"/>
        <v>-213153.29483327642</v>
      </c>
      <c r="S108" s="15">
        <f t="shared" ca="1" si="41"/>
        <v>2.0757839073951657E-2</v>
      </c>
    </row>
    <row r="109" spans="1:19">
      <c r="A109" s="20">
        <f>'Monthly Data'!A109</f>
        <v>44166</v>
      </c>
      <c r="B109">
        <f t="shared" si="32"/>
        <v>12</v>
      </c>
      <c r="C109">
        <f t="shared" si="33"/>
        <v>2020</v>
      </c>
      <c r="D109" s="6">
        <f>'Monthly Data'!S109</f>
        <v>9963288.0091578104</v>
      </c>
      <c r="E109" s="7">
        <f t="shared" ca="1" si="31"/>
        <v>0</v>
      </c>
      <c r="F109">
        <f>'Monthly Data'!CF109</f>
        <v>31</v>
      </c>
      <c r="G109">
        <f>'Monthly Data'!BN109</f>
        <v>108</v>
      </c>
      <c r="H109">
        <f>'Monthly Data'!CB109</f>
        <v>1</v>
      </c>
      <c r="I109">
        <f>'Monthly Data'!CJ109</f>
        <v>0</v>
      </c>
      <c r="K109" s="6">
        <f t="shared" si="34"/>
        <v>475930.57328307</v>
      </c>
      <c r="L109" s="6">
        <f t="shared" ca="1" si="35"/>
        <v>0</v>
      </c>
      <c r="M109" s="6">
        <f t="shared" si="36"/>
        <v>10445590.485508041</v>
      </c>
      <c r="N109" s="6">
        <f t="shared" si="37"/>
        <v>-536722.14092905226</v>
      </c>
      <c r="O109" s="6">
        <f t="shared" si="38"/>
        <v>-634211.854533192</v>
      </c>
      <c r="P109" s="6">
        <f t="shared" si="30"/>
        <v>0</v>
      </c>
      <c r="Q109" s="6">
        <f t="shared" ca="1" si="39"/>
        <v>9750587.0633288678</v>
      </c>
      <c r="R109" s="6">
        <f t="shared" ca="1" si="40"/>
        <v>-212700.94582894258</v>
      </c>
      <c r="S109" s="15">
        <f t="shared" ca="1" si="41"/>
        <v>2.1348469062967702E-2</v>
      </c>
    </row>
    <row r="110" spans="1:19">
      <c r="A110" s="20">
        <f>'Monthly Data'!A110</f>
        <v>44197</v>
      </c>
      <c r="B110">
        <f t="shared" si="32"/>
        <v>1</v>
      </c>
      <c r="C110">
        <f t="shared" si="33"/>
        <v>2021</v>
      </c>
      <c r="D110" s="6">
        <f>'Monthly Data'!S110</f>
        <v>10258419.893261282</v>
      </c>
      <c r="E110" s="7">
        <f t="shared" ca="1" si="31"/>
        <v>0</v>
      </c>
      <c r="F110">
        <f>'Monthly Data'!CF110</f>
        <v>31</v>
      </c>
      <c r="G110">
        <f>'Monthly Data'!BN110</f>
        <v>109</v>
      </c>
      <c r="H110">
        <f>'Monthly Data'!CB110</f>
        <v>0</v>
      </c>
      <c r="I110">
        <f>'Monthly Data'!CJ110</f>
        <v>0</v>
      </c>
      <c r="K110" s="6">
        <f t="shared" si="34"/>
        <v>475930.57328307</v>
      </c>
      <c r="L110" s="6">
        <f t="shared" ca="1" si="35"/>
        <v>0</v>
      </c>
      <c r="M110" s="6">
        <f t="shared" si="36"/>
        <v>10445590.485508041</v>
      </c>
      <c r="N110" s="6">
        <f t="shared" si="37"/>
        <v>-541691.79038209899</v>
      </c>
      <c r="O110" s="6">
        <f t="shared" si="38"/>
        <v>0</v>
      </c>
      <c r="P110" s="6">
        <f t="shared" si="30"/>
        <v>0</v>
      </c>
      <c r="Q110" s="6">
        <f t="shared" ca="1" si="39"/>
        <v>10379829.268409014</v>
      </c>
      <c r="R110" s="6">
        <f t="shared" ca="1" si="40"/>
        <v>121409.37514773197</v>
      </c>
      <c r="S110" s="15">
        <f t="shared" ca="1" si="41"/>
        <v>1.183509511318457E-2</v>
      </c>
    </row>
    <row r="111" spans="1:19">
      <c r="A111" s="20">
        <f>'Monthly Data'!A111</f>
        <v>44228</v>
      </c>
      <c r="B111">
        <f t="shared" si="32"/>
        <v>2</v>
      </c>
      <c r="C111">
        <f t="shared" si="33"/>
        <v>2021</v>
      </c>
      <c r="D111" s="6">
        <f>'Monthly Data'!S111</f>
        <v>9618403.2892612815</v>
      </c>
      <c r="E111" s="7">
        <f t="shared" ca="1" si="31"/>
        <v>0</v>
      </c>
      <c r="F111">
        <f>'Monthly Data'!CF111</f>
        <v>28</v>
      </c>
      <c r="G111">
        <f>'Monthly Data'!BN111</f>
        <v>110</v>
      </c>
      <c r="H111">
        <f>'Monthly Data'!CB111</f>
        <v>0</v>
      </c>
      <c r="I111">
        <f>'Monthly Data'!CJ111</f>
        <v>0</v>
      </c>
      <c r="K111" s="6">
        <f t="shared" si="34"/>
        <v>475930.57328307</v>
      </c>
      <c r="L111" s="6">
        <f t="shared" ca="1" si="35"/>
        <v>0</v>
      </c>
      <c r="M111" s="6">
        <f t="shared" si="36"/>
        <v>9434726.8901362959</v>
      </c>
      <c r="N111" s="6">
        <f t="shared" si="37"/>
        <v>-546661.43983514584</v>
      </c>
      <c r="O111" s="6">
        <f t="shared" si="38"/>
        <v>0</v>
      </c>
      <c r="P111" s="6">
        <f t="shared" si="30"/>
        <v>0</v>
      </c>
      <c r="Q111" s="6">
        <f t="shared" ca="1" si="39"/>
        <v>9363996.0235842206</v>
      </c>
      <c r="R111" s="6">
        <f t="shared" ca="1" si="40"/>
        <v>-254407.26567706093</v>
      </c>
      <c r="S111" s="15">
        <f t="shared" ca="1" si="41"/>
        <v>2.6450051846037749E-2</v>
      </c>
    </row>
    <row r="112" spans="1:19">
      <c r="A112" s="20">
        <f>'Monthly Data'!A112</f>
        <v>44256</v>
      </c>
      <c r="B112">
        <f t="shared" si="32"/>
        <v>3</v>
      </c>
      <c r="C112">
        <f t="shared" si="33"/>
        <v>2021</v>
      </c>
      <c r="D112" s="6">
        <f>'Monthly Data'!S112</f>
        <v>10859846.942061283</v>
      </c>
      <c r="E112" s="7">
        <f t="shared" ca="1" si="31"/>
        <v>1.9999999999999928E-2</v>
      </c>
      <c r="F112">
        <f>'Monthly Data'!CF112</f>
        <v>31</v>
      </c>
      <c r="G112">
        <f>'Monthly Data'!BN112</f>
        <v>111</v>
      </c>
      <c r="H112">
        <f>'Monthly Data'!CB112</f>
        <v>0</v>
      </c>
      <c r="I112">
        <f>'Monthly Data'!CJ112</f>
        <v>0</v>
      </c>
      <c r="K112" s="6">
        <f t="shared" si="34"/>
        <v>475930.57328307</v>
      </c>
      <c r="L112" s="6">
        <f t="shared" ca="1" si="35"/>
        <v>68.454863158104146</v>
      </c>
      <c r="M112" s="6">
        <f t="shared" si="36"/>
        <v>10445590.485508041</v>
      </c>
      <c r="N112" s="6">
        <f t="shared" si="37"/>
        <v>-551631.08928819257</v>
      </c>
      <c r="O112" s="6">
        <f t="shared" si="38"/>
        <v>0</v>
      </c>
      <c r="P112" s="6">
        <f t="shared" si="30"/>
        <v>0</v>
      </c>
      <c r="Q112" s="6">
        <f t="shared" ca="1" si="39"/>
        <v>10369958.424366077</v>
      </c>
      <c r="R112" s="6">
        <f t="shared" ca="1" si="40"/>
        <v>-489888.51769520529</v>
      </c>
      <c r="S112" s="15">
        <f t="shared" ca="1" si="41"/>
        <v>4.5110075704457457E-2</v>
      </c>
    </row>
    <row r="113" spans="1:19">
      <c r="A113" s="20">
        <f>'Monthly Data'!A113</f>
        <v>44287</v>
      </c>
      <c r="B113">
        <f t="shared" si="32"/>
        <v>4</v>
      </c>
      <c r="C113">
        <f t="shared" si="33"/>
        <v>2021</v>
      </c>
      <c r="D113" s="6">
        <f>'Monthly Data'!S113</f>
        <v>10749494.304861283</v>
      </c>
      <c r="E113" s="7">
        <f t="shared" ca="1" si="31"/>
        <v>1.3500000000000003</v>
      </c>
      <c r="F113">
        <f>'Monthly Data'!CF113</f>
        <v>30</v>
      </c>
      <c r="G113">
        <f>'Monthly Data'!BN113</f>
        <v>112</v>
      </c>
      <c r="H113">
        <f>'Monthly Data'!CB113</f>
        <v>0</v>
      </c>
      <c r="I113">
        <f>'Monthly Data'!CJ113</f>
        <v>0</v>
      </c>
      <c r="K113" s="6">
        <f t="shared" si="34"/>
        <v>475930.57328307</v>
      </c>
      <c r="L113" s="6">
        <f t="shared" ca="1" si="35"/>
        <v>4620.7032631720476</v>
      </c>
      <c r="M113" s="6">
        <f t="shared" si="36"/>
        <v>10108635.953717459</v>
      </c>
      <c r="N113" s="6">
        <f t="shared" si="37"/>
        <v>-556600.7387412393</v>
      </c>
      <c r="O113" s="6">
        <f t="shared" si="38"/>
        <v>0</v>
      </c>
      <c r="P113" s="6">
        <f t="shared" si="30"/>
        <v>0</v>
      </c>
      <c r="Q113" s="6">
        <f t="shared" ca="1" si="39"/>
        <v>10032586.491522461</v>
      </c>
      <c r="R113" s="6">
        <f t="shared" ca="1" si="40"/>
        <v>-716907.81333882175</v>
      </c>
      <c r="S113" s="15">
        <f t="shared" ca="1" si="41"/>
        <v>6.6692236211950168E-2</v>
      </c>
    </row>
    <row r="114" spans="1:19">
      <c r="A114" s="20">
        <f>'Monthly Data'!A114</f>
        <v>44317</v>
      </c>
      <c r="B114">
        <f t="shared" si="32"/>
        <v>5</v>
      </c>
      <c r="C114">
        <f t="shared" si="33"/>
        <v>2021</v>
      </c>
      <c r="D114" s="6">
        <f>'Monthly Data'!S114</f>
        <v>11206373.627261283</v>
      </c>
      <c r="E114" s="7">
        <f t="shared" ca="1" si="31"/>
        <v>42.72</v>
      </c>
      <c r="F114">
        <f>'Monthly Data'!CF114</f>
        <v>31</v>
      </c>
      <c r="G114">
        <f>'Monthly Data'!BN114</f>
        <v>113</v>
      </c>
      <c r="H114">
        <f>'Monthly Data'!CB114</f>
        <v>0</v>
      </c>
      <c r="I114">
        <f>'Monthly Data'!CJ114</f>
        <v>0</v>
      </c>
      <c r="K114" s="6">
        <f t="shared" si="34"/>
        <v>475930.57328307</v>
      </c>
      <c r="L114" s="6">
        <f t="shared" ca="1" si="35"/>
        <v>146219.58770571099</v>
      </c>
      <c r="M114" s="6">
        <f t="shared" si="36"/>
        <v>10445590.485508041</v>
      </c>
      <c r="N114" s="6">
        <f t="shared" si="37"/>
        <v>-561570.38819428615</v>
      </c>
      <c r="O114" s="6">
        <f t="shared" si="38"/>
        <v>0</v>
      </c>
      <c r="P114" s="6">
        <f t="shared" si="30"/>
        <v>0</v>
      </c>
      <c r="Q114" s="6">
        <f t="shared" ca="1" si="39"/>
        <v>10506170.258302538</v>
      </c>
      <c r="R114" s="6">
        <f t="shared" ca="1" si="40"/>
        <v>-700203.36895874515</v>
      </c>
      <c r="S114" s="15">
        <f t="shared" ca="1" si="41"/>
        <v>6.2482600727802727E-2</v>
      </c>
    </row>
    <row r="115" spans="1:19">
      <c r="A115" s="20">
        <f>'Monthly Data'!A115</f>
        <v>44348</v>
      </c>
      <c r="B115">
        <f t="shared" si="32"/>
        <v>6</v>
      </c>
      <c r="C115">
        <f t="shared" si="33"/>
        <v>2021</v>
      </c>
      <c r="D115" s="6">
        <f>'Monthly Data'!S115</f>
        <v>11333835.153261282</v>
      </c>
      <c r="E115" s="7">
        <f t="shared" ca="1" si="31"/>
        <v>97.63000000000001</v>
      </c>
      <c r="F115">
        <f>'Monthly Data'!CF115</f>
        <v>30</v>
      </c>
      <c r="G115">
        <f>'Monthly Data'!BN115</f>
        <v>114</v>
      </c>
      <c r="H115">
        <f>'Monthly Data'!CB115</f>
        <v>0</v>
      </c>
      <c r="I115">
        <f>'Monthly Data'!CJ115</f>
        <v>0</v>
      </c>
      <c r="K115" s="6">
        <f t="shared" si="34"/>
        <v>475930.57328307</v>
      </c>
      <c r="L115" s="6">
        <f t="shared" ca="1" si="35"/>
        <v>334162.41450628667</v>
      </c>
      <c r="M115" s="6">
        <f t="shared" si="36"/>
        <v>10108635.953717459</v>
      </c>
      <c r="N115" s="6">
        <f t="shared" si="37"/>
        <v>-566540.03764733288</v>
      </c>
      <c r="O115" s="6">
        <f t="shared" si="38"/>
        <v>0</v>
      </c>
      <c r="P115" s="6">
        <f t="shared" si="30"/>
        <v>0</v>
      </c>
      <c r="Q115" s="6">
        <f t="shared" ca="1" si="39"/>
        <v>10352188.903859483</v>
      </c>
      <c r="R115" s="6">
        <f t="shared" ca="1" si="40"/>
        <v>-981646.24940179847</v>
      </c>
      <c r="S115" s="15">
        <f t="shared" ca="1" si="41"/>
        <v>8.6612010509022827E-2</v>
      </c>
    </row>
    <row r="116" spans="1:19">
      <c r="A116" s="20">
        <f>'Monthly Data'!A116</f>
        <v>44378</v>
      </c>
      <c r="B116">
        <f t="shared" si="32"/>
        <v>7</v>
      </c>
      <c r="C116">
        <f t="shared" si="33"/>
        <v>2021</v>
      </c>
      <c r="D116" s="6">
        <f>'Monthly Data'!S116</f>
        <v>11110234.05786128</v>
      </c>
      <c r="E116" s="7">
        <f t="shared" ca="1" si="31"/>
        <v>172.46999999999997</v>
      </c>
      <c r="F116">
        <f>'Monthly Data'!CF116</f>
        <v>31</v>
      </c>
      <c r="G116">
        <f>'Monthly Data'!BN116</f>
        <v>115</v>
      </c>
      <c r="H116">
        <f>'Monthly Data'!CB116</f>
        <v>0</v>
      </c>
      <c r="I116">
        <f>'Monthly Data'!CJ116</f>
        <v>0</v>
      </c>
      <c r="K116" s="6">
        <f t="shared" si="34"/>
        <v>475930.57328307</v>
      </c>
      <c r="L116" s="6">
        <f t="shared" ca="1" si="35"/>
        <v>590320.51244391315</v>
      </c>
      <c r="M116" s="6">
        <f t="shared" si="36"/>
        <v>10445590.485508041</v>
      </c>
      <c r="N116" s="6">
        <f t="shared" si="37"/>
        <v>-571509.68710037973</v>
      </c>
      <c r="O116" s="6">
        <f t="shared" si="38"/>
        <v>0</v>
      </c>
      <c r="P116" s="6">
        <f t="shared" si="30"/>
        <v>0</v>
      </c>
      <c r="Q116" s="6">
        <f t="shared" ca="1" si="39"/>
        <v>10940331.884134647</v>
      </c>
      <c r="R116" s="6">
        <f t="shared" ca="1" si="40"/>
        <v>-169902.17372663319</v>
      </c>
      <c r="S116" s="15">
        <f t="shared" ca="1" si="41"/>
        <v>1.5292402738033709E-2</v>
      </c>
    </row>
    <row r="117" spans="1:19">
      <c r="A117" s="20">
        <f>'Monthly Data'!A117</f>
        <v>44409</v>
      </c>
      <c r="B117">
        <f t="shared" si="32"/>
        <v>8</v>
      </c>
      <c r="C117">
        <f t="shared" si="33"/>
        <v>2021</v>
      </c>
      <c r="D117" s="6">
        <f>'Monthly Data'!S117</f>
        <v>10734245.950061282</v>
      </c>
      <c r="E117" s="7">
        <f t="shared" ca="1" si="31"/>
        <v>155.49999999999997</v>
      </c>
      <c r="F117">
        <f>'Monthly Data'!CF117</f>
        <v>31</v>
      </c>
      <c r="G117">
        <f>'Monthly Data'!BN117</f>
        <v>116</v>
      </c>
      <c r="H117">
        <f>'Monthly Data'!CB117</f>
        <v>0</v>
      </c>
      <c r="I117">
        <f>'Monthly Data'!CJ117</f>
        <v>0</v>
      </c>
      <c r="K117" s="6">
        <f t="shared" si="34"/>
        <v>475930.57328307</v>
      </c>
      <c r="L117" s="6">
        <f t="shared" ca="1" si="35"/>
        <v>532236.56105426163</v>
      </c>
      <c r="M117" s="6">
        <f t="shared" si="36"/>
        <v>10445590.485508041</v>
      </c>
      <c r="N117" s="6">
        <f t="shared" si="37"/>
        <v>-576479.33655342646</v>
      </c>
      <c r="O117" s="6">
        <f t="shared" si="38"/>
        <v>0</v>
      </c>
      <c r="P117" s="6">
        <f t="shared" si="30"/>
        <v>0</v>
      </c>
      <c r="Q117" s="6">
        <f t="shared" ca="1" si="39"/>
        <v>10877278.283291947</v>
      </c>
      <c r="R117" s="6">
        <f t="shared" ca="1" si="40"/>
        <v>143032.33323066495</v>
      </c>
      <c r="S117" s="15">
        <f t="shared" ca="1" si="41"/>
        <v>1.3324860814265987E-2</v>
      </c>
    </row>
    <row r="118" spans="1:19">
      <c r="A118" s="20">
        <f>'Monthly Data'!A118</f>
        <v>44440</v>
      </c>
      <c r="B118">
        <f t="shared" si="32"/>
        <v>9</v>
      </c>
      <c r="C118">
        <f t="shared" si="33"/>
        <v>2021</v>
      </c>
      <c r="D118" s="6">
        <f>'Monthly Data'!S118</f>
        <v>9403642.5300612804</v>
      </c>
      <c r="E118" s="7">
        <f t="shared" ca="1" si="31"/>
        <v>76.13</v>
      </c>
      <c r="F118">
        <f>'Monthly Data'!CF118</f>
        <v>30</v>
      </c>
      <c r="G118">
        <f>'Monthly Data'!BN118</f>
        <v>117</v>
      </c>
      <c r="H118">
        <f>'Monthly Data'!CB118</f>
        <v>0</v>
      </c>
      <c r="I118">
        <f>'Monthly Data'!CJ118</f>
        <v>0</v>
      </c>
      <c r="K118" s="6">
        <f t="shared" si="34"/>
        <v>475930.57328307</v>
      </c>
      <c r="L118" s="6">
        <f t="shared" ca="1" si="35"/>
        <v>260573.43661132437</v>
      </c>
      <c r="M118" s="6">
        <f t="shared" si="36"/>
        <v>10108635.953717459</v>
      </c>
      <c r="N118" s="6">
        <f t="shared" si="37"/>
        <v>-581448.98600647319</v>
      </c>
      <c r="O118" s="6">
        <f t="shared" si="38"/>
        <v>0</v>
      </c>
      <c r="P118" s="6">
        <f t="shared" si="30"/>
        <v>0</v>
      </c>
      <c r="Q118" s="6">
        <f t="shared" ca="1" si="39"/>
        <v>10263690.97760538</v>
      </c>
      <c r="R118" s="6">
        <f t="shared" ca="1" si="40"/>
        <v>860048.44754409976</v>
      </c>
      <c r="S118" s="15">
        <f t="shared" ca="1" si="41"/>
        <v>9.1459075012126717E-2</v>
      </c>
    </row>
    <row r="119" spans="1:19">
      <c r="A119" s="20">
        <f>'Monthly Data'!A119</f>
        <v>44470</v>
      </c>
      <c r="B119">
        <f t="shared" si="32"/>
        <v>10</v>
      </c>
      <c r="C119">
        <f t="shared" si="33"/>
        <v>2021</v>
      </c>
      <c r="D119" s="6">
        <f>'Monthly Data'!S119</f>
        <v>10267183.503861282</v>
      </c>
      <c r="E119" s="7">
        <f t="shared" ca="1" si="31"/>
        <v>15.330000000000002</v>
      </c>
      <c r="F119">
        <f>'Monthly Data'!CF119</f>
        <v>31</v>
      </c>
      <c r="G119">
        <f>'Monthly Data'!BN119</f>
        <v>118</v>
      </c>
      <c r="H119">
        <f>'Monthly Data'!CB119</f>
        <v>0</v>
      </c>
      <c r="I119">
        <f>'Monthly Data'!CJ119</f>
        <v>0</v>
      </c>
      <c r="K119" s="6">
        <f t="shared" si="34"/>
        <v>475930.57328307</v>
      </c>
      <c r="L119" s="6">
        <f t="shared" ca="1" si="35"/>
        <v>52470.65261068703</v>
      </c>
      <c r="M119" s="6">
        <f t="shared" si="36"/>
        <v>10445590.485508041</v>
      </c>
      <c r="N119" s="6">
        <f t="shared" si="37"/>
        <v>-586418.63545952004</v>
      </c>
      <c r="O119" s="6">
        <f t="shared" si="38"/>
        <v>0</v>
      </c>
      <c r="P119" s="6">
        <f t="shared" si="30"/>
        <v>0</v>
      </c>
      <c r="Q119" s="6">
        <f t="shared" ca="1" si="39"/>
        <v>10387573.075942278</v>
      </c>
      <c r="R119" s="6">
        <f t="shared" ca="1" si="40"/>
        <v>120389.57208099589</v>
      </c>
      <c r="S119" s="15">
        <f t="shared" ca="1" si="41"/>
        <v>1.1725666735743039E-2</v>
      </c>
    </row>
    <row r="120" spans="1:19">
      <c r="A120" s="20">
        <f>'Monthly Data'!A120</f>
        <v>44501</v>
      </c>
      <c r="B120">
        <f t="shared" si="32"/>
        <v>11</v>
      </c>
      <c r="C120">
        <f t="shared" si="33"/>
        <v>2021</v>
      </c>
      <c r="D120" s="6">
        <f>'Monthly Data'!S120</f>
        <v>10762440.759261284</v>
      </c>
      <c r="E120" s="7">
        <f t="shared" ca="1" si="31"/>
        <v>0.76000000000000012</v>
      </c>
      <c r="F120">
        <f>'Monthly Data'!CF120</f>
        <v>30</v>
      </c>
      <c r="G120">
        <f>'Monthly Data'!BN120</f>
        <v>119</v>
      </c>
      <c r="H120">
        <f>'Monthly Data'!CB120</f>
        <v>0</v>
      </c>
      <c r="I120">
        <f>'Monthly Data'!CJ120</f>
        <v>0</v>
      </c>
      <c r="K120" s="6">
        <f t="shared" si="34"/>
        <v>475930.57328307</v>
      </c>
      <c r="L120" s="6">
        <f t="shared" ca="1" si="35"/>
        <v>2601.2848000079675</v>
      </c>
      <c r="M120" s="6">
        <f t="shared" si="36"/>
        <v>10108635.953717459</v>
      </c>
      <c r="N120" s="6">
        <f t="shared" si="37"/>
        <v>-591388.28491256677</v>
      </c>
      <c r="O120" s="6">
        <f t="shared" si="38"/>
        <v>0</v>
      </c>
      <c r="P120" s="6">
        <f t="shared" si="30"/>
        <v>0</v>
      </c>
      <c r="Q120" s="6">
        <f t="shared" ca="1" si="39"/>
        <v>9995779.52688797</v>
      </c>
      <c r="R120" s="6">
        <f t="shared" ca="1" si="40"/>
        <v>-766661.23237331398</v>
      </c>
      <c r="S120" s="15">
        <f t="shared" ca="1" si="41"/>
        <v>7.1234885238609796E-2</v>
      </c>
    </row>
    <row r="121" spans="1:19">
      <c r="A121" s="20">
        <f>'Monthly Data'!A121</f>
        <v>44531</v>
      </c>
      <c r="B121">
        <f t="shared" si="32"/>
        <v>12</v>
      </c>
      <c r="C121">
        <f t="shared" si="33"/>
        <v>2021</v>
      </c>
      <c r="D121" s="6">
        <f>'Monthly Data'!S121</f>
        <v>9572434.2618612833</v>
      </c>
      <c r="E121" s="7">
        <f t="shared" ca="1" si="31"/>
        <v>0</v>
      </c>
      <c r="F121">
        <f>'Monthly Data'!CF121</f>
        <v>31</v>
      </c>
      <c r="G121">
        <f>'Monthly Data'!BN121</f>
        <v>120</v>
      </c>
      <c r="H121">
        <f>'Monthly Data'!CB121</f>
        <v>1</v>
      </c>
      <c r="I121">
        <f>'Monthly Data'!CJ121</f>
        <v>0</v>
      </c>
      <c r="K121" s="6">
        <f t="shared" si="34"/>
        <v>475930.57328307</v>
      </c>
      <c r="L121" s="6">
        <f t="shared" ca="1" si="35"/>
        <v>0</v>
      </c>
      <c r="M121" s="6">
        <f t="shared" si="36"/>
        <v>10445590.485508041</v>
      </c>
      <c r="N121" s="6">
        <f t="shared" si="37"/>
        <v>-596357.93436561362</v>
      </c>
      <c r="O121" s="6">
        <f t="shared" si="38"/>
        <v>-634211.854533192</v>
      </c>
      <c r="P121" s="6">
        <f t="shared" si="30"/>
        <v>0</v>
      </c>
      <c r="Q121" s="6">
        <f t="shared" ca="1" si="39"/>
        <v>9690951.269892307</v>
      </c>
      <c r="R121" s="6">
        <f t="shared" ca="1" si="40"/>
        <v>118517.00803102367</v>
      </c>
      <c r="S121" s="15">
        <f t="shared" ca="1" si="41"/>
        <v>1.2381073067612687E-2</v>
      </c>
    </row>
    <row r="122" spans="1:19">
      <c r="A122" s="20">
        <f t="shared" ref="A122:A145" si="42">A74+(365.25*4)</f>
        <v>44562</v>
      </c>
      <c r="B122">
        <f t="shared" ref="B122:B133" si="43">MONTH(A122)</f>
        <v>1</v>
      </c>
      <c r="C122">
        <f t="shared" ref="C122:C133" si="44">YEAR(A122)</f>
        <v>2022</v>
      </c>
      <c r="D122" s="6">
        <f>'Monthly Data'!S122</f>
        <v>9879708.5319566317</v>
      </c>
      <c r="E122" s="7">
        <f t="shared" ca="1" si="31"/>
        <v>0</v>
      </c>
      <c r="F122">
        <f>'Monthly Data'!CF122</f>
        <v>31</v>
      </c>
      <c r="G122">
        <f>'Monthly Data'!BN122</f>
        <v>121</v>
      </c>
      <c r="H122">
        <f>'Monthly Data'!CB122</f>
        <v>0</v>
      </c>
      <c r="I122">
        <f>'Monthly Data'!CJ122</f>
        <v>0</v>
      </c>
      <c r="K122" s="6">
        <f t="shared" si="34"/>
        <v>475930.57328307</v>
      </c>
      <c r="L122" s="6">
        <f t="shared" ca="1" si="35"/>
        <v>0</v>
      </c>
      <c r="M122" s="6">
        <f t="shared" si="36"/>
        <v>10445590.485508041</v>
      </c>
      <c r="N122" s="6">
        <f t="shared" si="37"/>
        <v>-601327.58381866035</v>
      </c>
      <c r="O122" s="6">
        <f t="shared" si="38"/>
        <v>0</v>
      </c>
      <c r="P122" s="6">
        <f t="shared" si="30"/>
        <v>0</v>
      </c>
      <c r="Q122" s="6">
        <f t="shared" ca="1" si="39"/>
        <v>10320193.474972451</v>
      </c>
      <c r="S122" s="6"/>
    </row>
    <row r="123" spans="1:19">
      <c r="A123" s="20">
        <f t="shared" si="42"/>
        <v>44593</v>
      </c>
      <c r="B123">
        <f t="shared" si="43"/>
        <v>2</v>
      </c>
      <c r="C123">
        <f t="shared" si="44"/>
        <v>2022</v>
      </c>
      <c r="D123" s="6">
        <f>'Monthly Data'!S123</f>
        <v>9211542.5319566317</v>
      </c>
      <c r="E123" s="7">
        <f t="shared" ca="1" si="31"/>
        <v>0</v>
      </c>
      <c r="F123">
        <f>'Monthly Data'!CF123</f>
        <v>28</v>
      </c>
      <c r="G123">
        <f>'Monthly Data'!BN123</f>
        <v>122</v>
      </c>
      <c r="H123">
        <f>'Monthly Data'!CB123</f>
        <v>0</v>
      </c>
      <c r="I123">
        <f>'Monthly Data'!CJ123</f>
        <v>0</v>
      </c>
      <c r="K123" s="6">
        <f t="shared" si="34"/>
        <v>475930.57328307</v>
      </c>
      <c r="L123" s="6">
        <f t="shared" ca="1" si="35"/>
        <v>0</v>
      </c>
      <c r="M123" s="6">
        <f t="shared" si="36"/>
        <v>9434726.8901362959</v>
      </c>
      <c r="N123" s="6">
        <f t="shared" si="37"/>
        <v>-606297.2332717072</v>
      </c>
      <c r="O123" s="6">
        <f t="shared" si="38"/>
        <v>0</v>
      </c>
      <c r="P123" s="6">
        <f t="shared" si="30"/>
        <v>0</v>
      </c>
      <c r="Q123" s="6">
        <f t="shared" ca="1" si="39"/>
        <v>9304360.2301476598</v>
      </c>
      <c r="S123" s="6"/>
    </row>
    <row r="124" spans="1:19">
      <c r="A124" s="20">
        <f t="shared" si="42"/>
        <v>44621</v>
      </c>
      <c r="B124">
        <f t="shared" si="43"/>
        <v>3</v>
      </c>
      <c r="C124">
        <f t="shared" si="44"/>
        <v>2022</v>
      </c>
      <c r="D124" s="6">
        <f>'Monthly Data'!S124</f>
        <v>10438024.531956632</v>
      </c>
      <c r="E124" s="7">
        <f t="shared" ca="1" si="31"/>
        <v>1.9999999999999928E-2</v>
      </c>
      <c r="F124">
        <f>'Monthly Data'!CF124</f>
        <v>31</v>
      </c>
      <c r="G124">
        <f>'Monthly Data'!BN124</f>
        <v>123</v>
      </c>
      <c r="H124">
        <f>'Monthly Data'!CB124</f>
        <v>0</v>
      </c>
      <c r="I124">
        <f>'Monthly Data'!CJ124</f>
        <v>0</v>
      </c>
      <c r="K124" s="6">
        <f t="shared" si="34"/>
        <v>475930.57328307</v>
      </c>
      <c r="L124" s="6">
        <f t="shared" ca="1" si="35"/>
        <v>68.454863158104146</v>
      </c>
      <c r="M124" s="6">
        <f t="shared" si="36"/>
        <v>10445590.485508041</v>
      </c>
      <c r="N124" s="6">
        <f t="shared" si="37"/>
        <v>-611266.88272475393</v>
      </c>
      <c r="O124" s="6">
        <f t="shared" si="38"/>
        <v>0</v>
      </c>
      <c r="P124" s="6">
        <f t="shared" si="30"/>
        <v>0</v>
      </c>
      <c r="Q124" s="6">
        <f t="shared" ca="1" si="39"/>
        <v>10310322.630929515</v>
      </c>
    </row>
    <row r="125" spans="1:19">
      <c r="A125" s="20">
        <f t="shared" si="42"/>
        <v>44652</v>
      </c>
      <c r="B125">
        <f t="shared" si="43"/>
        <v>4</v>
      </c>
      <c r="C125">
        <f t="shared" si="44"/>
        <v>2022</v>
      </c>
      <c r="D125" s="6">
        <f>'Monthly Data'!S125</f>
        <v>10050379.531956632</v>
      </c>
      <c r="E125" s="7">
        <f t="shared" ca="1" si="31"/>
        <v>1.3500000000000003</v>
      </c>
      <c r="F125">
        <f>'Monthly Data'!CF125</f>
        <v>30</v>
      </c>
      <c r="G125">
        <f>'Monthly Data'!BN125</f>
        <v>124</v>
      </c>
      <c r="H125">
        <f>'Monthly Data'!CB125</f>
        <v>0</v>
      </c>
      <c r="I125">
        <f>'Monthly Data'!CJ125</f>
        <v>0</v>
      </c>
      <c r="K125" s="6">
        <f t="shared" si="34"/>
        <v>475930.57328307</v>
      </c>
      <c r="L125" s="6">
        <f t="shared" ca="1" si="35"/>
        <v>4620.7032631720476</v>
      </c>
      <c r="M125" s="6">
        <f t="shared" si="36"/>
        <v>10108635.953717459</v>
      </c>
      <c r="N125" s="6">
        <f t="shared" si="37"/>
        <v>-616236.53217780066</v>
      </c>
      <c r="O125" s="6">
        <f t="shared" si="38"/>
        <v>0</v>
      </c>
      <c r="P125" s="6">
        <f t="shared" si="30"/>
        <v>0</v>
      </c>
      <c r="Q125" s="6">
        <f t="shared" ca="1" si="39"/>
        <v>9972950.6980859004</v>
      </c>
    </row>
    <row r="126" spans="1:19">
      <c r="A126" s="20">
        <f t="shared" si="42"/>
        <v>44682</v>
      </c>
      <c r="B126">
        <f t="shared" si="43"/>
        <v>5</v>
      </c>
      <c r="C126">
        <f t="shared" si="44"/>
        <v>2022</v>
      </c>
      <c r="D126" s="6">
        <f>'Monthly Data'!S126</f>
        <v>10362341.531956632</v>
      </c>
      <c r="E126" s="7">
        <f t="shared" ca="1" si="31"/>
        <v>42.72</v>
      </c>
      <c r="F126">
        <f>'Monthly Data'!CF126</f>
        <v>31</v>
      </c>
      <c r="G126">
        <f>'Monthly Data'!BN126</f>
        <v>125</v>
      </c>
      <c r="H126">
        <f>'Monthly Data'!CB126</f>
        <v>0</v>
      </c>
      <c r="I126">
        <f>'Monthly Data'!CJ126</f>
        <v>0</v>
      </c>
      <c r="K126" s="6">
        <f t="shared" si="34"/>
        <v>475930.57328307</v>
      </c>
      <c r="L126" s="6">
        <f t="shared" ca="1" si="35"/>
        <v>146219.58770571099</v>
      </c>
      <c r="M126" s="6">
        <f t="shared" si="36"/>
        <v>10445590.485508041</v>
      </c>
      <c r="N126" s="6">
        <f t="shared" si="37"/>
        <v>-621206.18163084751</v>
      </c>
      <c r="O126" s="6">
        <f t="shared" si="38"/>
        <v>0</v>
      </c>
      <c r="P126" s="6">
        <f t="shared" si="30"/>
        <v>0</v>
      </c>
      <c r="Q126" s="6">
        <f t="shared" ca="1" si="39"/>
        <v>10446534.464865975</v>
      </c>
    </row>
    <row r="127" spans="1:19">
      <c r="A127" s="20">
        <f t="shared" si="42"/>
        <v>44713</v>
      </c>
      <c r="B127">
        <f t="shared" si="43"/>
        <v>6</v>
      </c>
      <c r="C127">
        <f t="shared" si="44"/>
        <v>2022</v>
      </c>
      <c r="D127" s="6">
        <f>'Monthly Data'!S127</f>
        <v>10285325.531956632</v>
      </c>
      <c r="E127" s="7">
        <f t="shared" ca="1" si="31"/>
        <v>97.63000000000001</v>
      </c>
      <c r="F127">
        <f>'Monthly Data'!CF127</f>
        <v>30</v>
      </c>
      <c r="G127">
        <f>'Monthly Data'!BN127</f>
        <v>126</v>
      </c>
      <c r="H127">
        <f>'Monthly Data'!CB127</f>
        <v>0</v>
      </c>
      <c r="I127">
        <f>'Monthly Data'!CJ127</f>
        <v>0</v>
      </c>
      <c r="K127" s="6">
        <f t="shared" si="34"/>
        <v>475930.57328307</v>
      </c>
      <c r="L127" s="6">
        <f t="shared" ca="1" si="35"/>
        <v>334162.41450628667</v>
      </c>
      <c r="M127" s="6">
        <f t="shared" si="36"/>
        <v>10108635.953717459</v>
      </c>
      <c r="N127" s="6">
        <f t="shared" si="37"/>
        <v>-626175.83108389424</v>
      </c>
      <c r="O127" s="6">
        <f t="shared" si="38"/>
        <v>0</v>
      </c>
      <c r="P127" s="6">
        <f t="shared" si="30"/>
        <v>0</v>
      </c>
      <c r="Q127" s="6">
        <f t="shared" ca="1" si="39"/>
        <v>10292553.110422922</v>
      </c>
    </row>
    <row r="128" spans="1:19">
      <c r="A128" s="20">
        <f t="shared" si="42"/>
        <v>44743</v>
      </c>
      <c r="B128">
        <f t="shared" si="43"/>
        <v>7</v>
      </c>
      <c r="C128">
        <f t="shared" si="44"/>
        <v>2022</v>
      </c>
      <c r="D128" s="6">
        <f>'Monthly Data'!S128</f>
        <v>10806717.531956632</v>
      </c>
      <c r="E128" s="7">
        <f t="shared" ca="1" si="31"/>
        <v>172.46999999999997</v>
      </c>
      <c r="F128">
        <f>'Monthly Data'!CF128</f>
        <v>31</v>
      </c>
      <c r="G128">
        <f>'Monthly Data'!BN128</f>
        <v>127</v>
      </c>
      <c r="H128">
        <f>'Monthly Data'!CB128</f>
        <v>0</v>
      </c>
      <c r="I128">
        <f>'Monthly Data'!CJ128</f>
        <v>0</v>
      </c>
      <c r="K128" s="6">
        <f t="shared" si="34"/>
        <v>475930.57328307</v>
      </c>
      <c r="L128" s="6">
        <f t="shared" ca="1" si="35"/>
        <v>590320.51244391315</v>
      </c>
      <c r="M128" s="6">
        <f t="shared" si="36"/>
        <v>10445590.485508041</v>
      </c>
      <c r="N128" s="6">
        <f t="shared" si="37"/>
        <v>-631145.48053694109</v>
      </c>
      <c r="O128" s="6">
        <f t="shared" si="38"/>
        <v>0</v>
      </c>
      <c r="P128" s="6">
        <f t="shared" si="30"/>
        <v>0</v>
      </c>
      <c r="Q128" s="6">
        <f t="shared" ca="1" si="39"/>
        <v>10880696.090698084</v>
      </c>
    </row>
    <row r="129" spans="1:17">
      <c r="A129" s="20">
        <f t="shared" si="42"/>
        <v>44774</v>
      </c>
      <c r="B129">
        <f t="shared" si="43"/>
        <v>8</v>
      </c>
      <c r="C129">
        <f t="shared" si="44"/>
        <v>2022</v>
      </c>
      <c r="D129" s="6">
        <f>'Monthly Data'!S129</f>
        <v>11542340.531956632</v>
      </c>
      <c r="E129" s="7">
        <f t="shared" ca="1" si="31"/>
        <v>155.49999999999997</v>
      </c>
      <c r="F129">
        <f>'Monthly Data'!CF129</f>
        <v>31</v>
      </c>
      <c r="G129">
        <f>'Monthly Data'!BN129</f>
        <v>128</v>
      </c>
      <c r="H129">
        <f>'Monthly Data'!CB129</f>
        <v>0</v>
      </c>
      <c r="I129">
        <f>'Monthly Data'!CJ129</f>
        <v>0</v>
      </c>
      <c r="K129" s="6">
        <f t="shared" si="34"/>
        <v>475930.57328307</v>
      </c>
      <c r="L129" s="6">
        <f t="shared" ca="1" si="35"/>
        <v>532236.56105426163</v>
      </c>
      <c r="M129" s="6">
        <f t="shared" si="36"/>
        <v>10445590.485508041</v>
      </c>
      <c r="N129" s="6">
        <f t="shared" si="37"/>
        <v>-636115.12998998782</v>
      </c>
      <c r="O129" s="6">
        <f t="shared" si="38"/>
        <v>0</v>
      </c>
      <c r="P129" s="6">
        <f t="shared" si="30"/>
        <v>0</v>
      </c>
      <c r="Q129" s="6">
        <f t="shared" ca="1" si="39"/>
        <v>10817642.489855386</v>
      </c>
    </row>
    <row r="130" spans="1:17">
      <c r="A130" s="20">
        <f t="shared" si="42"/>
        <v>44805</v>
      </c>
      <c r="B130">
        <f t="shared" si="43"/>
        <v>9</v>
      </c>
      <c r="C130">
        <f t="shared" si="44"/>
        <v>2022</v>
      </c>
      <c r="D130" s="6">
        <f>'Monthly Data'!S130</f>
        <v>10493087.531956632</v>
      </c>
      <c r="E130" s="7">
        <f t="shared" ca="1" si="31"/>
        <v>76.13</v>
      </c>
      <c r="F130">
        <f>'Monthly Data'!CF130</f>
        <v>30</v>
      </c>
      <c r="G130">
        <f>'Monthly Data'!BN130</f>
        <v>129</v>
      </c>
      <c r="H130">
        <f>'Monthly Data'!CB130</f>
        <v>0</v>
      </c>
      <c r="I130">
        <f>'Monthly Data'!CJ130</f>
        <v>0</v>
      </c>
      <c r="K130" s="6">
        <f t="shared" ref="K130:K145" si="45">$V$7</f>
        <v>475930.57328307</v>
      </c>
      <c r="L130" s="6">
        <f t="shared" ref="L130:L145" ca="1" si="46">E130*$V$8</f>
        <v>260573.43661132437</v>
      </c>
      <c r="M130" s="6">
        <f t="shared" ref="M130:M145" si="47">F130*$V$9</f>
        <v>10108635.953717459</v>
      </c>
      <c r="N130" s="6">
        <f t="shared" ref="N130:N145" si="48">G130*$V$10</f>
        <v>-641084.77944303455</v>
      </c>
      <c r="O130" s="6">
        <f t="shared" ref="O130:O145" si="49">H130*$V$11</f>
        <v>0</v>
      </c>
      <c r="P130" s="6">
        <f t="shared" si="30"/>
        <v>0</v>
      </c>
      <c r="Q130" s="6">
        <f t="shared" ref="Q130:Q145" ca="1" si="50">SUM(K130:P130)</f>
        <v>10204055.184168817</v>
      </c>
    </row>
    <row r="131" spans="1:17">
      <c r="A131" s="20">
        <f t="shared" si="42"/>
        <v>44835</v>
      </c>
      <c r="B131">
        <f t="shared" si="43"/>
        <v>10</v>
      </c>
      <c r="C131">
        <f t="shared" si="44"/>
        <v>2022</v>
      </c>
      <c r="D131" s="6">
        <f>'Monthly Data'!S131</f>
        <v>10439387.531956632</v>
      </c>
      <c r="E131" s="7">
        <f t="shared" ca="1" si="31"/>
        <v>15.330000000000002</v>
      </c>
      <c r="F131">
        <f>'Monthly Data'!CF131</f>
        <v>31</v>
      </c>
      <c r="G131">
        <f>'Monthly Data'!BN131</f>
        <v>130</v>
      </c>
      <c r="H131">
        <f>'Monthly Data'!CB131</f>
        <v>0</v>
      </c>
      <c r="I131">
        <f>'Monthly Data'!CJ131</f>
        <v>0</v>
      </c>
      <c r="K131" s="6">
        <f t="shared" si="45"/>
        <v>475930.57328307</v>
      </c>
      <c r="L131" s="6">
        <f t="shared" ca="1" si="46"/>
        <v>52470.65261068703</v>
      </c>
      <c r="M131" s="6">
        <f t="shared" si="47"/>
        <v>10445590.485508041</v>
      </c>
      <c r="N131" s="6">
        <f t="shared" si="48"/>
        <v>-646054.4288960814</v>
      </c>
      <c r="O131" s="6">
        <f t="shared" si="49"/>
        <v>0</v>
      </c>
      <c r="P131" s="6">
        <f t="shared" ref="P131:P145" si="51">I131*$V$12</f>
        <v>0</v>
      </c>
      <c r="Q131" s="6">
        <f t="shared" ca="1" si="50"/>
        <v>10327937.282505717</v>
      </c>
    </row>
    <row r="132" spans="1:17">
      <c r="A132" s="20">
        <f t="shared" si="42"/>
        <v>44866</v>
      </c>
      <c r="B132">
        <f t="shared" si="43"/>
        <v>11</v>
      </c>
      <c r="C132">
        <f t="shared" si="44"/>
        <v>2022</v>
      </c>
      <c r="D132" s="6">
        <f>'Monthly Data'!S132</f>
        <v>10008264.531956632</v>
      </c>
      <c r="E132" s="7">
        <f t="shared" ca="1" si="31"/>
        <v>0.76000000000000012</v>
      </c>
      <c r="F132">
        <f>'Monthly Data'!CF132</f>
        <v>30</v>
      </c>
      <c r="G132">
        <f>'Monthly Data'!BN132</f>
        <v>131</v>
      </c>
      <c r="H132">
        <f>'Monthly Data'!CB132</f>
        <v>0</v>
      </c>
      <c r="I132">
        <f>'Monthly Data'!CJ132</f>
        <v>0</v>
      </c>
      <c r="K132" s="6">
        <f t="shared" si="45"/>
        <v>475930.57328307</v>
      </c>
      <c r="L132" s="6">
        <f t="shared" ca="1" si="46"/>
        <v>2601.2848000079675</v>
      </c>
      <c r="M132" s="6">
        <f t="shared" si="47"/>
        <v>10108635.953717459</v>
      </c>
      <c r="N132" s="6">
        <f t="shared" si="48"/>
        <v>-651024.07834912813</v>
      </c>
      <c r="O132" s="6">
        <f t="shared" si="49"/>
        <v>0</v>
      </c>
      <c r="P132" s="6">
        <f t="shared" si="51"/>
        <v>0</v>
      </c>
      <c r="Q132" s="6">
        <f t="shared" ca="1" si="50"/>
        <v>9936143.7334514093</v>
      </c>
    </row>
    <row r="133" spans="1:17">
      <c r="A133" s="20">
        <f t="shared" si="42"/>
        <v>44896</v>
      </c>
      <c r="B133">
        <f t="shared" si="43"/>
        <v>12</v>
      </c>
      <c r="C133">
        <f t="shared" si="44"/>
        <v>2022</v>
      </c>
      <c r="D133" s="6">
        <f>'Monthly Data'!S133</f>
        <v>9508018.5319566317</v>
      </c>
      <c r="E133" s="7">
        <f t="shared" ca="1" si="31"/>
        <v>0</v>
      </c>
      <c r="F133">
        <f>'Monthly Data'!CF133</f>
        <v>31</v>
      </c>
      <c r="G133">
        <f>'Monthly Data'!BN133</f>
        <v>132</v>
      </c>
      <c r="H133">
        <f>'Monthly Data'!CB133</f>
        <v>1</v>
      </c>
      <c r="I133">
        <f>'Monthly Data'!CJ133</f>
        <v>0</v>
      </c>
      <c r="K133" s="6">
        <f t="shared" si="45"/>
        <v>475930.57328307</v>
      </c>
      <c r="L133" s="6">
        <f t="shared" ca="1" si="46"/>
        <v>0</v>
      </c>
      <c r="M133" s="6">
        <f t="shared" si="47"/>
        <v>10445590.485508041</v>
      </c>
      <c r="N133" s="6">
        <f t="shared" si="48"/>
        <v>-655993.72780217498</v>
      </c>
      <c r="O133" s="6">
        <f t="shared" si="49"/>
        <v>-634211.854533192</v>
      </c>
      <c r="P133" s="6">
        <f t="shared" si="51"/>
        <v>0</v>
      </c>
      <c r="Q133" s="6">
        <f t="shared" ca="1" si="50"/>
        <v>9631315.4764557462</v>
      </c>
    </row>
    <row r="134" spans="1:17">
      <c r="A134" s="20">
        <f t="shared" si="42"/>
        <v>44927</v>
      </c>
      <c r="B134">
        <f t="shared" ref="B134:B145" si="52">MONTH(A134)</f>
        <v>1</v>
      </c>
      <c r="C134">
        <f t="shared" ref="C134:C145" si="53">YEAR(A134)</f>
        <v>2023</v>
      </c>
      <c r="E134" s="7">
        <f t="shared" ca="1" si="31"/>
        <v>0</v>
      </c>
      <c r="F134" s="11">
        <f t="shared" ref="F134:F145" si="54">F86</f>
        <v>31</v>
      </c>
      <c r="G134" s="11">
        <f t="shared" ref="G134:G145" si="55">1+G133</f>
        <v>133</v>
      </c>
      <c r="H134" s="11">
        <f t="shared" ref="H134:H145" si="56">H122</f>
        <v>0</v>
      </c>
      <c r="I134">
        <f>'Monthly Data'!CJ148</f>
        <v>0</v>
      </c>
      <c r="K134" s="6">
        <f t="shared" si="45"/>
        <v>475930.57328307</v>
      </c>
      <c r="L134" s="6">
        <f t="shared" ca="1" si="46"/>
        <v>0</v>
      </c>
      <c r="M134" s="6">
        <f t="shared" si="47"/>
        <v>10445590.485508041</v>
      </c>
      <c r="N134" s="6">
        <f t="shared" si="48"/>
        <v>-660963.37725522171</v>
      </c>
      <c r="O134" s="6">
        <f t="shared" si="49"/>
        <v>0</v>
      </c>
      <c r="P134" s="6">
        <f t="shared" si="51"/>
        <v>0</v>
      </c>
      <c r="Q134" s="6">
        <f t="shared" ca="1" si="50"/>
        <v>10260557.68153589</v>
      </c>
    </row>
    <row r="135" spans="1:17">
      <c r="A135" s="20">
        <f t="shared" si="42"/>
        <v>44958</v>
      </c>
      <c r="B135">
        <f t="shared" si="52"/>
        <v>2</v>
      </c>
      <c r="C135">
        <f t="shared" si="53"/>
        <v>2023</v>
      </c>
      <c r="E135" s="7">
        <f t="shared" ca="1" si="31"/>
        <v>0</v>
      </c>
      <c r="F135" s="11">
        <f t="shared" si="54"/>
        <v>28</v>
      </c>
      <c r="G135" s="11">
        <f t="shared" si="55"/>
        <v>134</v>
      </c>
      <c r="H135" s="11">
        <f t="shared" si="56"/>
        <v>0</v>
      </c>
      <c r="I135">
        <f>'Monthly Data'!CJ149</f>
        <v>0</v>
      </c>
      <c r="K135" s="6">
        <f t="shared" si="45"/>
        <v>475930.57328307</v>
      </c>
      <c r="L135" s="6">
        <f t="shared" ca="1" si="46"/>
        <v>0</v>
      </c>
      <c r="M135" s="6">
        <f t="shared" si="47"/>
        <v>9434726.8901362959</v>
      </c>
      <c r="N135" s="6">
        <f t="shared" si="48"/>
        <v>-665933.02670826844</v>
      </c>
      <c r="O135" s="6">
        <f t="shared" si="49"/>
        <v>0</v>
      </c>
      <c r="P135" s="6">
        <f t="shared" si="51"/>
        <v>0</v>
      </c>
      <c r="Q135" s="6">
        <f t="shared" ca="1" si="50"/>
        <v>9244724.436711099</v>
      </c>
    </row>
    <row r="136" spans="1:17">
      <c r="A136" s="20">
        <f t="shared" si="42"/>
        <v>44986</v>
      </c>
      <c r="B136">
        <f t="shared" si="52"/>
        <v>3</v>
      </c>
      <c r="C136">
        <f t="shared" si="53"/>
        <v>2023</v>
      </c>
      <c r="E136" s="7">
        <f t="shared" ca="1" si="31"/>
        <v>1.9999999999999928E-2</v>
      </c>
      <c r="F136" s="11">
        <f t="shared" si="54"/>
        <v>31</v>
      </c>
      <c r="G136" s="11">
        <f t="shared" si="55"/>
        <v>135</v>
      </c>
      <c r="H136" s="11">
        <f t="shared" si="56"/>
        <v>0</v>
      </c>
      <c r="I136">
        <f>'Monthly Data'!CJ150</f>
        <v>0</v>
      </c>
      <c r="K136" s="6">
        <f t="shared" si="45"/>
        <v>475930.57328307</v>
      </c>
      <c r="L136" s="6">
        <f t="shared" ca="1" si="46"/>
        <v>68.454863158104146</v>
      </c>
      <c r="M136" s="6">
        <f t="shared" si="47"/>
        <v>10445590.485508041</v>
      </c>
      <c r="N136" s="6">
        <f t="shared" si="48"/>
        <v>-670902.67616131529</v>
      </c>
      <c r="O136" s="6">
        <f t="shared" si="49"/>
        <v>0</v>
      </c>
      <c r="P136" s="6">
        <f t="shared" si="51"/>
        <v>0</v>
      </c>
      <c r="Q136" s="6">
        <f t="shared" ca="1" si="50"/>
        <v>10250686.837492954</v>
      </c>
    </row>
    <row r="137" spans="1:17">
      <c r="A137" s="20">
        <f t="shared" si="42"/>
        <v>45017</v>
      </c>
      <c r="B137">
        <f t="shared" si="52"/>
        <v>4</v>
      </c>
      <c r="C137">
        <f t="shared" si="53"/>
        <v>2023</v>
      </c>
      <c r="E137" s="7">
        <f t="shared" ca="1" si="31"/>
        <v>1.3500000000000003</v>
      </c>
      <c r="F137" s="11">
        <f t="shared" si="54"/>
        <v>30</v>
      </c>
      <c r="G137" s="11">
        <f t="shared" si="55"/>
        <v>136</v>
      </c>
      <c r="H137" s="11">
        <f t="shared" si="56"/>
        <v>0</v>
      </c>
      <c r="I137">
        <f>'Monthly Data'!CJ151</f>
        <v>0</v>
      </c>
      <c r="K137" s="6">
        <f t="shared" si="45"/>
        <v>475930.57328307</v>
      </c>
      <c r="L137" s="6">
        <f t="shared" ca="1" si="46"/>
        <v>4620.7032631720476</v>
      </c>
      <c r="M137" s="6">
        <f t="shared" si="47"/>
        <v>10108635.953717459</v>
      </c>
      <c r="N137" s="6">
        <f t="shared" si="48"/>
        <v>-675872.32561436202</v>
      </c>
      <c r="O137" s="6">
        <f t="shared" si="49"/>
        <v>0</v>
      </c>
      <c r="P137" s="6">
        <f t="shared" si="51"/>
        <v>0</v>
      </c>
      <c r="Q137" s="6">
        <f t="shared" ca="1" si="50"/>
        <v>9913314.9046493396</v>
      </c>
    </row>
    <row r="138" spans="1:17">
      <c r="A138" s="20">
        <f t="shared" si="42"/>
        <v>45047</v>
      </c>
      <c r="B138">
        <f t="shared" si="52"/>
        <v>5</v>
      </c>
      <c r="C138">
        <f t="shared" si="53"/>
        <v>2023</v>
      </c>
      <c r="E138" s="7">
        <f t="shared" ca="1" si="31"/>
        <v>42.72</v>
      </c>
      <c r="F138" s="11">
        <f t="shared" si="54"/>
        <v>31</v>
      </c>
      <c r="G138" s="11">
        <f t="shared" si="55"/>
        <v>137</v>
      </c>
      <c r="H138" s="11">
        <f t="shared" si="56"/>
        <v>0</v>
      </c>
      <c r="I138">
        <f>'Monthly Data'!CJ152</f>
        <v>0</v>
      </c>
      <c r="K138" s="6">
        <f t="shared" si="45"/>
        <v>475930.57328307</v>
      </c>
      <c r="L138" s="6">
        <f t="shared" ca="1" si="46"/>
        <v>146219.58770571099</v>
      </c>
      <c r="M138" s="6">
        <f t="shared" si="47"/>
        <v>10445590.485508041</v>
      </c>
      <c r="N138" s="6">
        <f t="shared" si="48"/>
        <v>-680841.97506740887</v>
      </c>
      <c r="O138" s="6">
        <f t="shared" si="49"/>
        <v>0</v>
      </c>
      <c r="P138" s="6">
        <f t="shared" si="51"/>
        <v>0</v>
      </c>
      <c r="Q138" s="6">
        <f t="shared" ca="1" si="50"/>
        <v>10386898.671429414</v>
      </c>
    </row>
    <row r="139" spans="1:17">
      <c r="A139" s="20">
        <f t="shared" si="42"/>
        <v>45078</v>
      </c>
      <c r="B139">
        <f t="shared" si="52"/>
        <v>6</v>
      </c>
      <c r="C139">
        <f t="shared" si="53"/>
        <v>2023</v>
      </c>
      <c r="E139" s="7">
        <f t="shared" ca="1" si="31"/>
        <v>97.63000000000001</v>
      </c>
      <c r="F139" s="11">
        <f t="shared" si="54"/>
        <v>30</v>
      </c>
      <c r="G139" s="11">
        <f t="shared" si="55"/>
        <v>138</v>
      </c>
      <c r="H139" s="11">
        <f t="shared" si="56"/>
        <v>0</v>
      </c>
      <c r="I139">
        <f>'Monthly Data'!CJ153</f>
        <v>0</v>
      </c>
      <c r="K139" s="6">
        <f t="shared" si="45"/>
        <v>475930.57328307</v>
      </c>
      <c r="L139" s="6">
        <f t="shared" ca="1" si="46"/>
        <v>334162.41450628667</v>
      </c>
      <c r="M139" s="6">
        <f t="shared" si="47"/>
        <v>10108635.953717459</v>
      </c>
      <c r="N139" s="6">
        <f t="shared" si="48"/>
        <v>-685811.6245204556</v>
      </c>
      <c r="O139" s="6">
        <f t="shared" si="49"/>
        <v>0</v>
      </c>
      <c r="P139" s="6">
        <f t="shared" si="51"/>
        <v>0</v>
      </c>
      <c r="Q139" s="6">
        <f t="shared" ca="1" si="50"/>
        <v>10232917.31698636</v>
      </c>
    </row>
    <row r="140" spans="1:17">
      <c r="A140" s="20">
        <f t="shared" si="42"/>
        <v>45108</v>
      </c>
      <c r="B140">
        <f t="shared" si="52"/>
        <v>7</v>
      </c>
      <c r="C140">
        <f t="shared" si="53"/>
        <v>2023</v>
      </c>
      <c r="E140" s="7">
        <f t="shared" ca="1" si="31"/>
        <v>172.46999999999997</v>
      </c>
      <c r="F140" s="11">
        <f t="shared" si="54"/>
        <v>31</v>
      </c>
      <c r="G140" s="11">
        <f t="shared" si="55"/>
        <v>139</v>
      </c>
      <c r="H140" s="11">
        <f t="shared" si="56"/>
        <v>0</v>
      </c>
      <c r="I140">
        <f>'Monthly Data'!CJ154</f>
        <v>0</v>
      </c>
      <c r="K140" s="6">
        <f t="shared" si="45"/>
        <v>475930.57328307</v>
      </c>
      <c r="L140" s="6">
        <f t="shared" ca="1" si="46"/>
        <v>590320.51244391315</v>
      </c>
      <c r="M140" s="6">
        <f t="shared" si="47"/>
        <v>10445590.485508041</v>
      </c>
      <c r="N140" s="6">
        <f t="shared" si="48"/>
        <v>-690781.27397350245</v>
      </c>
      <c r="O140" s="6">
        <f t="shared" si="49"/>
        <v>0</v>
      </c>
      <c r="P140" s="6">
        <f t="shared" si="51"/>
        <v>0</v>
      </c>
      <c r="Q140" s="6">
        <f t="shared" ca="1" si="50"/>
        <v>10821060.297261523</v>
      </c>
    </row>
    <row r="141" spans="1:17">
      <c r="A141" s="20">
        <f t="shared" si="42"/>
        <v>45139</v>
      </c>
      <c r="B141">
        <f t="shared" si="52"/>
        <v>8</v>
      </c>
      <c r="C141">
        <f t="shared" si="53"/>
        <v>2023</v>
      </c>
      <c r="E141" s="7">
        <f t="shared" ca="1" si="31"/>
        <v>155.49999999999997</v>
      </c>
      <c r="F141" s="11">
        <f t="shared" si="54"/>
        <v>31</v>
      </c>
      <c r="G141" s="11">
        <f t="shared" si="55"/>
        <v>140</v>
      </c>
      <c r="H141" s="11">
        <f t="shared" si="56"/>
        <v>0</v>
      </c>
      <c r="I141">
        <f>'Monthly Data'!CJ155</f>
        <v>0</v>
      </c>
      <c r="K141" s="6">
        <f t="shared" si="45"/>
        <v>475930.57328307</v>
      </c>
      <c r="L141" s="6">
        <f t="shared" ca="1" si="46"/>
        <v>532236.56105426163</v>
      </c>
      <c r="M141" s="6">
        <f t="shared" si="47"/>
        <v>10445590.485508041</v>
      </c>
      <c r="N141" s="6">
        <f t="shared" si="48"/>
        <v>-695750.92342654918</v>
      </c>
      <c r="O141" s="6">
        <f t="shared" si="49"/>
        <v>0</v>
      </c>
      <c r="P141" s="6">
        <f t="shared" si="51"/>
        <v>0</v>
      </c>
      <c r="Q141" s="6">
        <f t="shared" ca="1" si="50"/>
        <v>10758006.696418824</v>
      </c>
    </row>
    <row r="142" spans="1:17">
      <c r="A142" s="20">
        <f t="shared" si="42"/>
        <v>45170</v>
      </c>
      <c r="B142">
        <f t="shared" si="52"/>
        <v>9</v>
      </c>
      <c r="C142">
        <f t="shared" si="53"/>
        <v>2023</v>
      </c>
      <c r="E142" s="7">
        <f t="shared" ca="1" si="31"/>
        <v>76.13</v>
      </c>
      <c r="F142" s="11">
        <f t="shared" si="54"/>
        <v>30</v>
      </c>
      <c r="G142" s="11">
        <f t="shared" si="55"/>
        <v>141</v>
      </c>
      <c r="H142" s="11">
        <f t="shared" si="56"/>
        <v>0</v>
      </c>
      <c r="I142">
        <f>'Monthly Data'!CJ156</f>
        <v>0</v>
      </c>
      <c r="K142" s="6">
        <f t="shared" si="45"/>
        <v>475930.57328307</v>
      </c>
      <c r="L142" s="6">
        <f t="shared" ca="1" si="46"/>
        <v>260573.43661132437</v>
      </c>
      <c r="M142" s="6">
        <f t="shared" si="47"/>
        <v>10108635.953717459</v>
      </c>
      <c r="N142" s="6">
        <f t="shared" si="48"/>
        <v>-700720.57287959591</v>
      </c>
      <c r="O142" s="6">
        <f t="shared" si="49"/>
        <v>0</v>
      </c>
      <c r="P142" s="6">
        <f t="shared" si="51"/>
        <v>0</v>
      </c>
      <c r="Q142" s="6">
        <f t="shared" ca="1" si="50"/>
        <v>10144419.390732257</v>
      </c>
    </row>
    <row r="143" spans="1:17">
      <c r="A143" s="20">
        <f t="shared" si="42"/>
        <v>45200</v>
      </c>
      <c r="B143">
        <f t="shared" si="52"/>
        <v>10</v>
      </c>
      <c r="C143">
        <f t="shared" si="53"/>
        <v>2023</v>
      </c>
      <c r="E143" s="7">
        <f t="shared" ref="E143:E145" ca="1" si="57">E131</f>
        <v>15.330000000000002</v>
      </c>
      <c r="F143" s="11">
        <f t="shared" si="54"/>
        <v>31</v>
      </c>
      <c r="G143" s="11">
        <f t="shared" si="55"/>
        <v>142</v>
      </c>
      <c r="H143" s="11">
        <f t="shared" si="56"/>
        <v>0</v>
      </c>
      <c r="I143">
        <f>'Monthly Data'!CJ157</f>
        <v>0</v>
      </c>
      <c r="K143" s="6">
        <f t="shared" si="45"/>
        <v>475930.57328307</v>
      </c>
      <c r="L143" s="6">
        <f t="shared" ca="1" si="46"/>
        <v>52470.65261068703</v>
      </c>
      <c r="M143" s="6">
        <f t="shared" si="47"/>
        <v>10445590.485508041</v>
      </c>
      <c r="N143" s="6">
        <f t="shared" si="48"/>
        <v>-705690.22233264276</v>
      </c>
      <c r="O143" s="6">
        <f t="shared" si="49"/>
        <v>0</v>
      </c>
      <c r="P143" s="6">
        <f t="shared" si="51"/>
        <v>0</v>
      </c>
      <c r="Q143" s="6">
        <f t="shared" ca="1" si="50"/>
        <v>10268301.489069154</v>
      </c>
    </row>
    <row r="144" spans="1:17">
      <c r="A144" s="20">
        <f t="shared" si="42"/>
        <v>45231</v>
      </c>
      <c r="B144">
        <f t="shared" si="52"/>
        <v>11</v>
      </c>
      <c r="C144">
        <f t="shared" si="53"/>
        <v>2023</v>
      </c>
      <c r="E144" s="7">
        <f t="shared" ca="1" si="57"/>
        <v>0.76000000000000012</v>
      </c>
      <c r="F144" s="11">
        <f t="shared" si="54"/>
        <v>30</v>
      </c>
      <c r="G144" s="11">
        <f t="shared" si="55"/>
        <v>143</v>
      </c>
      <c r="H144" s="11">
        <f t="shared" si="56"/>
        <v>0</v>
      </c>
      <c r="I144">
        <f>'Monthly Data'!CJ158</f>
        <v>0</v>
      </c>
      <c r="K144" s="6">
        <f t="shared" si="45"/>
        <v>475930.57328307</v>
      </c>
      <c r="L144" s="6">
        <f t="shared" ca="1" si="46"/>
        <v>2601.2848000079675</v>
      </c>
      <c r="M144" s="6">
        <f t="shared" si="47"/>
        <v>10108635.953717459</v>
      </c>
      <c r="N144" s="6">
        <f t="shared" si="48"/>
        <v>-710659.87178568949</v>
      </c>
      <c r="O144" s="6">
        <f t="shared" si="49"/>
        <v>0</v>
      </c>
      <c r="P144" s="6">
        <f t="shared" si="51"/>
        <v>0</v>
      </c>
      <c r="Q144" s="6">
        <f t="shared" ca="1" si="50"/>
        <v>9876507.9400148485</v>
      </c>
    </row>
    <row r="145" spans="1:17">
      <c r="A145" s="20">
        <f t="shared" si="42"/>
        <v>45261</v>
      </c>
      <c r="B145">
        <f t="shared" si="52"/>
        <v>12</v>
      </c>
      <c r="C145">
        <f t="shared" si="53"/>
        <v>2023</v>
      </c>
      <c r="E145" s="7">
        <f t="shared" ca="1" si="57"/>
        <v>0</v>
      </c>
      <c r="F145" s="11">
        <f t="shared" si="54"/>
        <v>31</v>
      </c>
      <c r="G145" s="11">
        <f t="shared" si="55"/>
        <v>144</v>
      </c>
      <c r="H145" s="11">
        <f t="shared" si="56"/>
        <v>1</v>
      </c>
      <c r="I145">
        <f>'Monthly Data'!CJ159</f>
        <v>0</v>
      </c>
      <c r="K145" s="6">
        <f t="shared" si="45"/>
        <v>475930.57328307</v>
      </c>
      <c r="L145" s="6">
        <f t="shared" ca="1" si="46"/>
        <v>0</v>
      </c>
      <c r="M145" s="6">
        <f t="shared" si="47"/>
        <v>10445590.485508041</v>
      </c>
      <c r="N145" s="6">
        <f t="shared" si="48"/>
        <v>-715629.52123873634</v>
      </c>
      <c r="O145" s="6">
        <f t="shared" si="49"/>
        <v>-634211.854533192</v>
      </c>
      <c r="P145" s="6">
        <f t="shared" si="51"/>
        <v>0</v>
      </c>
      <c r="Q145" s="6">
        <f t="shared" ca="1" si="50"/>
        <v>9571679.6830191836</v>
      </c>
    </row>
    <row r="146" spans="1:17">
      <c r="A146" s="20"/>
      <c r="E146" s="14"/>
      <c r="F146" s="11"/>
      <c r="G146" s="11"/>
      <c r="H146" s="11"/>
      <c r="I146" s="11"/>
    </row>
    <row r="147" spans="1:17">
      <c r="A147" s="20"/>
      <c r="E147" s="14"/>
      <c r="F147" s="11"/>
      <c r="G147" s="11"/>
      <c r="H147" s="11"/>
      <c r="I147" s="11"/>
    </row>
    <row r="148" spans="1:17">
      <c r="A148" s="20"/>
      <c r="E148" s="14"/>
      <c r="F148" s="11"/>
      <c r="G148" s="11"/>
      <c r="H148" s="11"/>
      <c r="I148" s="11"/>
    </row>
    <row r="149" spans="1:17">
      <c r="A149" s="20"/>
      <c r="E149" s="14"/>
      <c r="F149" s="11"/>
      <c r="G149" s="11"/>
      <c r="H149" s="11"/>
      <c r="I149" s="1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S147"/>
  <sheetViews>
    <sheetView topLeftCell="C1" workbookViewId="0">
      <selection activeCell="O2" sqref="O2:S18"/>
    </sheetView>
  </sheetViews>
  <sheetFormatPr defaultRowHeight="15"/>
  <cols>
    <col min="1" max="1" width="12.28515625" customWidth="1"/>
    <col min="4" max="4" width="16.85546875" customWidth="1"/>
    <col min="9" max="9" width="11.5703125" bestFit="1" customWidth="1"/>
    <col min="10" max="10" width="14.28515625" bestFit="1" customWidth="1"/>
    <col min="11" max="11" width="13.28515625" bestFit="1" customWidth="1"/>
    <col min="12" max="12" width="14" bestFit="1" customWidth="1"/>
    <col min="13" max="13" width="12" customWidth="1"/>
    <col min="15" max="15" width="14.7109375" customWidth="1"/>
    <col min="16" max="16" width="12.140625" customWidth="1"/>
    <col min="17" max="17" width="13" customWidth="1"/>
    <col min="18" max="18" width="11.7109375" customWidth="1"/>
  </cols>
  <sheetData>
    <row r="1" spans="1:19">
      <c r="A1" t="s">
        <v>0</v>
      </c>
      <c r="B1" t="s">
        <v>52</v>
      </c>
      <c r="C1" t="s">
        <v>53</v>
      </c>
      <c r="D1" t="str">
        <f>'Monthly Data'!X1</f>
        <v>LUkWh_NoCDM</v>
      </c>
      <c r="E1" t="str">
        <f>'Monthly Data'!CF1</f>
        <v>Month Days</v>
      </c>
      <c r="F1" t="str">
        <f>'Monthly Data'!BG1</f>
        <v>O&amp;G_GDP</v>
      </c>
      <c r="G1" t="str">
        <f>'Monthly Data'!CD1</f>
        <v>Fall</v>
      </c>
      <c r="I1" t="s">
        <v>85</v>
      </c>
      <c r="J1" t="str">
        <f>E1</f>
        <v>Month Days</v>
      </c>
      <c r="K1" t="str">
        <f>F1</f>
        <v>O&amp;G_GDP</v>
      </c>
      <c r="L1" t="str">
        <f>G1</f>
        <v>Fall</v>
      </c>
      <c r="M1" t="s">
        <v>86</v>
      </c>
    </row>
    <row r="2" spans="1:19">
      <c r="A2" s="20">
        <f>'Monthly Data'!A2</f>
        <v>40909</v>
      </c>
      <c r="B2">
        <f t="shared" ref="B2:B46" si="0">MONTH(A2)</f>
        <v>1</v>
      </c>
      <c r="C2">
        <f t="shared" ref="C2:C46" si="1">YEAR(A2)</f>
        <v>2012</v>
      </c>
      <c r="D2" s="70">
        <f>'Monthly Data'!X2</f>
        <v>23834836.064902499</v>
      </c>
      <c r="E2">
        <f>'Monthly Data'!CF2</f>
        <v>31</v>
      </c>
      <c r="F2">
        <f>'Monthly Data'!BG2</f>
        <v>38.299999999999997</v>
      </c>
      <c r="G2">
        <f>'Monthly Data'!CD2</f>
        <v>0</v>
      </c>
      <c r="I2" s="6">
        <f t="shared" ref="I2:I33" si="2">$P$7</f>
        <v>-912678.24653403205</v>
      </c>
      <c r="J2" s="6">
        <f t="shared" ref="J2:J33" si="3">E2*$P$8</f>
        <v>23764999.536230937</v>
      </c>
      <c r="K2" s="6">
        <f t="shared" ref="K2:K33" si="4">F2*$P$9</f>
        <v>194519.49241865522</v>
      </c>
      <c r="L2" s="6">
        <f>G2*$P$10</f>
        <v>0</v>
      </c>
      <c r="M2" s="6">
        <f t="shared" ref="M2:M33" si="5">SUM(I2:L2)</f>
        <v>23046840.78211556</v>
      </c>
      <c r="O2" t="s">
        <v>382</v>
      </c>
    </row>
    <row r="3" spans="1:19">
      <c r="A3" s="20">
        <f>'Monthly Data'!A3</f>
        <v>40940</v>
      </c>
      <c r="B3">
        <f t="shared" si="0"/>
        <v>2</v>
      </c>
      <c r="C3">
        <f t="shared" si="1"/>
        <v>2012</v>
      </c>
      <c r="D3" s="70">
        <f>'Monthly Data'!X3</f>
        <v>20937848.494860001</v>
      </c>
      <c r="E3">
        <f>'Monthly Data'!CF3</f>
        <v>29</v>
      </c>
      <c r="F3">
        <f>'Monthly Data'!BG3</f>
        <v>38.299999999999997</v>
      </c>
      <c r="G3">
        <f>'Monthly Data'!CD3</f>
        <v>0</v>
      </c>
      <c r="I3" s="6">
        <f t="shared" si="2"/>
        <v>-912678.24653403205</v>
      </c>
      <c r="J3" s="6">
        <f t="shared" si="3"/>
        <v>22231773.759699907</v>
      </c>
      <c r="K3" s="6">
        <f t="shared" si="4"/>
        <v>194519.49241865522</v>
      </c>
      <c r="L3" s="6">
        <f t="shared" ref="L3:L66" si="6">G3*$P$10</f>
        <v>0</v>
      </c>
      <c r="M3" s="6">
        <f t="shared" si="5"/>
        <v>21513615.005584531</v>
      </c>
      <c r="O3" t="s">
        <v>106</v>
      </c>
    </row>
    <row r="4" spans="1:19">
      <c r="A4" s="20">
        <f>'Monthly Data'!A4</f>
        <v>40969</v>
      </c>
      <c r="B4">
        <f t="shared" si="0"/>
        <v>3</v>
      </c>
      <c r="C4">
        <f t="shared" si="1"/>
        <v>2012</v>
      </c>
      <c r="D4" s="70">
        <f>'Monthly Data'!X4</f>
        <v>23746994.903362501</v>
      </c>
      <c r="E4">
        <f>'Monthly Data'!CF4</f>
        <v>31</v>
      </c>
      <c r="F4">
        <f>'Monthly Data'!BG4</f>
        <v>38.299999999999997</v>
      </c>
      <c r="G4">
        <f>'Monthly Data'!CD4</f>
        <v>0</v>
      </c>
      <c r="I4" s="6">
        <f t="shared" si="2"/>
        <v>-912678.24653403205</v>
      </c>
      <c r="J4" s="6">
        <f t="shared" si="3"/>
        <v>23764999.536230937</v>
      </c>
      <c r="K4" s="6">
        <f t="shared" si="4"/>
        <v>194519.49241865522</v>
      </c>
      <c r="L4" s="6">
        <f t="shared" si="6"/>
        <v>0</v>
      </c>
      <c r="M4" s="6">
        <f t="shared" si="5"/>
        <v>23046840.78211556</v>
      </c>
      <c r="O4" t="s">
        <v>388</v>
      </c>
    </row>
    <row r="5" spans="1:19">
      <c r="A5" s="20">
        <f>'Monthly Data'!A5</f>
        <v>41000</v>
      </c>
      <c r="B5">
        <f t="shared" si="0"/>
        <v>4</v>
      </c>
      <c r="C5">
        <f t="shared" si="1"/>
        <v>2012</v>
      </c>
      <c r="D5" s="70">
        <f>'Monthly Data'!X5</f>
        <v>23562709.501567502</v>
      </c>
      <c r="E5">
        <f>'Monthly Data'!CF5</f>
        <v>30</v>
      </c>
      <c r="F5">
        <f>'Monthly Data'!BG5</f>
        <v>38.299999999999997</v>
      </c>
      <c r="G5">
        <f>'Monthly Data'!CD5</f>
        <v>0</v>
      </c>
      <c r="I5" s="6">
        <f t="shared" si="2"/>
        <v>-912678.24653403205</v>
      </c>
      <c r="J5" s="6">
        <f t="shared" si="3"/>
        <v>22998386.64796542</v>
      </c>
      <c r="K5" s="6">
        <f t="shared" si="4"/>
        <v>194519.49241865522</v>
      </c>
      <c r="L5" s="6">
        <f t="shared" si="6"/>
        <v>0</v>
      </c>
      <c r="M5" s="6">
        <f t="shared" si="5"/>
        <v>22280227.893850043</v>
      </c>
    </row>
    <row r="6" spans="1:19">
      <c r="A6" s="20">
        <f>'Monthly Data'!A6</f>
        <v>41030</v>
      </c>
      <c r="B6">
        <f t="shared" si="0"/>
        <v>5</v>
      </c>
      <c r="C6">
        <f t="shared" si="1"/>
        <v>2012</v>
      </c>
      <c r="D6" s="70">
        <f>'Monthly Data'!X6</f>
        <v>21444338.7360675</v>
      </c>
      <c r="E6">
        <f>'Monthly Data'!CF6</f>
        <v>31</v>
      </c>
      <c r="F6">
        <f>'Monthly Data'!BG6</f>
        <v>38.299999999999997</v>
      </c>
      <c r="G6">
        <f>'Monthly Data'!CD6</f>
        <v>0</v>
      </c>
      <c r="I6" s="6">
        <f t="shared" si="2"/>
        <v>-912678.24653403205</v>
      </c>
      <c r="J6" s="6">
        <f t="shared" si="3"/>
        <v>23764999.536230937</v>
      </c>
      <c r="K6" s="6">
        <f t="shared" si="4"/>
        <v>194519.49241865522</v>
      </c>
      <c r="L6" s="6">
        <f t="shared" si="6"/>
        <v>0</v>
      </c>
      <c r="M6" s="6">
        <f t="shared" si="5"/>
        <v>23046840.78211556</v>
      </c>
      <c r="P6" t="s">
        <v>89</v>
      </c>
      <c r="Q6" t="s">
        <v>90</v>
      </c>
      <c r="R6" t="s">
        <v>91</v>
      </c>
      <c r="S6" t="s">
        <v>92</v>
      </c>
    </row>
    <row r="7" spans="1:19">
      <c r="A7" s="20">
        <f>'Monthly Data'!A7</f>
        <v>41061</v>
      </c>
      <c r="B7">
        <f t="shared" si="0"/>
        <v>6</v>
      </c>
      <c r="C7">
        <f t="shared" si="1"/>
        <v>2012</v>
      </c>
      <c r="D7" s="70">
        <f>'Monthly Data'!X7</f>
        <v>21848126.405985001</v>
      </c>
      <c r="E7">
        <f>'Monthly Data'!CF7</f>
        <v>30</v>
      </c>
      <c r="F7">
        <f>'Monthly Data'!BG7</f>
        <v>38.299999999999997</v>
      </c>
      <c r="G7">
        <f>'Monthly Data'!CD7</f>
        <v>0</v>
      </c>
      <c r="I7" s="6">
        <f t="shared" si="2"/>
        <v>-912678.24653403205</v>
      </c>
      <c r="J7" s="6">
        <f t="shared" si="3"/>
        <v>22998386.64796542</v>
      </c>
      <c r="K7" s="6">
        <f t="shared" si="4"/>
        <v>194519.49241865522</v>
      </c>
      <c r="L7" s="6">
        <f t="shared" si="6"/>
        <v>0</v>
      </c>
      <c r="M7" s="6">
        <f t="shared" si="5"/>
        <v>22280227.893850043</v>
      </c>
      <c r="O7" t="s">
        <v>85</v>
      </c>
      <c r="P7" s="6">
        <v>-912678.24653403205</v>
      </c>
      <c r="Q7" s="70">
        <v>3385445.1031390601</v>
      </c>
      <c r="R7" s="85">
        <v>-0.26958884835786501</v>
      </c>
      <c r="S7" s="240">
        <v>0.787910698198656</v>
      </c>
    </row>
    <row r="8" spans="1:19">
      <c r="A8" s="20">
        <f>'Monthly Data'!A8</f>
        <v>41091</v>
      </c>
      <c r="B8">
        <f t="shared" si="0"/>
        <v>7</v>
      </c>
      <c r="C8">
        <f t="shared" si="1"/>
        <v>2012</v>
      </c>
      <c r="D8" s="70">
        <f>'Monthly Data'!X8</f>
        <v>23009052.228524998</v>
      </c>
      <c r="E8">
        <f>'Monthly Data'!CF8</f>
        <v>31</v>
      </c>
      <c r="F8">
        <f>'Monthly Data'!BG8</f>
        <v>38.299999999999997</v>
      </c>
      <c r="G8">
        <f>'Monthly Data'!CD8</f>
        <v>0</v>
      </c>
      <c r="I8" s="6">
        <f t="shared" si="2"/>
        <v>-912678.24653403205</v>
      </c>
      <c r="J8" s="6">
        <f t="shared" si="3"/>
        <v>23764999.536230937</v>
      </c>
      <c r="K8" s="6">
        <f t="shared" si="4"/>
        <v>194519.49241865522</v>
      </c>
      <c r="L8" s="6">
        <f t="shared" si="6"/>
        <v>0</v>
      </c>
      <c r="M8" s="6">
        <f t="shared" si="5"/>
        <v>23046840.78211556</v>
      </c>
      <c r="O8" t="s">
        <v>93</v>
      </c>
      <c r="P8" s="6">
        <v>766612.88826551405</v>
      </c>
      <c r="Q8" s="70">
        <v>110278.45951093</v>
      </c>
      <c r="R8" s="85">
        <v>6.9516104202519298</v>
      </c>
      <c r="S8" s="240">
        <v>1.6499881420947E-10</v>
      </c>
    </row>
    <row r="9" spans="1:19">
      <c r="A9" s="20">
        <f>'Monthly Data'!A9</f>
        <v>41122</v>
      </c>
      <c r="B9">
        <f t="shared" si="0"/>
        <v>8</v>
      </c>
      <c r="C9">
        <f t="shared" si="1"/>
        <v>2012</v>
      </c>
      <c r="D9" s="70">
        <f>'Monthly Data'!X9</f>
        <v>24714359.7245325</v>
      </c>
      <c r="E9">
        <f>'Monthly Data'!CF9</f>
        <v>31</v>
      </c>
      <c r="F9">
        <f>'Monthly Data'!BG9</f>
        <v>38.299999999999997</v>
      </c>
      <c r="G9">
        <f>'Monthly Data'!CD9</f>
        <v>0</v>
      </c>
      <c r="I9" s="6">
        <f t="shared" si="2"/>
        <v>-912678.24653403205</v>
      </c>
      <c r="J9" s="6">
        <f t="shared" si="3"/>
        <v>23764999.536230937</v>
      </c>
      <c r="K9" s="6">
        <f t="shared" si="4"/>
        <v>194519.49241865522</v>
      </c>
      <c r="L9" s="6">
        <f t="shared" si="6"/>
        <v>0</v>
      </c>
      <c r="M9" s="6">
        <f t="shared" si="5"/>
        <v>23046840.78211556</v>
      </c>
      <c r="O9" t="s">
        <v>223</v>
      </c>
      <c r="P9" s="6">
        <v>5078.8379221580999</v>
      </c>
      <c r="Q9" s="70">
        <v>1840.6644927559701</v>
      </c>
      <c r="R9" s="85">
        <v>2.75924153594864</v>
      </c>
      <c r="S9" s="240">
        <v>6.64355715476496E-3</v>
      </c>
    </row>
    <row r="10" spans="1:19">
      <c r="A10" s="20">
        <f>'Monthly Data'!A10</f>
        <v>41153</v>
      </c>
      <c r="B10">
        <f t="shared" si="0"/>
        <v>9</v>
      </c>
      <c r="C10">
        <f t="shared" si="1"/>
        <v>2012</v>
      </c>
      <c r="D10" s="70">
        <f>'Monthly Data'!X10</f>
        <v>23088125.301615</v>
      </c>
      <c r="E10">
        <f>'Monthly Data'!CF10</f>
        <v>30</v>
      </c>
      <c r="F10">
        <f>'Monthly Data'!BG10</f>
        <v>38.299999999999997</v>
      </c>
      <c r="G10">
        <f>'Monthly Data'!CD10</f>
        <v>1</v>
      </c>
      <c r="I10" s="6">
        <f t="shared" si="2"/>
        <v>-912678.24653403205</v>
      </c>
      <c r="J10" s="6">
        <f t="shared" si="3"/>
        <v>22998386.64796542</v>
      </c>
      <c r="K10" s="6">
        <f t="shared" si="4"/>
        <v>194519.49241865522</v>
      </c>
      <c r="L10" s="6">
        <f t="shared" si="6"/>
        <v>-580482.53600244795</v>
      </c>
      <c r="M10" s="6">
        <f t="shared" si="5"/>
        <v>21699745.357847594</v>
      </c>
      <c r="O10" t="s">
        <v>66</v>
      </c>
      <c r="P10" s="6">
        <v>-580482.53600244795</v>
      </c>
      <c r="Q10" s="70">
        <v>346015.96887880203</v>
      </c>
      <c r="R10" s="85">
        <v>-1.67761776395289</v>
      </c>
      <c r="S10" s="240">
        <v>9.5861958477589798E-2</v>
      </c>
    </row>
    <row r="11" spans="1:19">
      <c r="A11" s="20">
        <f>'Monthly Data'!A11</f>
        <v>41183</v>
      </c>
      <c r="B11">
        <f t="shared" si="0"/>
        <v>10</v>
      </c>
      <c r="C11">
        <f t="shared" si="1"/>
        <v>2012</v>
      </c>
      <c r="D11" s="70">
        <f>'Monthly Data'!X11</f>
        <v>21735263.339707501</v>
      </c>
      <c r="E11">
        <f>'Monthly Data'!CF11</f>
        <v>31</v>
      </c>
      <c r="F11">
        <f>'Monthly Data'!BG11</f>
        <v>38.299999999999997</v>
      </c>
      <c r="G11">
        <f>'Monthly Data'!CD11</f>
        <v>1</v>
      </c>
      <c r="I11" s="6">
        <f t="shared" si="2"/>
        <v>-912678.24653403205</v>
      </c>
      <c r="J11" s="6">
        <f t="shared" si="3"/>
        <v>23764999.536230937</v>
      </c>
      <c r="K11" s="6">
        <f t="shared" si="4"/>
        <v>194519.49241865522</v>
      </c>
      <c r="L11" s="6">
        <f t="shared" si="6"/>
        <v>-580482.53600244795</v>
      </c>
      <c r="M11" s="6">
        <f t="shared" si="5"/>
        <v>22466358.24611311</v>
      </c>
      <c r="P11" s="6"/>
      <c r="Q11" s="70"/>
      <c r="R11" s="85"/>
      <c r="S11" s="240"/>
    </row>
    <row r="12" spans="1:19">
      <c r="A12" s="20">
        <f>'Monthly Data'!A12</f>
        <v>41214</v>
      </c>
      <c r="B12">
        <f t="shared" si="0"/>
        <v>11</v>
      </c>
      <c r="C12">
        <f t="shared" si="1"/>
        <v>2012</v>
      </c>
      <c r="D12" s="70">
        <f>'Monthly Data'!X12</f>
        <v>21728354.336369999</v>
      </c>
      <c r="E12">
        <f>'Monthly Data'!CF12</f>
        <v>30</v>
      </c>
      <c r="F12">
        <f>'Monthly Data'!BG12</f>
        <v>38.299999999999997</v>
      </c>
      <c r="G12">
        <f>'Monthly Data'!CD12</f>
        <v>0</v>
      </c>
      <c r="I12" s="6">
        <f t="shared" si="2"/>
        <v>-912678.24653403205</v>
      </c>
      <c r="J12" s="6">
        <f t="shared" si="3"/>
        <v>22998386.64796542</v>
      </c>
      <c r="K12" s="6">
        <f t="shared" si="4"/>
        <v>194519.49241865522</v>
      </c>
      <c r="L12" s="6">
        <f t="shared" si="6"/>
        <v>0</v>
      </c>
      <c r="M12" s="6">
        <f t="shared" si="5"/>
        <v>22280227.893850043</v>
      </c>
      <c r="O12" t="s">
        <v>190</v>
      </c>
    </row>
    <row r="13" spans="1:19">
      <c r="A13" s="20">
        <f>'Monthly Data'!A13</f>
        <v>41244</v>
      </c>
      <c r="B13">
        <f t="shared" si="0"/>
        <v>12</v>
      </c>
      <c r="C13">
        <f t="shared" si="1"/>
        <v>2012</v>
      </c>
      <c r="D13" s="70">
        <f>'Monthly Data'!X13</f>
        <v>22981434.2358975</v>
      </c>
      <c r="E13">
        <f>'Monthly Data'!CF13</f>
        <v>31</v>
      </c>
      <c r="F13">
        <f>'Monthly Data'!BG13</f>
        <v>38.299999999999997</v>
      </c>
      <c r="G13">
        <f>'Monthly Data'!CD13</f>
        <v>0</v>
      </c>
      <c r="I13" s="6">
        <f t="shared" si="2"/>
        <v>-912678.24653403205</v>
      </c>
      <c r="J13" s="6">
        <f t="shared" si="3"/>
        <v>23764999.536230937</v>
      </c>
      <c r="K13" s="6">
        <f t="shared" si="4"/>
        <v>194519.49241865522</v>
      </c>
      <c r="L13" s="6">
        <f t="shared" si="6"/>
        <v>0</v>
      </c>
      <c r="M13" s="6">
        <f t="shared" si="5"/>
        <v>23046840.78211556</v>
      </c>
      <c r="O13" t="s">
        <v>94</v>
      </c>
      <c r="P13">
        <v>23278495.989342202</v>
      </c>
      <c r="Q13" t="s">
        <v>95</v>
      </c>
      <c r="R13">
        <v>1845825.2796038</v>
      </c>
    </row>
    <row r="14" spans="1:19">
      <c r="A14" s="20">
        <f>'Monthly Data'!A14</f>
        <v>41275</v>
      </c>
      <c r="B14">
        <f t="shared" si="0"/>
        <v>1</v>
      </c>
      <c r="C14">
        <f t="shared" si="1"/>
        <v>2013</v>
      </c>
      <c r="D14" s="70">
        <f>'Monthly Data'!X14</f>
        <v>22069532.846835185</v>
      </c>
      <c r="E14">
        <f>'Monthly Data'!CF14</f>
        <v>31</v>
      </c>
      <c r="F14">
        <f>'Monthly Data'!BG14</f>
        <v>27.7</v>
      </c>
      <c r="G14">
        <f>'Monthly Data'!CD14</f>
        <v>0</v>
      </c>
      <c r="I14" s="6">
        <f t="shared" si="2"/>
        <v>-912678.24653403205</v>
      </c>
      <c r="J14" s="6">
        <f t="shared" si="3"/>
        <v>23764999.536230937</v>
      </c>
      <c r="K14" s="6">
        <f t="shared" si="4"/>
        <v>140683.81044377937</v>
      </c>
      <c r="L14" s="6">
        <f t="shared" si="6"/>
        <v>0</v>
      </c>
      <c r="M14" s="6">
        <f t="shared" si="5"/>
        <v>22993005.100140683</v>
      </c>
      <c r="O14" t="s">
        <v>96</v>
      </c>
      <c r="P14" s="6">
        <v>240871216423636</v>
      </c>
      <c r="Q14" t="s">
        <v>97</v>
      </c>
      <c r="R14" s="6">
        <v>1371789.4803174599</v>
      </c>
    </row>
    <row r="15" spans="1:19">
      <c r="A15" s="20">
        <f>'Monthly Data'!A15</f>
        <v>41306</v>
      </c>
      <c r="B15">
        <f t="shared" si="0"/>
        <v>2</v>
      </c>
      <c r="C15">
        <f t="shared" si="1"/>
        <v>2013</v>
      </c>
      <c r="D15" s="70">
        <f>'Monthly Data'!X15</f>
        <v>21742510.084312685</v>
      </c>
      <c r="E15">
        <f>'Monthly Data'!CF15</f>
        <v>28</v>
      </c>
      <c r="F15">
        <f>'Monthly Data'!BG15</f>
        <v>27.7</v>
      </c>
      <c r="G15">
        <f>'Monthly Data'!CD15</f>
        <v>0</v>
      </c>
      <c r="I15" s="6">
        <f t="shared" si="2"/>
        <v>-912678.24653403205</v>
      </c>
      <c r="J15" s="6">
        <f t="shared" si="3"/>
        <v>21465160.871434394</v>
      </c>
      <c r="K15" s="6">
        <f t="shared" si="4"/>
        <v>140683.81044377937</v>
      </c>
      <c r="L15" s="6">
        <f t="shared" si="6"/>
        <v>0</v>
      </c>
      <c r="M15" s="6">
        <f t="shared" si="5"/>
        <v>20693166.435344141</v>
      </c>
      <c r="O15" t="s">
        <v>98</v>
      </c>
      <c r="P15" s="241">
        <v>0.46033584728192001</v>
      </c>
      <c r="Q15" t="s">
        <v>99</v>
      </c>
      <c r="R15" s="6">
        <v>0.44768746870259002</v>
      </c>
    </row>
    <row r="16" spans="1:19">
      <c r="A16" s="20">
        <f>'Monthly Data'!A16</f>
        <v>41334</v>
      </c>
      <c r="B16">
        <f t="shared" si="0"/>
        <v>3</v>
      </c>
      <c r="C16">
        <f t="shared" si="1"/>
        <v>2013</v>
      </c>
      <c r="D16" s="70">
        <f>'Monthly Data'!X16</f>
        <v>24101552.512170181</v>
      </c>
      <c r="E16">
        <f>'Monthly Data'!CF16</f>
        <v>31</v>
      </c>
      <c r="F16">
        <f>'Monthly Data'!BG16</f>
        <v>27.7</v>
      </c>
      <c r="G16">
        <f>'Monthly Data'!CD16</f>
        <v>0</v>
      </c>
      <c r="I16" s="6">
        <f t="shared" si="2"/>
        <v>-912678.24653403205</v>
      </c>
      <c r="J16" s="6">
        <f t="shared" si="3"/>
        <v>23764999.536230937</v>
      </c>
      <c r="K16" s="6">
        <f t="shared" si="4"/>
        <v>140683.81044377937</v>
      </c>
      <c r="L16" s="6">
        <f t="shared" si="6"/>
        <v>0</v>
      </c>
      <c r="M16" s="6">
        <f t="shared" si="5"/>
        <v>22993005.100140683</v>
      </c>
      <c r="O16" t="s">
        <v>375</v>
      </c>
      <c r="P16" s="242">
        <v>34.572557190572098</v>
      </c>
      <c r="Q16" t="s">
        <v>100</v>
      </c>
      <c r="R16" s="120">
        <v>1.95722919259678E-16</v>
      </c>
    </row>
    <row r="17" spans="1:18">
      <c r="A17" s="20">
        <f>'Monthly Data'!A17</f>
        <v>41365</v>
      </c>
      <c r="B17">
        <f t="shared" si="0"/>
        <v>4</v>
      </c>
      <c r="C17">
        <f t="shared" si="1"/>
        <v>2013</v>
      </c>
      <c r="D17" s="70">
        <f>'Monthly Data'!X17</f>
        <v>20152519.055752683</v>
      </c>
      <c r="E17">
        <f>'Monthly Data'!CF17</f>
        <v>30</v>
      </c>
      <c r="F17">
        <f>'Monthly Data'!BG17</f>
        <v>27.7</v>
      </c>
      <c r="G17">
        <f>'Monthly Data'!CD17</f>
        <v>0</v>
      </c>
      <c r="I17" s="6">
        <f t="shared" si="2"/>
        <v>-912678.24653403205</v>
      </c>
      <c r="J17" s="6">
        <f t="shared" si="3"/>
        <v>22998386.64796542</v>
      </c>
      <c r="K17" s="6">
        <f t="shared" si="4"/>
        <v>140683.81044377937</v>
      </c>
      <c r="L17" s="6">
        <f t="shared" si="6"/>
        <v>0</v>
      </c>
      <c r="M17" s="6">
        <f t="shared" si="5"/>
        <v>22226392.211875167</v>
      </c>
      <c r="O17" t="s">
        <v>101</v>
      </c>
      <c r="P17" s="244">
        <v>-5.7722159722834098E-3</v>
      </c>
      <c r="Q17" t="s">
        <v>102</v>
      </c>
      <c r="R17" s="120">
        <v>1.99365129656361</v>
      </c>
    </row>
    <row r="18" spans="1:18">
      <c r="A18" s="20">
        <f>'Monthly Data'!A18</f>
        <v>41395</v>
      </c>
      <c r="B18">
        <f t="shared" si="0"/>
        <v>5</v>
      </c>
      <c r="C18">
        <f t="shared" si="1"/>
        <v>2013</v>
      </c>
      <c r="D18" s="70">
        <f>'Monthly Data'!X18</f>
        <v>22491203.862150185</v>
      </c>
      <c r="E18">
        <f>'Monthly Data'!CF18</f>
        <v>31</v>
      </c>
      <c r="F18">
        <f>'Monthly Data'!BG18</f>
        <v>27.7</v>
      </c>
      <c r="G18">
        <f>'Monthly Data'!CD18</f>
        <v>0</v>
      </c>
      <c r="I18" s="6">
        <f t="shared" si="2"/>
        <v>-912678.24653403205</v>
      </c>
      <c r="J18" s="6">
        <f t="shared" si="3"/>
        <v>23764999.536230937</v>
      </c>
      <c r="K18" s="6">
        <f t="shared" si="4"/>
        <v>140683.81044377937</v>
      </c>
      <c r="L18" s="6">
        <f t="shared" si="6"/>
        <v>0</v>
      </c>
      <c r="M18" s="6">
        <f t="shared" si="5"/>
        <v>22993005.100140683</v>
      </c>
      <c r="P18" s="243"/>
      <c r="R18" s="120"/>
    </row>
    <row r="19" spans="1:18">
      <c r="A19" s="20">
        <f>'Monthly Data'!A19</f>
        <v>41426</v>
      </c>
      <c r="B19">
        <f t="shared" si="0"/>
        <v>6</v>
      </c>
      <c r="C19">
        <f t="shared" si="1"/>
        <v>2013</v>
      </c>
      <c r="D19" s="70">
        <f>'Monthly Data'!X19</f>
        <v>22144008.17900268</v>
      </c>
      <c r="E19">
        <f>'Monthly Data'!CF19</f>
        <v>30</v>
      </c>
      <c r="F19">
        <f>'Monthly Data'!BG19</f>
        <v>27.7</v>
      </c>
      <c r="G19">
        <f>'Monthly Data'!CD19</f>
        <v>0</v>
      </c>
      <c r="I19" s="6">
        <f t="shared" si="2"/>
        <v>-912678.24653403205</v>
      </c>
      <c r="J19" s="6">
        <f t="shared" si="3"/>
        <v>22998386.64796542</v>
      </c>
      <c r="K19" s="6">
        <f t="shared" si="4"/>
        <v>140683.81044377937</v>
      </c>
      <c r="L19" s="6">
        <f t="shared" si="6"/>
        <v>0</v>
      </c>
      <c r="M19" s="6">
        <f t="shared" si="5"/>
        <v>22226392.211875167</v>
      </c>
    </row>
    <row r="20" spans="1:18">
      <c r="A20" s="20">
        <f>'Monthly Data'!A20</f>
        <v>41456</v>
      </c>
      <c r="B20">
        <f t="shared" si="0"/>
        <v>7</v>
      </c>
      <c r="C20">
        <f t="shared" si="1"/>
        <v>2013</v>
      </c>
      <c r="D20" s="70">
        <f>'Monthly Data'!X20</f>
        <v>23094323.983215183</v>
      </c>
      <c r="E20">
        <f>'Monthly Data'!CF20</f>
        <v>31</v>
      </c>
      <c r="F20">
        <f>'Monthly Data'!BG20</f>
        <v>27.7</v>
      </c>
      <c r="G20">
        <f>'Monthly Data'!CD20</f>
        <v>0</v>
      </c>
      <c r="I20" s="6">
        <f t="shared" si="2"/>
        <v>-912678.24653403205</v>
      </c>
      <c r="J20" s="6">
        <f t="shared" si="3"/>
        <v>23764999.536230937</v>
      </c>
      <c r="K20" s="6">
        <f t="shared" si="4"/>
        <v>140683.81044377937</v>
      </c>
      <c r="L20" s="6">
        <f t="shared" si="6"/>
        <v>0</v>
      </c>
      <c r="M20" s="6">
        <f t="shared" si="5"/>
        <v>22993005.100140683</v>
      </c>
    </row>
    <row r="21" spans="1:18">
      <c r="A21" s="20">
        <f>'Monthly Data'!A21</f>
        <v>41487</v>
      </c>
      <c r="B21">
        <f t="shared" si="0"/>
        <v>8</v>
      </c>
      <c r="C21">
        <f t="shared" si="1"/>
        <v>2013</v>
      </c>
      <c r="D21" s="70">
        <f>'Monthly Data'!X21</f>
        <v>23514754.079565186</v>
      </c>
      <c r="E21">
        <f>'Monthly Data'!CF21</f>
        <v>31</v>
      </c>
      <c r="F21">
        <f>'Monthly Data'!BG21</f>
        <v>27.7</v>
      </c>
      <c r="G21">
        <f>'Monthly Data'!CD21</f>
        <v>0</v>
      </c>
      <c r="I21" s="6">
        <f t="shared" si="2"/>
        <v>-912678.24653403205</v>
      </c>
      <c r="J21" s="6">
        <f t="shared" si="3"/>
        <v>23764999.536230937</v>
      </c>
      <c r="K21" s="6">
        <f t="shared" si="4"/>
        <v>140683.81044377937</v>
      </c>
      <c r="L21" s="6">
        <f t="shared" si="6"/>
        <v>0</v>
      </c>
      <c r="M21" s="6">
        <f t="shared" si="5"/>
        <v>22993005.100140683</v>
      </c>
    </row>
    <row r="22" spans="1:18">
      <c r="A22" s="20">
        <f>'Monthly Data'!A22</f>
        <v>41518</v>
      </c>
      <c r="B22">
        <f t="shared" si="0"/>
        <v>9</v>
      </c>
      <c r="C22">
        <f t="shared" si="1"/>
        <v>2013</v>
      </c>
      <c r="D22" s="70">
        <f>'Monthly Data'!X22</f>
        <v>20804434.856415186</v>
      </c>
      <c r="E22">
        <f>'Monthly Data'!CF22</f>
        <v>30</v>
      </c>
      <c r="F22">
        <f>'Monthly Data'!BG22</f>
        <v>27.7</v>
      </c>
      <c r="G22">
        <f>'Monthly Data'!CD22</f>
        <v>1</v>
      </c>
      <c r="I22" s="6">
        <f t="shared" si="2"/>
        <v>-912678.24653403205</v>
      </c>
      <c r="J22" s="6">
        <f t="shared" si="3"/>
        <v>22998386.64796542</v>
      </c>
      <c r="K22" s="6">
        <f t="shared" si="4"/>
        <v>140683.81044377937</v>
      </c>
      <c r="L22" s="6">
        <f t="shared" si="6"/>
        <v>-580482.53600244795</v>
      </c>
      <c r="M22" s="6">
        <f t="shared" si="5"/>
        <v>21645909.675872717</v>
      </c>
    </row>
    <row r="23" spans="1:18">
      <c r="A23" s="20">
        <f>'Monthly Data'!A23</f>
        <v>41548</v>
      </c>
      <c r="B23">
        <f t="shared" si="0"/>
        <v>10</v>
      </c>
      <c r="C23">
        <f t="shared" si="1"/>
        <v>2013</v>
      </c>
      <c r="D23" s="70">
        <f>'Monthly Data'!X23</f>
        <v>20100788.139757685</v>
      </c>
      <c r="E23">
        <f>'Monthly Data'!CF23</f>
        <v>31</v>
      </c>
      <c r="F23">
        <f>'Monthly Data'!BG23</f>
        <v>27.7</v>
      </c>
      <c r="G23">
        <f>'Monthly Data'!CD23</f>
        <v>1</v>
      </c>
      <c r="I23" s="6">
        <f t="shared" si="2"/>
        <v>-912678.24653403205</v>
      </c>
      <c r="J23" s="6">
        <f t="shared" si="3"/>
        <v>23764999.536230937</v>
      </c>
      <c r="K23" s="6">
        <f t="shared" si="4"/>
        <v>140683.81044377937</v>
      </c>
      <c r="L23" s="6">
        <f t="shared" si="6"/>
        <v>-580482.53600244795</v>
      </c>
      <c r="M23" s="6">
        <f t="shared" si="5"/>
        <v>22412522.564138234</v>
      </c>
    </row>
    <row r="24" spans="1:18">
      <c r="A24" s="20">
        <f>'Monthly Data'!A24</f>
        <v>41579</v>
      </c>
      <c r="B24">
        <f t="shared" si="0"/>
        <v>11</v>
      </c>
      <c r="C24">
        <f t="shared" si="1"/>
        <v>2013</v>
      </c>
      <c r="D24" s="70">
        <f>'Monthly Data'!X24</f>
        <v>21017431.941322684</v>
      </c>
      <c r="E24">
        <f>'Monthly Data'!CF24</f>
        <v>30</v>
      </c>
      <c r="F24">
        <f>'Monthly Data'!BG24</f>
        <v>27.7</v>
      </c>
      <c r="G24">
        <f>'Monthly Data'!CD24</f>
        <v>0</v>
      </c>
      <c r="I24" s="6">
        <f t="shared" si="2"/>
        <v>-912678.24653403205</v>
      </c>
      <c r="J24" s="6">
        <f t="shared" si="3"/>
        <v>22998386.64796542</v>
      </c>
      <c r="K24" s="6">
        <f t="shared" si="4"/>
        <v>140683.81044377937</v>
      </c>
      <c r="L24" s="6">
        <f t="shared" si="6"/>
        <v>0</v>
      </c>
      <c r="M24" s="6">
        <f t="shared" si="5"/>
        <v>22226392.211875167</v>
      </c>
    </row>
    <row r="25" spans="1:18">
      <c r="A25" s="20">
        <f>'Monthly Data'!A25</f>
        <v>41609</v>
      </c>
      <c r="B25">
        <f t="shared" si="0"/>
        <v>12</v>
      </c>
      <c r="C25">
        <f t="shared" si="1"/>
        <v>2013</v>
      </c>
      <c r="D25" s="70">
        <f>'Monthly Data'!X25</f>
        <v>22772246.808757681</v>
      </c>
      <c r="E25">
        <f>'Monthly Data'!CF25</f>
        <v>31</v>
      </c>
      <c r="F25">
        <f>'Monthly Data'!BG25</f>
        <v>27.7</v>
      </c>
      <c r="G25">
        <f>'Monthly Data'!CD25</f>
        <v>0</v>
      </c>
      <c r="I25" s="6">
        <f t="shared" si="2"/>
        <v>-912678.24653403205</v>
      </c>
      <c r="J25" s="6">
        <f t="shared" si="3"/>
        <v>23764999.536230937</v>
      </c>
      <c r="K25" s="6">
        <f t="shared" si="4"/>
        <v>140683.81044377937</v>
      </c>
      <c r="L25" s="6">
        <f t="shared" si="6"/>
        <v>0</v>
      </c>
      <c r="M25" s="6">
        <f t="shared" si="5"/>
        <v>22993005.100140683</v>
      </c>
    </row>
    <row r="26" spans="1:18">
      <c r="A26" s="20">
        <f>'Monthly Data'!A26</f>
        <v>41640</v>
      </c>
      <c r="B26">
        <f t="shared" si="0"/>
        <v>1</v>
      </c>
      <c r="C26">
        <f t="shared" si="1"/>
        <v>2014</v>
      </c>
      <c r="D26" s="70">
        <f>'Monthly Data'!X26</f>
        <v>21430181.628353979</v>
      </c>
      <c r="E26">
        <f>'Monthly Data'!CF26</f>
        <v>31</v>
      </c>
      <c r="F26">
        <f>'Monthly Data'!BG26</f>
        <v>24.9</v>
      </c>
      <c r="G26">
        <f>'Monthly Data'!CD26</f>
        <v>0</v>
      </c>
      <c r="I26" s="6">
        <f t="shared" si="2"/>
        <v>-912678.24653403205</v>
      </c>
      <c r="J26" s="6">
        <f t="shared" si="3"/>
        <v>23764999.536230937</v>
      </c>
      <c r="K26" s="6">
        <f t="shared" si="4"/>
        <v>126463.06426173668</v>
      </c>
      <c r="L26" s="6">
        <f t="shared" si="6"/>
        <v>0</v>
      </c>
      <c r="M26" s="6">
        <f t="shared" si="5"/>
        <v>22978784.353958644</v>
      </c>
    </row>
    <row r="27" spans="1:18">
      <c r="A27" s="20">
        <f>'Monthly Data'!A27</f>
        <v>41671</v>
      </c>
      <c r="B27">
        <f t="shared" si="0"/>
        <v>2</v>
      </c>
      <c r="C27">
        <f t="shared" si="1"/>
        <v>2014</v>
      </c>
      <c r="D27" s="70">
        <f>'Monthly Data'!X27</f>
        <v>20764315.884211477</v>
      </c>
      <c r="E27">
        <f>'Monthly Data'!CF27</f>
        <v>28</v>
      </c>
      <c r="F27">
        <f>'Monthly Data'!BG27</f>
        <v>24.9</v>
      </c>
      <c r="G27">
        <f>'Monthly Data'!CD27</f>
        <v>0</v>
      </c>
      <c r="I27" s="6">
        <f t="shared" si="2"/>
        <v>-912678.24653403205</v>
      </c>
      <c r="J27" s="6">
        <f t="shared" si="3"/>
        <v>21465160.871434394</v>
      </c>
      <c r="K27" s="6">
        <f t="shared" si="4"/>
        <v>126463.06426173668</v>
      </c>
      <c r="L27" s="6">
        <f t="shared" si="6"/>
        <v>0</v>
      </c>
      <c r="M27" s="6">
        <f t="shared" si="5"/>
        <v>20678945.689162102</v>
      </c>
    </row>
    <row r="28" spans="1:18">
      <c r="A28" s="20">
        <f>'Monthly Data'!A28</f>
        <v>41699</v>
      </c>
      <c r="B28">
        <f t="shared" si="0"/>
        <v>3</v>
      </c>
      <c r="C28">
        <f t="shared" si="1"/>
        <v>2014</v>
      </c>
      <c r="D28" s="70">
        <f>'Monthly Data'!X28</f>
        <v>21695725.79207398</v>
      </c>
      <c r="E28">
        <f>'Monthly Data'!CF28</f>
        <v>31</v>
      </c>
      <c r="F28">
        <f>'Monthly Data'!BG28</f>
        <v>24.9</v>
      </c>
      <c r="G28">
        <f>'Monthly Data'!CD28</f>
        <v>0</v>
      </c>
      <c r="I28" s="6">
        <f t="shared" si="2"/>
        <v>-912678.24653403205</v>
      </c>
      <c r="J28" s="6">
        <f t="shared" si="3"/>
        <v>23764999.536230937</v>
      </c>
      <c r="K28" s="6">
        <f t="shared" si="4"/>
        <v>126463.06426173668</v>
      </c>
      <c r="L28" s="6">
        <f t="shared" si="6"/>
        <v>0</v>
      </c>
      <c r="M28" s="6">
        <f t="shared" si="5"/>
        <v>22978784.353958644</v>
      </c>
    </row>
    <row r="29" spans="1:18">
      <c r="A29" s="20">
        <f>'Monthly Data'!A29</f>
        <v>41730</v>
      </c>
      <c r="B29">
        <f t="shared" si="0"/>
        <v>4</v>
      </c>
      <c r="C29">
        <f t="shared" si="1"/>
        <v>2014</v>
      </c>
      <c r="D29" s="70">
        <f>'Monthly Data'!X29</f>
        <v>22089816.404813975</v>
      </c>
      <c r="E29">
        <f>'Monthly Data'!CF29</f>
        <v>30</v>
      </c>
      <c r="F29">
        <f>'Monthly Data'!BG29</f>
        <v>24.9</v>
      </c>
      <c r="G29">
        <f>'Monthly Data'!CD29</f>
        <v>0</v>
      </c>
      <c r="I29" s="6">
        <f t="shared" si="2"/>
        <v>-912678.24653403205</v>
      </c>
      <c r="J29" s="6">
        <f t="shared" si="3"/>
        <v>22998386.64796542</v>
      </c>
      <c r="K29" s="6">
        <f t="shared" si="4"/>
        <v>126463.06426173668</v>
      </c>
      <c r="L29" s="6">
        <f t="shared" si="6"/>
        <v>0</v>
      </c>
      <c r="M29" s="6">
        <f t="shared" si="5"/>
        <v>22212171.465693127</v>
      </c>
    </row>
    <row r="30" spans="1:18">
      <c r="A30" s="20">
        <f>'Monthly Data'!A30</f>
        <v>41760</v>
      </c>
      <c r="B30">
        <f t="shared" si="0"/>
        <v>5</v>
      </c>
      <c r="C30">
        <f t="shared" si="1"/>
        <v>2014</v>
      </c>
      <c r="D30" s="70">
        <f>'Monthly Data'!X30</f>
        <v>22968983.70280648</v>
      </c>
      <c r="E30">
        <f>'Monthly Data'!CF30</f>
        <v>31</v>
      </c>
      <c r="F30">
        <f>'Monthly Data'!BG30</f>
        <v>24.9</v>
      </c>
      <c r="G30">
        <f>'Monthly Data'!CD30</f>
        <v>0</v>
      </c>
      <c r="I30" s="6">
        <f t="shared" si="2"/>
        <v>-912678.24653403205</v>
      </c>
      <c r="J30" s="6">
        <f t="shared" si="3"/>
        <v>23764999.536230937</v>
      </c>
      <c r="K30" s="6">
        <f t="shared" si="4"/>
        <v>126463.06426173668</v>
      </c>
      <c r="L30" s="6">
        <f t="shared" si="6"/>
        <v>0</v>
      </c>
      <c r="M30" s="6">
        <f t="shared" si="5"/>
        <v>22978784.353958644</v>
      </c>
    </row>
    <row r="31" spans="1:18">
      <c r="A31" s="20">
        <f>'Monthly Data'!A31</f>
        <v>41791</v>
      </c>
      <c r="B31">
        <f t="shared" si="0"/>
        <v>6</v>
      </c>
      <c r="C31">
        <f t="shared" si="1"/>
        <v>2014</v>
      </c>
      <c r="D31" s="70">
        <f>'Monthly Data'!X31</f>
        <v>21083571.994763978</v>
      </c>
      <c r="E31">
        <f>'Monthly Data'!CF31</f>
        <v>30</v>
      </c>
      <c r="F31">
        <f>'Monthly Data'!BG31</f>
        <v>24.9</v>
      </c>
      <c r="G31">
        <f>'Monthly Data'!CD31</f>
        <v>0</v>
      </c>
      <c r="I31" s="6">
        <f t="shared" si="2"/>
        <v>-912678.24653403205</v>
      </c>
      <c r="J31" s="6">
        <f t="shared" si="3"/>
        <v>22998386.64796542</v>
      </c>
      <c r="K31" s="6">
        <f t="shared" si="4"/>
        <v>126463.06426173668</v>
      </c>
      <c r="L31" s="6">
        <f t="shared" si="6"/>
        <v>0</v>
      </c>
      <c r="M31" s="6">
        <f t="shared" si="5"/>
        <v>22212171.465693127</v>
      </c>
    </row>
    <row r="32" spans="1:18">
      <c r="A32" s="20">
        <f>'Monthly Data'!A32</f>
        <v>41821</v>
      </c>
      <c r="B32">
        <f t="shared" si="0"/>
        <v>7</v>
      </c>
      <c r="C32">
        <f t="shared" si="1"/>
        <v>2014</v>
      </c>
      <c r="D32" s="70">
        <f>'Monthly Data'!X32</f>
        <v>23324918.981213976</v>
      </c>
      <c r="E32">
        <f>'Monthly Data'!CF32</f>
        <v>31</v>
      </c>
      <c r="F32">
        <f>'Monthly Data'!BG32</f>
        <v>24.9</v>
      </c>
      <c r="G32">
        <f>'Monthly Data'!CD32</f>
        <v>0</v>
      </c>
      <c r="I32" s="6">
        <f t="shared" si="2"/>
        <v>-912678.24653403205</v>
      </c>
      <c r="J32" s="6">
        <f t="shared" si="3"/>
        <v>23764999.536230937</v>
      </c>
      <c r="K32" s="6">
        <f t="shared" si="4"/>
        <v>126463.06426173668</v>
      </c>
      <c r="L32" s="6">
        <f t="shared" si="6"/>
        <v>0</v>
      </c>
      <c r="M32" s="6">
        <f t="shared" si="5"/>
        <v>22978784.353958644</v>
      </c>
    </row>
    <row r="33" spans="1:13">
      <c r="A33" s="20">
        <f>'Monthly Data'!A33</f>
        <v>41852</v>
      </c>
      <c r="B33">
        <f t="shared" si="0"/>
        <v>8</v>
      </c>
      <c r="C33">
        <f t="shared" si="1"/>
        <v>2014</v>
      </c>
      <c r="D33" s="70">
        <f>'Monthly Data'!X33</f>
        <v>24336139.992316477</v>
      </c>
      <c r="E33">
        <f>'Monthly Data'!CF33</f>
        <v>31</v>
      </c>
      <c r="F33">
        <f>'Monthly Data'!BG33</f>
        <v>24.9</v>
      </c>
      <c r="G33">
        <f>'Monthly Data'!CD33</f>
        <v>0</v>
      </c>
      <c r="I33" s="6">
        <f t="shared" si="2"/>
        <v>-912678.24653403205</v>
      </c>
      <c r="J33" s="6">
        <f t="shared" si="3"/>
        <v>23764999.536230937</v>
      </c>
      <c r="K33" s="6">
        <f t="shared" si="4"/>
        <v>126463.06426173668</v>
      </c>
      <c r="L33" s="6">
        <f t="shared" si="6"/>
        <v>0</v>
      </c>
      <c r="M33" s="6">
        <f t="shared" si="5"/>
        <v>22978784.353958644</v>
      </c>
    </row>
    <row r="34" spans="1:13">
      <c r="A34" s="20">
        <f>'Monthly Data'!A34</f>
        <v>41883</v>
      </c>
      <c r="B34">
        <f t="shared" si="0"/>
        <v>9</v>
      </c>
      <c r="C34">
        <f t="shared" si="1"/>
        <v>2014</v>
      </c>
      <c r="D34" s="70">
        <f>'Monthly Data'!X34</f>
        <v>22547663.664271478</v>
      </c>
      <c r="E34">
        <f>'Monthly Data'!CF34</f>
        <v>30</v>
      </c>
      <c r="F34">
        <f>'Monthly Data'!BG34</f>
        <v>24.9</v>
      </c>
      <c r="G34">
        <f>'Monthly Data'!CD34</f>
        <v>1</v>
      </c>
      <c r="I34" s="6">
        <f t="shared" ref="I34:I65" si="7">$P$7</f>
        <v>-912678.24653403205</v>
      </c>
      <c r="J34" s="6">
        <f t="shared" ref="J34:J65" si="8">E34*$P$8</f>
        <v>22998386.64796542</v>
      </c>
      <c r="K34" s="6">
        <f t="shared" ref="K34:K65" si="9">F34*$P$9</f>
        <v>126463.06426173668</v>
      </c>
      <c r="L34" s="6">
        <f t="shared" si="6"/>
        <v>-580482.53600244795</v>
      </c>
      <c r="M34" s="6">
        <f t="shared" ref="M34:M65" si="10">SUM(I34:L34)</f>
        <v>21631688.929690678</v>
      </c>
    </row>
    <row r="35" spans="1:13">
      <c r="A35" s="20">
        <f>'Monthly Data'!A35</f>
        <v>41913</v>
      </c>
      <c r="B35">
        <f t="shared" si="0"/>
        <v>10</v>
      </c>
      <c r="C35">
        <f t="shared" si="1"/>
        <v>2014</v>
      </c>
      <c r="D35" s="70">
        <f>'Monthly Data'!X35</f>
        <v>22511072.692051478</v>
      </c>
      <c r="E35">
        <f>'Monthly Data'!CF35</f>
        <v>31</v>
      </c>
      <c r="F35">
        <f>'Monthly Data'!BG35</f>
        <v>24.9</v>
      </c>
      <c r="G35">
        <f>'Monthly Data'!CD35</f>
        <v>1</v>
      </c>
      <c r="I35" s="6">
        <f t="shared" si="7"/>
        <v>-912678.24653403205</v>
      </c>
      <c r="J35" s="6">
        <f t="shared" si="8"/>
        <v>23764999.536230937</v>
      </c>
      <c r="K35" s="6">
        <f t="shared" si="9"/>
        <v>126463.06426173668</v>
      </c>
      <c r="L35" s="6">
        <f t="shared" si="6"/>
        <v>-580482.53600244795</v>
      </c>
      <c r="M35" s="6">
        <f t="shared" si="10"/>
        <v>22398301.817956194</v>
      </c>
    </row>
    <row r="36" spans="1:13">
      <c r="A36" s="20">
        <f>'Monthly Data'!A36</f>
        <v>41944</v>
      </c>
      <c r="B36">
        <f t="shared" si="0"/>
        <v>11</v>
      </c>
      <c r="C36">
        <f t="shared" si="1"/>
        <v>2014</v>
      </c>
      <c r="D36" s="70">
        <f>'Monthly Data'!X36</f>
        <v>23547116.547848981</v>
      </c>
      <c r="E36">
        <f>'Monthly Data'!CF36</f>
        <v>30</v>
      </c>
      <c r="F36">
        <f>'Monthly Data'!BG36</f>
        <v>24.9</v>
      </c>
      <c r="G36">
        <f>'Monthly Data'!CD36</f>
        <v>0</v>
      </c>
      <c r="I36" s="6">
        <f t="shared" si="7"/>
        <v>-912678.24653403205</v>
      </c>
      <c r="J36" s="6">
        <f t="shared" si="8"/>
        <v>22998386.64796542</v>
      </c>
      <c r="K36" s="6">
        <f t="shared" si="9"/>
        <v>126463.06426173668</v>
      </c>
      <c r="L36" s="6">
        <f t="shared" si="6"/>
        <v>0</v>
      </c>
      <c r="M36" s="6">
        <f t="shared" si="10"/>
        <v>22212171.465693127</v>
      </c>
    </row>
    <row r="37" spans="1:13">
      <c r="A37" s="20">
        <f>'Monthly Data'!A37</f>
        <v>41974</v>
      </c>
      <c r="B37">
        <f t="shared" si="0"/>
        <v>12</v>
      </c>
      <c r="C37">
        <f t="shared" si="1"/>
        <v>2014</v>
      </c>
      <c r="D37" s="70">
        <f>'Monthly Data'!X37</f>
        <v>23381738.097991481</v>
      </c>
      <c r="E37">
        <f>'Monthly Data'!CF37</f>
        <v>31</v>
      </c>
      <c r="F37">
        <f>'Monthly Data'!BG37</f>
        <v>24.9</v>
      </c>
      <c r="G37">
        <f>'Monthly Data'!CD37</f>
        <v>0</v>
      </c>
      <c r="I37" s="6">
        <f t="shared" si="7"/>
        <v>-912678.24653403205</v>
      </c>
      <c r="J37" s="6">
        <f t="shared" si="8"/>
        <v>23764999.536230937</v>
      </c>
      <c r="K37" s="6">
        <f t="shared" si="9"/>
        <v>126463.06426173668</v>
      </c>
      <c r="L37" s="6">
        <f t="shared" si="6"/>
        <v>0</v>
      </c>
      <c r="M37" s="6">
        <f t="shared" si="10"/>
        <v>22978784.353958644</v>
      </c>
    </row>
    <row r="38" spans="1:13">
      <c r="A38" s="20">
        <f>'Monthly Data'!A38</f>
        <v>42005</v>
      </c>
      <c r="B38">
        <f t="shared" si="0"/>
        <v>1</v>
      </c>
      <c r="C38">
        <f t="shared" si="1"/>
        <v>2015</v>
      </c>
      <c r="D38" s="70">
        <f>'Monthly Data'!X38</f>
        <v>24102538.286907062</v>
      </c>
      <c r="E38">
        <f>'Monthly Data'!CF38</f>
        <v>31</v>
      </c>
      <c r="F38">
        <f>'Monthly Data'!BG38</f>
        <v>23.4</v>
      </c>
      <c r="G38">
        <f>'Monthly Data'!CD38</f>
        <v>0</v>
      </c>
      <c r="I38" s="6">
        <f t="shared" si="7"/>
        <v>-912678.24653403205</v>
      </c>
      <c r="J38" s="6">
        <f t="shared" si="8"/>
        <v>23764999.536230937</v>
      </c>
      <c r="K38" s="6">
        <f t="shared" si="9"/>
        <v>118844.80737849954</v>
      </c>
      <c r="L38" s="6">
        <f t="shared" si="6"/>
        <v>0</v>
      </c>
      <c r="M38" s="6">
        <f t="shared" si="10"/>
        <v>22971166.097075406</v>
      </c>
    </row>
    <row r="39" spans="1:13">
      <c r="A39" s="20">
        <f>'Monthly Data'!A39</f>
        <v>42036</v>
      </c>
      <c r="B39">
        <f t="shared" si="0"/>
        <v>2</v>
      </c>
      <c r="C39">
        <f t="shared" si="1"/>
        <v>2015</v>
      </c>
      <c r="D39" s="70">
        <f>'Monthly Data'!X39</f>
        <v>21538838.744382061</v>
      </c>
      <c r="E39">
        <f>'Monthly Data'!CF39</f>
        <v>28</v>
      </c>
      <c r="F39">
        <f>'Monthly Data'!BG39</f>
        <v>23.4</v>
      </c>
      <c r="G39">
        <f>'Monthly Data'!CD39</f>
        <v>0</v>
      </c>
      <c r="I39" s="6">
        <f t="shared" si="7"/>
        <v>-912678.24653403205</v>
      </c>
      <c r="J39" s="6">
        <f t="shared" si="8"/>
        <v>21465160.871434394</v>
      </c>
      <c r="K39" s="6">
        <f t="shared" si="9"/>
        <v>118844.80737849954</v>
      </c>
      <c r="L39" s="6">
        <f t="shared" si="6"/>
        <v>0</v>
      </c>
      <c r="M39" s="6">
        <f t="shared" si="10"/>
        <v>20671327.432278864</v>
      </c>
    </row>
    <row r="40" spans="1:13">
      <c r="A40" s="20">
        <f>'Monthly Data'!A40</f>
        <v>42064</v>
      </c>
      <c r="B40">
        <f t="shared" si="0"/>
        <v>3</v>
      </c>
      <c r="C40">
        <f t="shared" si="1"/>
        <v>2015</v>
      </c>
      <c r="D40" s="70">
        <f>'Monthly Data'!X40</f>
        <v>23142749.785999559</v>
      </c>
      <c r="E40">
        <f>'Monthly Data'!CF40</f>
        <v>31</v>
      </c>
      <c r="F40">
        <f>'Monthly Data'!BG40</f>
        <v>23.4</v>
      </c>
      <c r="G40">
        <f>'Monthly Data'!CD40</f>
        <v>0</v>
      </c>
      <c r="I40" s="6">
        <f t="shared" si="7"/>
        <v>-912678.24653403205</v>
      </c>
      <c r="J40" s="6">
        <f t="shared" si="8"/>
        <v>23764999.536230937</v>
      </c>
      <c r="K40" s="6">
        <f t="shared" si="9"/>
        <v>118844.80737849954</v>
      </c>
      <c r="L40" s="6">
        <f t="shared" si="6"/>
        <v>0</v>
      </c>
      <c r="M40" s="6">
        <f t="shared" si="10"/>
        <v>22971166.097075406</v>
      </c>
    </row>
    <row r="41" spans="1:13">
      <c r="A41" s="20">
        <f>'Monthly Data'!A41</f>
        <v>42095</v>
      </c>
      <c r="B41">
        <f t="shared" si="0"/>
        <v>4</v>
      </c>
      <c r="C41">
        <f t="shared" si="1"/>
        <v>2015</v>
      </c>
      <c r="D41" s="70">
        <f>'Monthly Data'!X41</f>
        <v>23822749.551747061</v>
      </c>
      <c r="E41">
        <f>'Monthly Data'!CF41</f>
        <v>30</v>
      </c>
      <c r="F41">
        <f>'Monthly Data'!BG41</f>
        <v>23.4</v>
      </c>
      <c r="G41">
        <f>'Monthly Data'!CD41</f>
        <v>0</v>
      </c>
      <c r="I41" s="6">
        <f t="shared" si="7"/>
        <v>-912678.24653403205</v>
      </c>
      <c r="J41" s="6">
        <f t="shared" si="8"/>
        <v>22998386.64796542</v>
      </c>
      <c r="K41" s="6">
        <f t="shared" si="9"/>
        <v>118844.80737849954</v>
      </c>
      <c r="L41" s="6">
        <f t="shared" si="6"/>
        <v>0</v>
      </c>
      <c r="M41" s="6">
        <f t="shared" si="10"/>
        <v>22204553.20880989</v>
      </c>
    </row>
    <row r="42" spans="1:13">
      <c r="A42" s="20">
        <f>'Monthly Data'!A42</f>
        <v>42125</v>
      </c>
      <c r="B42">
        <f t="shared" si="0"/>
        <v>5</v>
      </c>
      <c r="C42">
        <f t="shared" si="1"/>
        <v>2015</v>
      </c>
      <c r="D42" s="70">
        <f>'Monthly Data'!X42</f>
        <v>22533672.550557058</v>
      </c>
      <c r="E42">
        <f>'Monthly Data'!CF42</f>
        <v>31</v>
      </c>
      <c r="F42">
        <f>'Monthly Data'!BG42</f>
        <v>23.4</v>
      </c>
      <c r="G42">
        <f>'Monthly Data'!CD42</f>
        <v>0</v>
      </c>
      <c r="I42" s="6">
        <f t="shared" si="7"/>
        <v>-912678.24653403205</v>
      </c>
      <c r="J42" s="6">
        <f t="shared" si="8"/>
        <v>23764999.536230937</v>
      </c>
      <c r="K42" s="6">
        <f t="shared" si="9"/>
        <v>118844.80737849954</v>
      </c>
      <c r="L42" s="6">
        <f t="shared" si="6"/>
        <v>0</v>
      </c>
      <c r="M42" s="6">
        <f t="shared" si="10"/>
        <v>22971166.097075406</v>
      </c>
    </row>
    <row r="43" spans="1:13">
      <c r="A43" s="20">
        <f>'Monthly Data'!A43</f>
        <v>42156</v>
      </c>
      <c r="B43">
        <f t="shared" si="0"/>
        <v>6</v>
      </c>
      <c r="C43">
        <f t="shared" si="1"/>
        <v>2015</v>
      </c>
      <c r="D43" s="70">
        <f>'Monthly Data'!X43</f>
        <v>20527783.264002062</v>
      </c>
      <c r="E43">
        <f>'Monthly Data'!CF43</f>
        <v>30</v>
      </c>
      <c r="F43">
        <f>'Monthly Data'!BG43</f>
        <v>23.4</v>
      </c>
      <c r="G43">
        <f>'Monthly Data'!CD43</f>
        <v>0</v>
      </c>
      <c r="I43" s="6">
        <f t="shared" si="7"/>
        <v>-912678.24653403205</v>
      </c>
      <c r="J43" s="6">
        <f t="shared" si="8"/>
        <v>22998386.64796542</v>
      </c>
      <c r="K43" s="6">
        <f t="shared" si="9"/>
        <v>118844.80737849954</v>
      </c>
      <c r="L43" s="6">
        <f t="shared" si="6"/>
        <v>0</v>
      </c>
      <c r="M43" s="6">
        <f t="shared" si="10"/>
        <v>22204553.20880989</v>
      </c>
    </row>
    <row r="44" spans="1:13">
      <c r="A44" s="20">
        <f>'Monthly Data'!A44</f>
        <v>42186</v>
      </c>
      <c r="B44">
        <f t="shared" si="0"/>
        <v>7</v>
      </c>
      <c r="C44">
        <f t="shared" si="1"/>
        <v>2015</v>
      </c>
      <c r="D44" s="70">
        <f>'Monthly Data'!X44</f>
        <v>23358062.947827064</v>
      </c>
      <c r="E44">
        <f>'Monthly Data'!CF44</f>
        <v>31</v>
      </c>
      <c r="F44">
        <f>'Monthly Data'!BG44</f>
        <v>23.4</v>
      </c>
      <c r="G44">
        <f>'Monthly Data'!CD44</f>
        <v>0</v>
      </c>
      <c r="I44" s="6">
        <f t="shared" si="7"/>
        <v>-912678.24653403205</v>
      </c>
      <c r="J44" s="6">
        <f t="shared" si="8"/>
        <v>23764999.536230937</v>
      </c>
      <c r="K44" s="6">
        <f t="shared" si="9"/>
        <v>118844.80737849954</v>
      </c>
      <c r="L44" s="6">
        <f t="shared" si="6"/>
        <v>0</v>
      </c>
      <c r="M44" s="6">
        <f t="shared" si="10"/>
        <v>22971166.097075406</v>
      </c>
    </row>
    <row r="45" spans="1:13">
      <c r="A45" s="20">
        <f>'Monthly Data'!A45</f>
        <v>42217</v>
      </c>
      <c r="B45">
        <f t="shared" si="0"/>
        <v>8</v>
      </c>
      <c r="C45">
        <f t="shared" si="1"/>
        <v>2015</v>
      </c>
      <c r="D45" s="70">
        <f>'Monthly Data'!X45</f>
        <v>23424688.349967062</v>
      </c>
      <c r="E45">
        <f>'Monthly Data'!CF45</f>
        <v>31</v>
      </c>
      <c r="F45">
        <f>'Monthly Data'!BG45</f>
        <v>23.4</v>
      </c>
      <c r="G45">
        <f>'Monthly Data'!CD45</f>
        <v>0</v>
      </c>
      <c r="I45" s="6">
        <f t="shared" si="7"/>
        <v>-912678.24653403205</v>
      </c>
      <c r="J45" s="6">
        <f t="shared" si="8"/>
        <v>23764999.536230937</v>
      </c>
      <c r="K45" s="6">
        <f t="shared" si="9"/>
        <v>118844.80737849954</v>
      </c>
      <c r="L45" s="6">
        <f t="shared" si="6"/>
        <v>0</v>
      </c>
      <c r="M45" s="6">
        <f t="shared" si="10"/>
        <v>22971166.097075406</v>
      </c>
    </row>
    <row r="46" spans="1:13">
      <c r="A46" s="20">
        <f>'Monthly Data'!A46</f>
        <v>42248</v>
      </c>
      <c r="B46">
        <f t="shared" si="0"/>
        <v>9</v>
      </c>
      <c r="C46">
        <f t="shared" si="1"/>
        <v>2015</v>
      </c>
      <c r="D46" s="70">
        <f>'Monthly Data'!X46</f>
        <v>21450872.247109562</v>
      </c>
      <c r="E46">
        <f>'Monthly Data'!CF46</f>
        <v>30</v>
      </c>
      <c r="F46">
        <f>'Monthly Data'!BG46</f>
        <v>23.4</v>
      </c>
      <c r="G46">
        <f>'Monthly Data'!CD46</f>
        <v>1</v>
      </c>
      <c r="I46" s="6">
        <f t="shared" si="7"/>
        <v>-912678.24653403205</v>
      </c>
      <c r="J46" s="6">
        <f t="shared" si="8"/>
        <v>22998386.64796542</v>
      </c>
      <c r="K46" s="6">
        <f t="shared" si="9"/>
        <v>118844.80737849954</v>
      </c>
      <c r="L46" s="6">
        <f t="shared" si="6"/>
        <v>-580482.53600244795</v>
      </c>
      <c r="M46" s="6">
        <f t="shared" si="10"/>
        <v>21624070.67280744</v>
      </c>
    </row>
    <row r="47" spans="1:13">
      <c r="A47" s="20">
        <f>'Monthly Data'!A47</f>
        <v>42278</v>
      </c>
      <c r="B47">
        <f t="shared" ref="B47:B97" si="11">MONTH(A47)</f>
        <v>10</v>
      </c>
      <c r="C47">
        <f t="shared" ref="C47:C97" si="12">YEAR(A47)</f>
        <v>2015</v>
      </c>
      <c r="D47" s="70">
        <f>'Monthly Data'!X47</f>
        <v>22318729.746492062</v>
      </c>
      <c r="E47">
        <f>'Monthly Data'!CF47</f>
        <v>31</v>
      </c>
      <c r="F47">
        <f>'Monthly Data'!BG47</f>
        <v>23.4</v>
      </c>
      <c r="G47">
        <f>'Monthly Data'!CD47</f>
        <v>1</v>
      </c>
      <c r="I47" s="6">
        <f t="shared" si="7"/>
        <v>-912678.24653403205</v>
      </c>
      <c r="J47" s="6">
        <f t="shared" si="8"/>
        <v>23764999.536230937</v>
      </c>
      <c r="K47" s="6">
        <f t="shared" si="9"/>
        <v>118844.80737849954</v>
      </c>
      <c r="L47" s="6">
        <f t="shared" si="6"/>
        <v>-580482.53600244795</v>
      </c>
      <c r="M47" s="6">
        <f t="shared" si="10"/>
        <v>22390683.561072957</v>
      </c>
    </row>
    <row r="48" spans="1:13">
      <c r="A48" s="20">
        <f>'Monthly Data'!A48</f>
        <v>42309</v>
      </c>
      <c r="B48">
        <f t="shared" si="11"/>
        <v>11</v>
      </c>
      <c r="C48">
        <f t="shared" si="12"/>
        <v>2015</v>
      </c>
      <c r="D48" s="70">
        <f>'Monthly Data'!X48</f>
        <v>21406122.84180456</v>
      </c>
      <c r="E48">
        <f>'Monthly Data'!CF48</f>
        <v>30</v>
      </c>
      <c r="F48">
        <f>'Monthly Data'!BG48</f>
        <v>23.4</v>
      </c>
      <c r="G48">
        <f>'Monthly Data'!CD48</f>
        <v>0</v>
      </c>
      <c r="I48" s="6">
        <f t="shared" si="7"/>
        <v>-912678.24653403205</v>
      </c>
      <c r="J48" s="6">
        <f t="shared" si="8"/>
        <v>22998386.64796542</v>
      </c>
      <c r="K48" s="6">
        <f t="shared" si="9"/>
        <v>118844.80737849954</v>
      </c>
      <c r="L48" s="6">
        <f t="shared" si="6"/>
        <v>0</v>
      </c>
      <c r="M48" s="6">
        <f t="shared" si="10"/>
        <v>22204553.20880989</v>
      </c>
    </row>
    <row r="49" spans="1:13">
      <c r="A49" s="20">
        <f>'Monthly Data'!A49</f>
        <v>42339</v>
      </c>
      <c r="B49">
        <f t="shared" si="11"/>
        <v>12</v>
      </c>
      <c r="C49">
        <f t="shared" si="12"/>
        <v>2015</v>
      </c>
      <c r="D49" s="70">
        <f>'Monthly Data'!X49</f>
        <v>25407499.244344562</v>
      </c>
      <c r="E49">
        <f>'Monthly Data'!CF49</f>
        <v>31</v>
      </c>
      <c r="F49">
        <f>'Monthly Data'!BG49</f>
        <v>23.4</v>
      </c>
      <c r="G49">
        <f>'Monthly Data'!CD49</f>
        <v>0</v>
      </c>
      <c r="I49" s="6">
        <f t="shared" si="7"/>
        <v>-912678.24653403205</v>
      </c>
      <c r="J49" s="6">
        <f t="shared" si="8"/>
        <v>23764999.536230937</v>
      </c>
      <c r="K49" s="6">
        <f t="shared" si="9"/>
        <v>118844.80737849954</v>
      </c>
      <c r="L49" s="6">
        <f t="shared" si="6"/>
        <v>0</v>
      </c>
      <c r="M49" s="6">
        <f t="shared" si="10"/>
        <v>22971166.097075406</v>
      </c>
    </row>
    <row r="50" spans="1:13">
      <c r="A50" s="20">
        <f>'Monthly Data'!A50</f>
        <v>42370</v>
      </c>
      <c r="B50">
        <f t="shared" si="11"/>
        <v>1</v>
      </c>
      <c r="C50">
        <f t="shared" si="12"/>
        <v>2016</v>
      </c>
      <c r="D50" s="70">
        <f>'Monthly Data'!X50</f>
        <v>26240783.849797517</v>
      </c>
      <c r="E50">
        <f>'Monthly Data'!CF50</f>
        <v>31</v>
      </c>
      <c r="F50">
        <f>'Monthly Data'!BG50</f>
        <v>377.2</v>
      </c>
      <c r="G50">
        <f>'Monthly Data'!CD50</f>
        <v>0</v>
      </c>
      <c r="I50" s="6">
        <f t="shared" si="7"/>
        <v>-912678.24653403205</v>
      </c>
      <c r="J50" s="6">
        <f t="shared" si="8"/>
        <v>23764999.536230937</v>
      </c>
      <c r="K50" s="6">
        <f t="shared" si="9"/>
        <v>1915737.6642380352</v>
      </c>
      <c r="L50" s="6">
        <f t="shared" si="6"/>
        <v>0</v>
      </c>
      <c r="M50" s="6">
        <f t="shared" si="10"/>
        <v>24768058.953934941</v>
      </c>
    </row>
    <row r="51" spans="1:13">
      <c r="A51" s="20">
        <f>'Monthly Data'!A51</f>
        <v>42401</v>
      </c>
      <c r="B51">
        <f t="shared" si="11"/>
        <v>2</v>
      </c>
      <c r="C51">
        <f t="shared" si="12"/>
        <v>2016</v>
      </c>
      <c r="D51" s="70">
        <f>'Monthly Data'!X51</f>
        <v>24082032.08889002</v>
      </c>
      <c r="E51">
        <f>'Monthly Data'!CF51</f>
        <v>29</v>
      </c>
      <c r="F51">
        <f>'Monthly Data'!BG51</f>
        <v>377.2</v>
      </c>
      <c r="G51">
        <f>'Monthly Data'!CD51</f>
        <v>0</v>
      </c>
      <c r="I51" s="6">
        <f t="shared" si="7"/>
        <v>-912678.24653403205</v>
      </c>
      <c r="J51" s="6">
        <f t="shared" si="8"/>
        <v>22231773.759699907</v>
      </c>
      <c r="K51" s="6">
        <f t="shared" si="9"/>
        <v>1915737.6642380352</v>
      </c>
      <c r="L51" s="6">
        <f t="shared" si="6"/>
        <v>0</v>
      </c>
      <c r="M51" s="6">
        <f t="shared" si="10"/>
        <v>23234833.177403912</v>
      </c>
    </row>
    <row r="52" spans="1:13">
      <c r="A52" s="20">
        <f>'Monthly Data'!A52</f>
        <v>42430</v>
      </c>
      <c r="B52">
        <f t="shared" si="11"/>
        <v>3</v>
      </c>
      <c r="C52">
        <f t="shared" si="12"/>
        <v>2016</v>
      </c>
      <c r="D52" s="70">
        <f>'Monthly Data'!X52</f>
        <v>26062036.087005019</v>
      </c>
      <c r="E52">
        <f>'Monthly Data'!CF52</f>
        <v>31</v>
      </c>
      <c r="F52">
        <f>'Monthly Data'!BG52</f>
        <v>377.2</v>
      </c>
      <c r="G52">
        <f>'Monthly Data'!CD52</f>
        <v>0</v>
      </c>
      <c r="I52" s="6">
        <f t="shared" si="7"/>
        <v>-912678.24653403205</v>
      </c>
      <c r="J52" s="6">
        <f t="shared" si="8"/>
        <v>23764999.536230937</v>
      </c>
      <c r="K52" s="6">
        <f t="shared" si="9"/>
        <v>1915737.6642380352</v>
      </c>
      <c r="L52" s="6">
        <f t="shared" si="6"/>
        <v>0</v>
      </c>
      <c r="M52" s="6">
        <f t="shared" si="10"/>
        <v>24768058.953934941</v>
      </c>
    </row>
    <row r="53" spans="1:13">
      <c r="A53" s="20">
        <f>'Monthly Data'!A53</f>
        <v>42461</v>
      </c>
      <c r="B53">
        <f t="shared" si="11"/>
        <v>4</v>
      </c>
      <c r="C53">
        <f t="shared" si="12"/>
        <v>2016</v>
      </c>
      <c r="D53" s="70">
        <f>'Monthly Data'!X53</f>
        <v>25460055.473760016</v>
      </c>
      <c r="E53">
        <f>'Monthly Data'!CF53</f>
        <v>30</v>
      </c>
      <c r="F53">
        <f>'Monthly Data'!BG53</f>
        <v>377.2</v>
      </c>
      <c r="G53">
        <f>'Monthly Data'!CD53</f>
        <v>0</v>
      </c>
      <c r="I53" s="6">
        <f t="shared" si="7"/>
        <v>-912678.24653403205</v>
      </c>
      <c r="J53" s="6">
        <f t="shared" si="8"/>
        <v>22998386.64796542</v>
      </c>
      <c r="K53" s="6">
        <f t="shared" si="9"/>
        <v>1915737.6642380352</v>
      </c>
      <c r="L53" s="6">
        <f t="shared" si="6"/>
        <v>0</v>
      </c>
      <c r="M53" s="6">
        <f t="shared" si="10"/>
        <v>24001446.065669425</v>
      </c>
    </row>
    <row r="54" spans="1:13">
      <c r="A54" s="20">
        <f>'Monthly Data'!A54</f>
        <v>42491</v>
      </c>
      <c r="B54">
        <f t="shared" si="11"/>
        <v>5</v>
      </c>
      <c r="C54">
        <f t="shared" si="12"/>
        <v>2016</v>
      </c>
      <c r="D54" s="70">
        <f>'Monthly Data'!X54</f>
        <v>25845409.945102524</v>
      </c>
      <c r="E54">
        <f>'Monthly Data'!CF54</f>
        <v>31</v>
      </c>
      <c r="F54">
        <f>'Monthly Data'!BG54</f>
        <v>377.2</v>
      </c>
      <c r="G54">
        <f>'Monthly Data'!CD54</f>
        <v>0</v>
      </c>
      <c r="I54" s="6">
        <f t="shared" si="7"/>
        <v>-912678.24653403205</v>
      </c>
      <c r="J54" s="6">
        <f t="shared" si="8"/>
        <v>23764999.536230937</v>
      </c>
      <c r="K54" s="6">
        <f t="shared" si="9"/>
        <v>1915737.6642380352</v>
      </c>
      <c r="L54" s="6">
        <f t="shared" si="6"/>
        <v>0</v>
      </c>
      <c r="M54" s="6">
        <f t="shared" si="10"/>
        <v>24768058.953934941</v>
      </c>
    </row>
    <row r="55" spans="1:13">
      <c r="A55" s="20">
        <f>'Monthly Data'!A55</f>
        <v>42522</v>
      </c>
      <c r="B55">
        <f t="shared" si="11"/>
        <v>6</v>
      </c>
      <c r="C55">
        <f t="shared" si="12"/>
        <v>2016</v>
      </c>
      <c r="D55" s="70">
        <f>'Monthly Data'!X55</f>
        <v>24325056.669645019</v>
      </c>
      <c r="E55">
        <f>'Monthly Data'!CF55</f>
        <v>30</v>
      </c>
      <c r="F55">
        <f>'Monthly Data'!BG55</f>
        <v>377.2</v>
      </c>
      <c r="G55">
        <f>'Monthly Data'!CD55</f>
        <v>0</v>
      </c>
      <c r="I55" s="6">
        <f t="shared" si="7"/>
        <v>-912678.24653403205</v>
      </c>
      <c r="J55" s="6">
        <f t="shared" si="8"/>
        <v>22998386.64796542</v>
      </c>
      <c r="K55" s="6">
        <f t="shared" si="9"/>
        <v>1915737.6642380352</v>
      </c>
      <c r="L55" s="6">
        <f t="shared" si="6"/>
        <v>0</v>
      </c>
      <c r="M55" s="6">
        <f t="shared" si="10"/>
        <v>24001446.065669425</v>
      </c>
    </row>
    <row r="56" spans="1:13">
      <c r="A56" s="20">
        <f>'Monthly Data'!A56</f>
        <v>42552</v>
      </c>
      <c r="B56">
        <f t="shared" si="11"/>
        <v>7</v>
      </c>
      <c r="C56">
        <f t="shared" si="12"/>
        <v>2016</v>
      </c>
      <c r="D56" s="70">
        <f>'Monthly Data'!X56</f>
        <v>25934832.953392521</v>
      </c>
      <c r="E56">
        <f>'Monthly Data'!CF56</f>
        <v>31</v>
      </c>
      <c r="F56">
        <f>'Monthly Data'!BG56</f>
        <v>377.2</v>
      </c>
      <c r="G56">
        <f>'Monthly Data'!CD56</f>
        <v>0</v>
      </c>
      <c r="I56" s="6">
        <f t="shared" si="7"/>
        <v>-912678.24653403205</v>
      </c>
      <c r="J56" s="6">
        <f t="shared" si="8"/>
        <v>23764999.536230937</v>
      </c>
      <c r="K56" s="6">
        <f t="shared" si="9"/>
        <v>1915737.6642380352</v>
      </c>
      <c r="L56" s="6">
        <f t="shared" si="6"/>
        <v>0</v>
      </c>
      <c r="M56" s="6">
        <f t="shared" si="10"/>
        <v>24768058.953934941</v>
      </c>
    </row>
    <row r="57" spans="1:13">
      <c r="A57" s="20">
        <f>'Monthly Data'!A57</f>
        <v>42583</v>
      </c>
      <c r="B57">
        <f t="shared" si="11"/>
        <v>8</v>
      </c>
      <c r="C57">
        <f t="shared" si="12"/>
        <v>2016</v>
      </c>
      <c r="D57" s="70">
        <f>'Monthly Data'!X57</f>
        <v>24630219.295627519</v>
      </c>
      <c r="E57">
        <f>'Monthly Data'!CF57</f>
        <v>31</v>
      </c>
      <c r="F57">
        <f>'Monthly Data'!BG57</f>
        <v>377.2</v>
      </c>
      <c r="G57">
        <f>'Monthly Data'!CD57</f>
        <v>0</v>
      </c>
      <c r="I57" s="6">
        <f t="shared" si="7"/>
        <v>-912678.24653403205</v>
      </c>
      <c r="J57" s="6">
        <f t="shared" si="8"/>
        <v>23764999.536230937</v>
      </c>
      <c r="K57" s="6">
        <f t="shared" si="9"/>
        <v>1915737.6642380352</v>
      </c>
      <c r="L57" s="6">
        <f t="shared" si="6"/>
        <v>0</v>
      </c>
      <c r="M57" s="6">
        <f t="shared" si="10"/>
        <v>24768058.953934941</v>
      </c>
    </row>
    <row r="58" spans="1:13">
      <c r="A58" s="20">
        <f>'Monthly Data'!A58</f>
        <v>42614</v>
      </c>
      <c r="B58">
        <f t="shared" si="11"/>
        <v>9</v>
      </c>
      <c r="C58">
        <f t="shared" si="12"/>
        <v>2016</v>
      </c>
      <c r="D58" s="70">
        <f>'Monthly Data'!X58</f>
        <v>23513442.137730021</v>
      </c>
      <c r="E58">
        <f>'Monthly Data'!CF58</f>
        <v>30</v>
      </c>
      <c r="F58">
        <f>'Monthly Data'!BG58</f>
        <v>377.2</v>
      </c>
      <c r="G58">
        <f>'Monthly Data'!CD58</f>
        <v>1</v>
      </c>
      <c r="I58" s="6">
        <f t="shared" si="7"/>
        <v>-912678.24653403205</v>
      </c>
      <c r="J58" s="6">
        <f t="shared" si="8"/>
        <v>22998386.64796542</v>
      </c>
      <c r="K58" s="6">
        <f t="shared" si="9"/>
        <v>1915737.6642380352</v>
      </c>
      <c r="L58" s="6">
        <f t="shared" si="6"/>
        <v>-580482.53600244795</v>
      </c>
      <c r="M58" s="6">
        <f t="shared" si="10"/>
        <v>23420963.529666975</v>
      </c>
    </row>
    <row r="59" spans="1:13">
      <c r="A59" s="20">
        <f>'Monthly Data'!A59</f>
        <v>42644</v>
      </c>
      <c r="B59">
        <f t="shared" si="11"/>
        <v>10</v>
      </c>
      <c r="C59">
        <f t="shared" si="12"/>
        <v>2016</v>
      </c>
      <c r="D59" s="70">
        <f>'Monthly Data'!X59</f>
        <v>24810905.696715023</v>
      </c>
      <c r="E59">
        <f>'Monthly Data'!CF59</f>
        <v>31</v>
      </c>
      <c r="F59">
        <f>'Monthly Data'!BG59</f>
        <v>377.2</v>
      </c>
      <c r="G59">
        <f>'Monthly Data'!CD59</f>
        <v>1</v>
      </c>
      <c r="I59" s="6">
        <f t="shared" si="7"/>
        <v>-912678.24653403205</v>
      </c>
      <c r="J59" s="6">
        <f t="shared" si="8"/>
        <v>23764999.536230937</v>
      </c>
      <c r="K59" s="6">
        <f t="shared" si="9"/>
        <v>1915737.6642380352</v>
      </c>
      <c r="L59" s="6">
        <f t="shared" si="6"/>
        <v>-580482.53600244795</v>
      </c>
      <c r="M59" s="6">
        <f t="shared" si="10"/>
        <v>24187576.417932492</v>
      </c>
    </row>
    <row r="60" spans="1:13">
      <c r="A60" s="20">
        <f>'Monthly Data'!A60</f>
        <v>42675</v>
      </c>
      <c r="B60">
        <f t="shared" si="11"/>
        <v>11</v>
      </c>
      <c r="C60">
        <f t="shared" si="12"/>
        <v>2016</v>
      </c>
      <c r="D60" s="70">
        <f>'Monthly Data'!X60</f>
        <v>24610081.270522524</v>
      </c>
      <c r="E60">
        <f>'Monthly Data'!CF60</f>
        <v>30</v>
      </c>
      <c r="F60">
        <f>'Monthly Data'!BG60</f>
        <v>377.2</v>
      </c>
      <c r="G60">
        <f>'Monthly Data'!CD60</f>
        <v>0</v>
      </c>
      <c r="I60" s="6">
        <f t="shared" si="7"/>
        <v>-912678.24653403205</v>
      </c>
      <c r="J60" s="6">
        <f t="shared" si="8"/>
        <v>22998386.64796542</v>
      </c>
      <c r="K60" s="6">
        <f t="shared" si="9"/>
        <v>1915737.6642380352</v>
      </c>
      <c r="L60" s="6">
        <f t="shared" si="6"/>
        <v>0</v>
      </c>
      <c r="M60" s="6">
        <f t="shared" si="10"/>
        <v>24001446.065669425</v>
      </c>
    </row>
    <row r="61" spans="1:13">
      <c r="A61" s="20">
        <f>'Monthly Data'!A61</f>
        <v>42705</v>
      </c>
      <c r="B61">
        <f t="shared" si="11"/>
        <v>12</v>
      </c>
      <c r="C61">
        <f t="shared" si="12"/>
        <v>2016</v>
      </c>
      <c r="D61" s="70">
        <f>'Monthly Data'!X61</f>
        <v>24792434.467537519</v>
      </c>
      <c r="E61">
        <f>'Monthly Data'!CF61</f>
        <v>31</v>
      </c>
      <c r="F61">
        <f>'Monthly Data'!BG61</f>
        <v>377.2</v>
      </c>
      <c r="G61">
        <f>'Monthly Data'!CD61</f>
        <v>0</v>
      </c>
      <c r="I61" s="6">
        <f t="shared" si="7"/>
        <v>-912678.24653403205</v>
      </c>
      <c r="J61" s="6">
        <f t="shared" si="8"/>
        <v>23764999.536230937</v>
      </c>
      <c r="K61" s="6">
        <f t="shared" si="9"/>
        <v>1915737.6642380352</v>
      </c>
      <c r="L61" s="6">
        <f t="shared" si="6"/>
        <v>0</v>
      </c>
      <c r="M61" s="6">
        <f t="shared" si="10"/>
        <v>24768058.953934941</v>
      </c>
    </row>
    <row r="62" spans="1:13">
      <c r="A62" s="20">
        <f>'Monthly Data'!A62</f>
        <v>42736</v>
      </c>
      <c r="B62">
        <f t="shared" si="11"/>
        <v>1</v>
      </c>
      <c r="C62">
        <f t="shared" si="12"/>
        <v>2017</v>
      </c>
      <c r="D62" s="70">
        <f>'Monthly Data'!X62</f>
        <v>24770287.141291514</v>
      </c>
      <c r="E62">
        <f>'Monthly Data'!CF62</f>
        <v>31</v>
      </c>
      <c r="F62">
        <f>'Monthly Data'!BG62</f>
        <v>287.5</v>
      </c>
      <c r="G62">
        <f>'Monthly Data'!CD62</f>
        <v>0</v>
      </c>
      <c r="I62" s="6">
        <f t="shared" si="7"/>
        <v>-912678.24653403205</v>
      </c>
      <c r="J62" s="6">
        <f t="shared" si="8"/>
        <v>23764999.536230937</v>
      </c>
      <c r="K62" s="6">
        <f t="shared" si="9"/>
        <v>1460165.9026204536</v>
      </c>
      <c r="L62" s="6">
        <f t="shared" si="6"/>
        <v>0</v>
      </c>
      <c r="M62" s="6">
        <f t="shared" si="10"/>
        <v>24312487.192317359</v>
      </c>
    </row>
    <row r="63" spans="1:13">
      <c r="A63" s="20">
        <f>'Monthly Data'!A63</f>
        <v>42767</v>
      </c>
      <c r="B63">
        <f t="shared" si="11"/>
        <v>2</v>
      </c>
      <c r="C63">
        <f t="shared" si="12"/>
        <v>2017</v>
      </c>
      <c r="D63" s="70">
        <f>'Monthly Data'!X63</f>
        <v>22961918.206419017</v>
      </c>
      <c r="E63">
        <f>'Monthly Data'!CF63</f>
        <v>28</v>
      </c>
      <c r="F63">
        <f>'Monthly Data'!BG63</f>
        <v>287.5</v>
      </c>
      <c r="G63">
        <f>'Monthly Data'!CD63</f>
        <v>0</v>
      </c>
      <c r="I63" s="6">
        <f t="shared" si="7"/>
        <v>-912678.24653403205</v>
      </c>
      <c r="J63" s="6">
        <f t="shared" si="8"/>
        <v>21465160.871434394</v>
      </c>
      <c r="K63" s="6">
        <f t="shared" si="9"/>
        <v>1460165.9026204536</v>
      </c>
      <c r="L63" s="6">
        <f t="shared" si="6"/>
        <v>0</v>
      </c>
      <c r="M63" s="6">
        <f t="shared" si="10"/>
        <v>22012648.527520817</v>
      </c>
    </row>
    <row r="64" spans="1:13">
      <c r="A64" s="20">
        <f>'Monthly Data'!A64</f>
        <v>42795</v>
      </c>
      <c r="B64">
        <f t="shared" si="11"/>
        <v>3</v>
      </c>
      <c r="C64">
        <f t="shared" si="12"/>
        <v>2017</v>
      </c>
      <c r="D64" s="70">
        <f>'Monthly Data'!X64</f>
        <v>26050296.256786522</v>
      </c>
      <c r="E64">
        <f>'Monthly Data'!CF64</f>
        <v>31</v>
      </c>
      <c r="F64">
        <f>'Monthly Data'!BG64</f>
        <v>287.5</v>
      </c>
      <c r="G64">
        <f>'Monthly Data'!CD64</f>
        <v>0</v>
      </c>
      <c r="I64" s="6">
        <f t="shared" si="7"/>
        <v>-912678.24653403205</v>
      </c>
      <c r="J64" s="6">
        <f t="shared" si="8"/>
        <v>23764999.536230937</v>
      </c>
      <c r="K64" s="6">
        <f t="shared" si="9"/>
        <v>1460165.9026204536</v>
      </c>
      <c r="L64" s="6">
        <f t="shared" si="6"/>
        <v>0</v>
      </c>
      <c r="M64" s="6">
        <f t="shared" si="10"/>
        <v>24312487.192317359</v>
      </c>
    </row>
    <row r="65" spans="1:13">
      <c r="A65" s="20">
        <f>'Monthly Data'!A65</f>
        <v>42826</v>
      </c>
      <c r="B65">
        <f t="shared" si="11"/>
        <v>4</v>
      </c>
      <c r="C65">
        <f t="shared" si="12"/>
        <v>2017</v>
      </c>
      <c r="D65" s="70">
        <f>'Monthly Data'!X65</f>
        <v>24840158.954896517</v>
      </c>
      <c r="E65">
        <f>'Monthly Data'!CF65</f>
        <v>30</v>
      </c>
      <c r="F65">
        <f>'Monthly Data'!BG65</f>
        <v>287.5</v>
      </c>
      <c r="G65">
        <f>'Monthly Data'!CD65</f>
        <v>0</v>
      </c>
      <c r="I65" s="6">
        <f t="shared" si="7"/>
        <v>-912678.24653403205</v>
      </c>
      <c r="J65" s="6">
        <f t="shared" si="8"/>
        <v>22998386.64796542</v>
      </c>
      <c r="K65" s="6">
        <f t="shared" si="9"/>
        <v>1460165.9026204536</v>
      </c>
      <c r="L65" s="6">
        <f t="shared" si="6"/>
        <v>0</v>
      </c>
      <c r="M65" s="6">
        <f t="shared" si="10"/>
        <v>23545874.304051843</v>
      </c>
    </row>
    <row r="66" spans="1:13">
      <c r="A66" s="20">
        <f>'Monthly Data'!A66</f>
        <v>42856</v>
      </c>
      <c r="B66">
        <f t="shared" si="11"/>
        <v>5</v>
      </c>
      <c r="C66">
        <f t="shared" si="12"/>
        <v>2017</v>
      </c>
      <c r="D66" s="70">
        <f>'Monthly Data'!X66</f>
        <v>26058283.385469019</v>
      </c>
      <c r="E66">
        <f>'Monthly Data'!CF66</f>
        <v>31</v>
      </c>
      <c r="F66">
        <f>'Monthly Data'!BG66</f>
        <v>287.5</v>
      </c>
      <c r="G66">
        <f>'Monthly Data'!CD66</f>
        <v>0</v>
      </c>
      <c r="I66" s="6">
        <f t="shared" ref="I66:I97" si="13">$P$7</f>
        <v>-912678.24653403205</v>
      </c>
      <c r="J66" s="6">
        <f t="shared" ref="J66:J97" si="14">E66*$P$8</f>
        <v>23764999.536230937</v>
      </c>
      <c r="K66" s="6">
        <f t="shared" ref="K66:K97" si="15">F66*$P$9</f>
        <v>1460165.9026204536</v>
      </c>
      <c r="L66" s="6">
        <f t="shared" si="6"/>
        <v>0</v>
      </c>
      <c r="M66" s="6">
        <f t="shared" ref="M66:M97" si="16">SUM(I66:L66)</f>
        <v>24312487.192317359</v>
      </c>
    </row>
    <row r="67" spans="1:13">
      <c r="A67" s="20">
        <f>'Monthly Data'!A67</f>
        <v>42887</v>
      </c>
      <c r="B67">
        <f t="shared" si="11"/>
        <v>6</v>
      </c>
      <c r="C67">
        <f t="shared" si="12"/>
        <v>2017</v>
      </c>
      <c r="D67" s="70">
        <f>'Monthly Data'!X67</f>
        <v>22007168.552071519</v>
      </c>
      <c r="E67">
        <f>'Monthly Data'!CF67</f>
        <v>30</v>
      </c>
      <c r="F67">
        <f>'Monthly Data'!BG67</f>
        <v>287.5</v>
      </c>
      <c r="G67">
        <f>'Monthly Data'!CD67</f>
        <v>0</v>
      </c>
      <c r="I67" s="6">
        <f t="shared" si="13"/>
        <v>-912678.24653403205</v>
      </c>
      <c r="J67" s="6">
        <f t="shared" si="14"/>
        <v>22998386.64796542</v>
      </c>
      <c r="K67" s="6">
        <f t="shared" si="15"/>
        <v>1460165.9026204536</v>
      </c>
      <c r="L67" s="6">
        <f t="shared" ref="L67:L130" si="17">G67*$P$10</f>
        <v>0</v>
      </c>
      <c r="M67" s="6">
        <f t="shared" si="16"/>
        <v>23545874.304051843</v>
      </c>
    </row>
    <row r="68" spans="1:13">
      <c r="A68" s="20">
        <f>'Monthly Data'!A68</f>
        <v>42917</v>
      </c>
      <c r="B68">
        <f t="shared" si="11"/>
        <v>7</v>
      </c>
      <c r="C68">
        <f t="shared" si="12"/>
        <v>2017</v>
      </c>
      <c r="D68" s="70">
        <f>'Monthly Data'!X68</f>
        <v>25182895.508754019</v>
      </c>
      <c r="E68">
        <f>'Monthly Data'!CF68</f>
        <v>31</v>
      </c>
      <c r="F68">
        <f>'Monthly Data'!BG68</f>
        <v>287.5</v>
      </c>
      <c r="G68">
        <f>'Monthly Data'!CD68</f>
        <v>0</v>
      </c>
      <c r="I68" s="6">
        <f t="shared" si="13"/>
        <v>-912678.24653403205</v>
      </c>
      <c r="J68" s="6">
        <f t="shared" si="14"/>
        <v>23764999.536230937</v>
      </c>
      <c r="K68" s="6">
        <f t="shared" si="15"/>
        <v>1460165.9026204536</v>
      </c>
      <c r="L68" s="6">
        <f t="shared" si="17"/>
        <v>0</v>
      </c>
      <c r="M68" s="6">
        <f t="shared" si="16"/>
        <v>24312487.192317359</v>
      </c>
    </row>
    <row r="69" spans="1:13">
      <c r="A69" s="20">
        <f>'Monthly Data'!A69</f>
        <v>42948</v>
      </c>
      <c r="B69">
        <f t="shared" si="11"/>
        <v>8</v>
      </c>
      <c r="C69">
        <f t="shared" si="12"/>
        <v>2017</v>
      </c>
      <c r="D69" s="70">
        <f>'Monthly Data'!X69</f>
        <v>25921413.410716515</v>
      </c>
      <c r="E69">
        <f>'Monthly Data'!CF69</f>
        <v>31</v>
      </c>
      <c r="F69">
        <f>'Monthly Data'!BG69</f>
        <v>287.5</v>
      </c>
      <c r="G69">
        <f>'Monthly Data'!CD69</f>
        <v>0</v>
      </c>
      <c r="I69" s="6">
        <f t="shared" si="13"/>
        <v>-912678.24653403205</v>
      </c>
      <c r="J69" s="6">
        <f t="shared" si="14"/>
        <v>23764999.536230937</v>
      </c>
      <c r="K69" s="6">
        <f t="shared" si="15"/>
        <v>1460165.9026204536</v>
      </c>
      <c r="L69" s="6">
        <f t="shared" si="17"/>
        <v>0</v>
      </c>
      <c r="M69" s="6">
        <f t="shared" si="16"/>
        <v>24312487.192317359</v>
      </c>
    </row>
    <row r="70" spans="1:13">
      <c r="A70" s="20">
        <f>'Monthly Data'!A70</f>
        <v>42979</v>
      </c>
      <c r="B70">
        <f t="shared" si="11"/>
        <v>9</v>
      </c>
      <c r="C70">
        <f t="shared" si="12"/>
        <v>2017</v>
      </c>
      <c r="D70" s="70">
        <f>'Monthly Data'!X70</f>
        <v>23182666.180404019</v>
      </c>
      <c r="E70">
        <f>'Monthly Data'!CF70</f>
        <v>30</v>
      </c>
      <c r="F70">
        <f>'Monthly Data'!BG70</f>
        <v>287.5</v>
      </c>
      <c r="G70">
        <f>'Monthly Data'!CD70</f>
        <v>1</v>
      </c>
      <c r="I70" s="6">
        <f t="shared" si="13"/>
        <v>-912678.24653403205</v>
      </c>
      <c r="J70" s="6">
        <f t="shared" si="14"/>
        <v>22998386.64796542</v>
      </c>
      <c r="K70" s="6">
        <f t="shared" si="15"/>
        <v>1460165.9026204536</v>
      </c>
      <c r="L70" s="6">
        <f t="shared" si="17"/>
        <v>-580482.53600244795</v>
      </c>
      <c r="M70" s="6">
        <f t="shared" si="16"/>
        <v>22965391.768049393</v>
      </c>
    </row>
    <row r="71" spans="1:13">
      <c r="A71" s="20">
        <f>'Monthly Data'!A71</f>
        <v>43009</v>
      </c>
      <c r="B71">
        <f t="shared" si="11"/>
        <v>10</v>
      </c>
      <c r="C71">
        <f t="shared" si="12"/>
        <v>2017</v>
      </c>
      <c r="D71" s="70">
        <f>'Monthly Data'!X71</f>
        <v>21714170.522626519</v>
      </c>
      <c r="E71">
        <f>'Monthly Data'!CF71</f>
        <v>31</v>
      </c>
      <c r="F71">
        <f>'Monthly Data'!BG71</f>
        <v>287.5</v>
      </c>
      <c r="G71">
        <f>'Monthly Data'!CD71</f>
        <v>1</v>
      </c>
      <c r="I71" s="6">
        <f t="shared" si="13"/>
        <v>-912678.24653403205</v>
      </c>
      <c r="J71" s="6">
        <f t="shared" si="14"/>
        <v>23764999.536230937</v>
      </c>
      <c r="K71" s="6">
        <f t="shared" si="15"/>
        <v>1460165.9026204536</v>
      </c>
      <c r="L71" s="6">
        <f t="shared" si="17"/>
        <v>-580482.53600244795</v>
      </c>
      <c r="M71" s="6">
        <f t="shared" si="16"/>
        <v>23732004.656314909</v>
      </c>
    </row>
    <row r="72" spans="1:13">
      <c r="A72" s="20">
        <f>'Monthly Data'!A72</f>
        <v>43040</v>
      </c>
      <c r="B72">
        <f t="shared" si="11"/>
        <v>11</v>
      </c>
      <c r="C72">
        <f t="shared" si="12"/>
        <v>2017</v>
      </c>
      <c r="D72" s="70">
        <f>'Monthly Data'!X72</f>
        <v>22766018.494636517</v>
      </c>
      <c r="E72">
        <f>'Monthly Data'!CF72</f>
        <v>30</v>
      </c>
      <c r="F72">
        <f>'Monthly Data'!BG72</f>
        <v>287.5</v>
      </c>
      <c r="G72">
        <f>'Monthly Data'!CD72</f>
        <v>0</v>
      </c>
      <c r="I72" s="6">
        <f t="shared" si="13"/>
        <v>-912678.24653403205</v>
      </c>
      <c r="J72" s="6">
        <f t="shared" si="14"/>
        <v>22998386.64796542</v>
      </c>
      <c r="K72" s="6">
        <f t="shared" si="15"/>
        <v>1460165.9026204536</v>
      </c>
      <c r="L72" s="6">
        <f t="shared" si="17"/>
        <v>0</v>
      </c>
      <c r="M72" s="6">
        <f t="shared" si="16"/>
        <v>23545874.304051843</v>
      </c>
    </row>
    <row r="73" spans="1:13">
      <c r="A73" s="20">
        <f>'Monthly Data'!A73</f>
        <v>43070</v>
      </c>
      <c r="B73">
        <f t="shared" si="11"/>
        <v>12</v>
      </c>
      <c r="C73">
        <f t="shared" si="12"/>
        <v>2017</v>
      </c>
      <c r="D73" s="70">
        <f>'Monthly Data'!X73</f>
        <v>24333332.109729018</v>
      </c>
      <c r="E73">
        <f>'Monthly Data'!CF73</f>
        <v>31</v>
      </c>
      <c r="F73">
        <f>'Monthly Data'!BG73</f>
        <v>287.5</v>
      </c>
      <c r="G73">
        <f>'Monthly Data'!CD73</f>
        <v>0</v>
      </c>
      <c r="I73" s="6">
        <f t="shared" si="13"/>
        <v>-912678.24653403205</v>
      </c>
      <c r="J73" s="6">
        <f t="shared" si="14"/>
        <v>23764999.536230937</v>
      </c>
      <c r="K73" s="6">
        <f t="shared" si="15"/>
        <v>1460165.9026204536</v>
      </c>
      <c r="L73" s="6">
        <f t="shared" si="17"/>
        <v>0</v>
      </c>
      <c r="M73" s="6">
        <f t="shared" si="16"/>
        <v>24312487.192317359</v>
      </c>
    </row>
    <row r="74" spans="1:13">
      <c r="A74" s="20">
        <f>'Monthly Data'!A74</f>
        <v>43101</v>
      </c>
      <c r="B74">
        <f t="shared" si="11"/>
        <v>1</v>
      </c>
      <c r="C74">
        <f t="shared" si="12"/>
        <v>2018</v>
      </c>
      <c r="D74" s="70">
        <f>'Monthly Data'!X74</f>
        <v>24009161.497997802</v>
      </c>
      <c r="E74">
        <f>'Monthly Data'!CF74</f>
        <v>31</v>
      </c>
      <c r="F74">
        <f>'Monthly Data'!BG74</f>
        <v>277</v>
      </c>
      <c r="G74">
        <f>'Monthly Data'!CD74</f>
        <v>0</v>
      </c>
      <c r="I74" s="6">
        <f t="shared" si="13"/>
        <v>-912678.24653403205</v>
      </c>
      <c r="J74" s="6">
        <f t="shared" si="14"/>
        <v>23764999.536230937</v>
      </c>
      <c r="K74" s="6">
        <f t="shared" si="15"/>
        <v>1406838.1044377936</v>
      </c>
      <c r="L74" s="6">
        <f t="shared" si="17"/>
        <v>0</v>
      </c>
      <c r="M74" s="6">
        <f t="shared" si="16"/>
        <v>24259159.3941347</v>
      </c>
    </row>
    <row r="75" spans="1:13">
      <c r="A75" s="20">
        <f>'Monthly Data'!A75</f>
        <v>43132</v>
      </c>
      <c r="B75">
        <f t="shared" si="11"/>
        <v>2</v>
      </c>
      <c r="C75">
        <f t="shared" si="12"/>
        <v>2018</v>
      </c>
      <c r="D75" s="70">
        <f>'Monthly Data'!X75</f>
        <v>23586264.422380298</v>
      </c>
      <c r="E75">
        <f>'Monthly Data'!CF75</f>
        <v>28</v>
      </c>
      <c r="F75">
        <f>'Monthly Data'!BG75</f>
        <v>277</v>
      </c>
      <c r="G75">
        <f>'Monthly Data'!CD75</f>
        <v>0</v>
      </c>
      <c r="I75" s="6">
        <f t="shared" si="13"/>
        <v>-912678.24653403205</v>
      </c>
      <c r="J75" s="6">
        <f t="shared" si="14"/>
        <v>21465160.871434394</v>
      </c>
      <c r="K75" s="6">
        <f t="shared" si="15"/>
        <v>1406838.1044377936</v>
      </c>
      <c r="L75" s="6">
        <f t="shared" si="17"/>
        <v>0</v>
      </c>
      <c r="M75" s="6">
        <f t="shared" si="16"/>
        <v>21959320.729338158</v>
      </c>
    </row>
    <row r="76" spans="1:13">
      <c r="A76" s="20">
        <f>'Monthly Data'!A76</f>
        <v>43160</v>
      </c>
      <c r="B76">
        <f t="shared" si="11"/>
        <v>3</v>
      </c>
      <c r="C76">
        <f t="shared" si="12"/>
        <v>2018</v>
      </c>
      <c r="D76" s="70">
        <f>'Monthly Data'!X76</f>
        <v>24162940.202252798</v>
      </c>
      <c r="E76">
        <f>'Monthly Data'!CF76</f>
        <v>31</v>
      </c>
      <c r="F76">
        <f>'Monthly Data'!BG76</f>
        <v>277</v>
      </c>
      <c r="G76">
        <f>'Monthly Data'!CD76</f>
        <v>0</v>
      </c>
      <c r="I76" s="6">
        <f t="shared" si="13"/>
        <v>-912678.24653403205</v>
      </c>
      <c r="J76" s="6">
        <f t="shared" si="14"/>
        <v>23764999.536230937</v>
      </c>
      <c r="K76" s="6">
        <f t="shared" si="15"/>
        <v>1406838.1044377936</v>
      </c>
      <c r="L76" s="6">
        <f t="shared" si="17"/>
        <v>0</v>
      </c>
      <c r="M76" s="6">
        <f t="shared" si="16"/>
        <v>24259159.3941347</v>
      </c>
    </row>
    <row r="77" spans="1:13">
      <c r="A77" s="20">
        <f>'Monthly Data'!A77</f>
        <v>43191</v>
      </c>
      <c r="B77">
        <f t="shared" si="11"/>
        <v>4</v>
      </c>
      <c r="C77">
        <f t="shared" si="12"/>
        <v>2018</v>
      </c>
      <c r="D77" s="70">
        <f>'Monthly Data'!X77</f>
        <v>20425443.915497798</v>
      </c>
      <c r="E77">
        <f>'Monthly Data'!CF77</f>
        <v>30</v>
      </c>
      <c r="F77">
        <f>'Monthly Data'!BG77</f>
        <v>277</v>
      </c>
      <c r="G77">
        <f>'Monthly Data'!CD77</f>
        <v>0</v>
      </c>
      <c r="I77" s="6">
        <f t="shared" si="13"/>
        <v>-912678.24653403205</v>
      </c>
      <c r="J77" s="6">
        <f t="shared" si="14"/>
        <v>22998386.64796542</v>
      </c>
      <c r="K77" s="6">
        <f t="shared" si="15"/>
        <v>1406838.1044377936</v>
      </c>
      <c r="L77" s="6">
        <f t="shared" si="17"/>
        <v>0</v>
      </c>
      <c r="M77" s="6">
        <f t="shared" si="16"/>
        <v>23492546.505869184</v>
      </c>
    </row>
    <row r="78" spans="1:13">
      <c r="A78" s="20">
        <f>'Monthly Data'!A78</f>
        <v>43221</v>
      </c>
      <c r="B78">
        <f t="shared" si="11"/>
        <v>5</v>
      </c>
      <c r="C78">
        <f t="shared" si="12"/>
        <v>2018</v>
      </c>
      <c r="D78" s="70">
        <f>'Monthly Data'!X78</f>
        <v>20445732.092170302</v>
      </c>
      <c r="E78">
        <f>'Monthly Data'!CF78</f>
        <v>31</v>
      </c>
      <c r="F78">
        <f>'Monthly Data'!BG78</f>
        <v>277</v>
      </c>
      <c r="G78">
        <f>'Monthly Data'!CD78</f>
        <v>0</v>
      </c>
      <c r="I78" s="6">
        <f t="shared" si="13"/>
        <v>-912678.24653403205</v>
      </c>
      <c r="J78" s="6">
        <f t="shared" si="14"/>
        <v>23764999.536230937</v>
      </c>
      <c r="K78" s="6">
        <f t="shared" si="15"/>
        <v>1406838.1044377936</v>
      </c>
      <c r="L78" s="6">
        <f t="shared" si="17"/>
        <v>0</v>
      </c>
      <c r="M78" s="6">
        <f t="shared" si="16"/>
        <v>24259159.3941347</v>
      </c>
    </row>
    <row r="79" spans="1:13">
      <c r="A79" s="20">
        <f>'Monthly Data'!A79</f>
        <v>43252</v>
      </c>
      <c r="B79">
        <f t="shared" si="11"/>
        <v>6</v>
      </c>
      <c r="C79">
        <f t="shared" si="12"/>
        <v>2018</v>
      </c>
      <c r="D79" s="70">
        <f>'Monthly Data'!X79</f>
        <v>23092492.308985304</v>
      </c>
      <c r="E79">
        <f>'Monthly Data'!CF79</f>
        <v>30</v>
      </c>
      <c r="F79">
        <f>'Monthly Data'!BG79</f>
        <v>277</v>
      </c>
      <c r="G79">
        <f>'Monthly Data'!CD79</f>
        <v>0</v>
      </c>
      <c r="I79" s="6">
        <f t="shared" si="13"/>
        <v>-912678.24653403205</v>
      </c>
      <c r="J79" s="6">
        <f t="shared" si="14"/>
        <v>22998386.64796542</v>
      </c>
      <c r="K79" s="6">
        <f t="shared" si="15"/>
        <v>1406838.1044377936</v>
      </c>
      <c r="L79" s="6">
        <f t="shared" si="17"/>
        <v>0</v>
      </c>
      <c r="M79" s="6">
        <f t="shared" si="16"/>
        <v>23492546.505869184</v>
      </c>
    </row>
    <row r="80" spans="1:13">
      <c r="A80" s="20">
        <f>'Monthly Data'!A80</f>
        <v>43282</v>
      </c>
      <c r="B80">
        <f t="shared" si="11"/>
        <v>7</v>
      </c>
      <c r="C80">
        <f t="shared" si="12"/>
        <v>2018</v>
      </c>
      <c r="D80" s="70">
        <f>'Monthly Data'!X80</f>
        <v>24107494.645877801</v>
      </c>
      <c r="E80">
        <f>'Monthly Data'!CF80</f>
        <v>31</v>
      </c>
      <c r="F80">
        <f>'Monthly Data'!BG80</f>
        <v>277</v>
      </c>
      <c r="G80">
        <f>'Monthly Data'!CD80</f>
        <v>0</v>
      </c>
      <c r="I80" s="6">
        <f t="shared" si="13"/>
        <v>-912678.24653403205</v>
      </c>
      <c r="J80" s="6">
        <f t="shared" si="14"/>
        <v>23764999.536230937</v>
      </c>
      <c r="K80" s="6">
        <f t="shared" si="15"/>
        <v>1406838.1044377936</v>
      </c>
      <c r="L80" s="6">
        <f t="shared" si="17"/>
        <v>0</v>
      </c>
      <c r="M80" s="6">
        <f t="shared" si="16"/>
        <v>24259159.3941347</v>
      </c>
    </row>
    <row r="81" spans="1:13">
      <c r="A81" s="20">
        <f>'Monthly Data'!A81</f>
        <v>43313</v>
      </c>
      <c r="B81">
        <f t="shared" si="11"/>
        <v>8</v>
      </c>
      <c r="C81">
        <f t="shared" si="12"/>
        <v>2018</v>
      </c>
      <c r="D81" s="70">
        <f>'Monthly Data'!X81</f>
        <v>23092259.140720297</v>
      </c>
      <c r="E81">
        <f>'Monthly Data'!CF81</f>
        <v>31</v>
      </c>
      <c r="F81">
        <f>'Monthly Data'!BG81</f>
        <v>277</v>
      </c>
      <c r="G81">
        <f>'Monthly Data'!CD81</f>
        <v>0</v>
      </c>
      <c r="I81" s="6">
        <f t="shared" si="13"/>
        <v>-912678.24653403205</v>
      </c>
      <c r="J81" s="6">
        <f t="shared" si="14"/>
        <v>23764999.536230937</v>
      </c>
      <c r="K81" s="6">
        <f t="shared" si="15"/>
        <v>1406838.1044377936</v>
      </c>
      <c r="L81" s="6">
        <f t="shared" si="17"/>
        <v>0</v>
      </c>
      <c r="M81" s="6">
        <f t="shared" si="16"/>
        <v>24259159.3941347</v>
      </c>
    </row>
    <row r="82" spans="1:13">
      <c r="A82" s="20">
        <f>'Monthly Data'!A82</f>
        <v>43344</v>
      </c>
      <c r="B82">
        <f t="shared" si="11"/>
        <v>9</v>
      </c>
      <c r="C82">
        <f t="shared" si="12"/>
        <v>2018</v>
      </c>
      <c r="D82" s="70">
        <f>'Monthly Data'!X82</f>
        <v>25764080.7833203</v>
      </c>
      <c r="E82">
        <f>'Monthly Data'!CF82</f>
        <v>30</v>
      </c>
      <c r="F82">
        <f>'Monthly Data'!BG82</f>
        <v>277</v>
      </c>
      <c r="G82">
        <f>'Monthly Data'!CD82</f>
        <v>1</v>
      </c>
      <c r="I82" s="6">
        <f t="shared" si="13"/>
        <v>-912678.24653403205</v>
      </c>
      <c r="J82" s="6">
        <f t="shared" si="14"/>
        <v>22998386.64796542</v>
      </c>
      <c r="K82" s="6">
        <f t="shared" si="15"/>
        <v>1406838.1044377936</v>
      </c>
      <c r="L82" s="6">
        <f t="shared" si="17"/>
        <v>-580482.53600244795</v>
      </c>
      <c r="M82" s="6">
        <f t="shared" si="16"/>
        <v>22912063.969866734</v>
      </c>
    </row>
    <row r="83" spans="1:13">
      <c r="A83" s="20">
        <f>'Monthly Data'!A83</f>
        <v>43374</v>
      </c>
      <c r="B83">
        <f t="shared" si="11"/>
        <v>10</v>
      </c>
      <c r="C83">
        <f t="shared" si="12"/>
        <v>2018</v>
      </c>
      <c r="D83" s="70">
        <f>'Monthly Data'!X83</f>
        <v>26956878.799262796</v>
      </c>
      <c r="E83">
        <f>'Monthly Data'!CF83</f>
        <v>31</v>
      </c>
      <c r="F83">
        <f>'Monthly Data'!BG83</f>
        <v>277</v>
      </c>
      <c r="G83">
        <f>'Monthly Data'!CD83</f>
        <v>1</v>
      </c>
      <c r="I83" s="6">
        <f t="shared" si="13"/>
        <v>-912678.24653403205</v>
      </c>
      <c r="J83" s="6">
        <f t="shared" si="14"/>
        <v>23764999.536230937</v>
      </c>
      <c r="K83" s="6">
        <f t="shared" si="15"/>
        <v>1406838.1044377936</v>
      </c>
      <c r="L83" s="6">
        <f t="shared" si="17"/>
        <v>-580482.53600244795</v>
      </c>
      <c r="M83" s="6">
        <f t="shared" si="16"/>
        <v>23678676.858132251</v>
      </c>
    </row>
    <row r="84" spans="1:13">
      <c r="A84" s="20">
        <f>'Monthly Data'!A84</f>
        <v>43405</v>
      </c>
      <c r="B84">
        <f t="shared" si="11"/>
        <v>11</v>
      </c>
      <c r="C84">
        <f t="shared" si="12"/>
        <v>2018</v>
      </c>
      <c r="D84" s="70">
        <f>'Monthly Data'!X84</f>
        <v>25481222.583850298</v>
      </c>
      <c r="E84">
        <f>'Monthly Data'!CF84</f>
        <v>30</v>
      </c>
      <c r="F84">
        <f>'Monthly Data'!BG84</f>
        <v>277</v>
      </c>
      <c r="G84">
        <f>'Monthly Data'!CD84</f>
        <v>0</v>
      </c>
      <c r="I84" s="6">
        <f t="shared" si="13"/>
        <v>-912678.24653403205</v>
      </c>
      <c r="J84" s="6">
        <f t="shared" si="14"/>
        <v>22998386.64796542</v>
      </c>
      <c r="K84" s="6">
        <f t="shared" si="15"/>
        <v>1406838.1044377936</v>
      </c>
      <c r="L84" s="6">
        <f t="shared" si="17"/>
        <v>0</v>
      </c>
      <c r="M84" s="6">
        <f t="shared" si="16"/>
        <v>23492546.505869184</v>
      </c>
    </row>
    <row r="85" spans="1:13">
      <c r="A85" s="20">
        <f>'Monthly Data'!A85</f>
        <v>43435</v>
      </c>
      <c r="B85">
        <f t="shared" si="11"/>
        <v>12</v>
      </c>
      <c r="C85">
        <f t="shared" si="12"/>
        <v>2018</v>
      </c>
      <c r="D85" s="70">
        <f>'Monthly Data'!X85</f>
        <v>26568385.3872278</v>
      </c>
      <c r="E85">
        <f>'Monthly Data'!CF85</f>
        <v>31</v>
      </c>
      <c r="F85">
        <f>'Monthly Data'!BG85</f>
        <v>277</v>
      </c>
      <c r="G85">
        <f>'Monthly Data'!CD85</f>
        <v>0</v>
      </c>
      <c r="I85" s="6">
        <f t="shared" si="13"/>
        <v>-912678.24653403205</v>
      </c>
      <c r="J85" s="6">
        <f t="shared" si="14"/>
        <v>23764999.536230937</v>
      </c>
      <c r="K85" s="6">
        <f t="shared" si="15"/>
        <v>1406838.1044377936</v>
      </c>
      <c r="L85" s="6">
        <f t="shared" si="17"/>
        <v>0</v>
      </c>
      <c r="M85" s="6">
        <f t="shared" si="16"/>
        <v>24259159.3941347</v>
      </c>
    </row>
    <row r="86" spans="1:13">
      <c r="A86" s="20">
        <f>'Monthly Data'!A86</f>
        <v>43466</v>
      </c>
      <c r="B86">
        <f t="shared" si="11"/>
        <v>1</v>
      </c>
      <c r="C86">
        <f t="shared" si="12"/>
        <v>2019</v>
      </c>
      <c r="D86" s="70">
        <f>'Monthly Data'!X86</f>
        <v>27095699.423947453</v>
      </c>
      <c r="E86">
        <f>'Monthly Data'!CF86</f>
        <v>31</v>
      </c>
      <c r="F86">
        <f>'Monthly Data'!BG86</f>
        <v>274.8</v>
      </c>
      <c r="G86">
        <f>'Monthly Data'!CD86</f>
        <v>0</v>
      </c>
      <c r="I86" s="6">
        <f t="shared" si="13"/>
        <v>-912678.24653403205</v>
      </c>
      <c r="J86" s="6">
        <f t="shared" si="14"/>
        <v>23764999.536230937</v>
      </c>
      <c r="K86" s="6">
        <f t="shared" si="15"/>
        <v>1395664.661009046</v>
      </c>
      <c r="L86" s="6">
        <f t="shared" si="17"/>
        <v>0</v>
      </c>
      <c r="M86" s="6">
        <f t="shared" si="16"/>
        <v>24247985.950705953</v>
      </c>
    </row>
    <row r="87" spans="1:13">
      <c r="A87" s="20">
        <f>'Monthly Data'!A87</f>
        <v>43497</v>
      </c>
      <c r="B87">
        <f t="shared" si="11"/>
        <v>2</v>
      </c>
      <c r="C87">
        <f t="shared" si="12"/>
        <v>2019</v>
      </c>
      <c r="D87" s="70">
        <f>'Monthly Data'!X87</f>
        <v>23366311.423947453</v>
      </c>
      <c r="E87">
        <f>'Monthly Data'!CF87</f>
        <v>28</v>
      </c>
      <c r="F87">
        <f>'Monthly Data'!BG87</f>
        <v>274.8</v>
      </c>
      <c r="G87">
        <f>'Monthly Data'!CD87</f>
        <v>0</v>
      </c>
      <c r="I87" s="6">
        <f t="shared" si="13"/>
        <v>-912678.24653403205</v>
      </c>
      <c r="J87" s="6">
        <f t="shared" si="14"/>
        <v>21465160.871434394</v>
      </c>
      <c r="K87" s="6">
        <f t="shared" si="15"/>
        <v>1395664.661009046</v>
      </c>
      <c r="L87" s="6">
        <f t="shared" si="17"/>
        <v>0</v>
      </c>
      <c r="M87" s="6">
        <f t="shared" si="16"/>
        <v>21948147.285909411</v>
      </c>
    </row>
    <row r="88" spans="1:13">
      <c r="A88" s="20">
        <f>'Monthly Data'!A88</f>
        <v>43525</v>
      </c>
      <c r="B88">
        <f t="shared" si="11"/>
        <v>3</v>
      </c>
      <c r="C88">
        <f t="shared" si="12"/>
        <v>2019</v>
      </c>
      <c r="D88" s="70">
        <f>'Monthly Data'!X88</f>
        <v>26433357.423947453</v>
      </c>
      <c r="E88">
        <f>'Monthly Data'!CF88</f>
        <v>31</v>
      </c>
      <c r="F88">
        <f>'Monthly Data'!BG88</f>
        <v>274.8</v>
      </c>
      <c r="G88">
        <f>'Monthly Data'!CD88</f>
        <v>0</v>
      </c>
      <c r="I88" s="6">
        <f t="shared" si="13"/>
        <v>-912678.24653403205</v>
      </c>
      <c r="J88" s="6">
        <f t="shared" si="14"/>
        <v>23764999.536230937</v>
      </c>
      <c r="K88" s="6">
        <f t="shared" si="15"/>
        <v>1395664.661009046</v>
      </c>
      <c r="L88" s="6">
        <f t="shared" si="17"/>
        <v>0</v>
      </c>
      <c r="M88" s="6">
        <f t="shared" si="16"/>
        <v>24247985.950705953</v>
      </c>
    </row>
    <row r="89" spans="1:13">
      <c r="A89" s="20">
        <f>'Monthly Data'!A89</f>
        <v>43556</v>
      </c>
      <c r="B89">
        <f t="shared" si="11"/>
        <v>4</v>
      </c>
      <c r="C89">
        <f t="shared" si="12"/>
        <v>2019</v>
      </c>
      <c r="D89" s="70">
        <f>'Monthly Data'!X89</f>
        <v>24953186.423947453</v>
      </c>
      <c r="E89">
        <f>'Monthly Data'!CF89</f>
        <v>30</v>
      </c>
      <c r="F89">
        <f>'Monthly Data'!BG89</f>
        <v>274.8</v>
      </c>
      <c r="G89">
        <f>'Monthly Data'!CD89</f>
        <v>0</v>
      </c>
      <c r="I89" s="6">
        <f t="shared" si="13"/>
        <v>-912678.24653403205</v>
      </c>
      <c r="J89" s="6">
        <f t="shared" si="14"/>
        <v>22998386.64796542</v>
      </c>
      <c r="K89" s="6">
        <f t="shared" si="15"/>
        <v>1395664.661009046</v>
      </c>
      <c r="L89" s="6">
        <f t="shared" si="17"/>
        <v>0</v>
      </c>
      <c r="M89" s="6">
        <f t="shared" si="16"/>
        <v>23481373.062440436</v>
      </c>
    </row>
    <row r="90" spans="1:13">
      <c r="A90" s="20">
        <f>'Monthly Data'!A90</f>
        <v>43586</v>
      </c>
      <c r="B90">
        <f t="shared" si="11"/>
        <v>5</v>
      </c>
      <c r="C90">
        <f t="shared" si="12"/>
        <v>2019</v>
      </c>
      <c r="D90" s="70">
        <f>'Monthly Data'!X90</f>
        <v>24792249.423947453</v>
      </c>
      <c r="E90">
        <f>'Monthly Data'!CF90</f>
        <v>31</v>
      </c>
      <c r="F90">
        <f>'Monthly Data'!BG90</f>
        <v>274.8</v>
      </c>
      <c r="G90">
        <f>'Monthly Data'!CD90</f>
        <v>0</v>
      </c>
      <c r="I90" s="6">
        <f t="shared" si="13"/>
        <v>-912678.24653403205</v>
      </c>
      <c r="J90" s="6">
        <f t="shared" si="14"/>
        <v>23764999.536230937</v>
      </c>
      <c r="K90" s="6">
        <f t="shared" si="15"/>
        <v>1395664.661009046</v>
      </c>
      <c r="L90" s="6">
        <f t="shared" si="17"/>
        <v>0</v>
      </c>
      <c r="M90" s="6">
        <f t="shared" si="16"/>
        <v>24247985.950705953</v>
      </c>
    </row>
    <row r="91" spans="1:13">
      <c r="A91" s="20">
        <f>'Monthly Data'!A91</f>
        <v>43617</v>
      </c>
      <c r="B91">
        <f t="shared" si="11"/>
        <v>6</v>
      </c>
      <c r="C91">
        <f t="shared" si="12"/>
        <v>2019</v>
      </c>
      <c r="D91" s="70">
        <f>'Monthly Data'!X91</f>
        <v>24746862.423947453</v>
      </c>
      <c r="E91">
        <f>'Monthly Data'!CF91</f>
        <v>30</v>
      </c>
      <c r="F91">
        <f>'Monthly Data'!BG91</f>
        <v>274.8</v>
      </c>
      <c r="G91">
        <f>'Monthly Data'!CD91</f>
        <v>0</v>
      </c>
      <c r="I91" s="6">
        <f t="shared" si="13"/>
        <v>-912678.24653403205</v>
      </c>
      <c r="J91" s="6">
        <f t="shared" si="14"/>
        <v>22998386.64796542</v>
      </c>
      <c r="K91" s="6">
        <f t="shared" si="15"/>
        <v>1395664.661009046</v>
      </c>
      <c r="L91" s="6">
        <f t="shared" si="17"/>
        <v>0</v>
      </c>
      <c r="M91" s="6">
        <f t="shared" si="16"/>
        <v>23481373.062440436</v>
      </c>
    </row>
    <row r="92" spans="1:13">
      <c r="A92" s="20">
        <f>'Monthly Data'!A92</f>
        <v>43647</v>
      </c>
      <c r="B92">
        <f t="shared" si="11"/>
        <v>7</v>
      </c>
      <c r="C92">
        <f t="shared" si="12"/>
        <v>2019</v>
      </c>
      <c r="D92" s="70">
        <f>'Monthly Data'!X92</f>
        <v>25636772.423947453</v>
      </c>
      <c r="E92">
        <f>'Monthly Data'!CF92</f>
        <v>31</v>
      </c>
      <c r="F92">
        <f>'Monthly Data'!BG92</f>
        <v>274.8</v>
      </c>
      <c r="G92">
        <f>'Monthly Data'!CD92</f>
        <v>0</v>
      </c>
      <c r="I92" s="6">
        <f t="shared" si="13"/>
        <v>-912678.24653403205</v>
      </c>
      <c r="J92" s="6">
        <f t="shared" si="14"/>
        <v>23764999.536230937</v>
      </c>
      <c r="K92" s="6">
        <f t="shared" si="15"/>
        <v>1395664.661009046</v>
      </c>
      <c r="L92" s="6">
        <f t="shared" si="17"/>
        <v>0</v>
      </c>
      <c r="M92" s="6">
        <f t="shared" si="16"/>
        <v>24247985.950705953</v>
      </c>
    </row>
    <row r="93" spans="1:13">
      <c r="A93" s="20">
        <f>'Monthly Data'!A93</f>
        <v>43678</v>
      </c>
      <c r="B93">
        <f t="shared" si="11"/>
        <v>8</v>
      </c>
      <c r="C93">
        <f t="shared" si="12"/>
        <v>2019</v>
      </c>
      <c r="D93" s="70">
        <f>'Monthly Data'!X93</f>
        <v>25778018.423947453</v>
      </c>
      <c r="E93">
        <f>'Monthly Data'!CF93</f>
        <v>31</v>
      </c>
      <c r="F93">
        <f>'Monthly Data'!BG93</f>
        <v>274.8</v>
      </c>
      <c r="G93">
        <f>'Monthly Data'!CD93</f>
        <v>0</v>
      </c>
      <c r="I93" s="6">
        <f t="shared" si="13"/>
        <v>-912678.24653403205</v>
      </c>
      <c r="J93" s="6">
        <f t="shared" si="14"/>
        <v>23764999.536230937</v>
      </c>
      <c r="K93" s="6">
        <f t="shared" si="15"/>
        <v>1395664.661009046</v>
      </c>
      <c r="L93" s="6">
        <f t="shared" si="17"/>
        <v>0</v>
      </c>
      <c r="M93" s="6">
        <f t="shared" si="16"/>
        <v>24247985.950705953</v>
      </c>
    </row>
    <row r="94" spans="1:13">
      <c r="A94" s="20">
        <f>'Monthly Data'!A94</f>
        <v>43709</v>
      </c>
      <c r="B94">
        <f t="shared" si="11"/>
        <v>9</v>
      </c>
      <c r="C94">
        <f t="shared" si="12"/>
        <v>2019</v>
      </c>
      <c r="D94" s="70">
        <f>'Monthly Data'!X94</f>
        <v>20459553.423947453</v>
      </c>
      <c r="E94">
        <f>'Monthly Data'!CF94</f>
        <v>30</v>
      </c>
      <c r="F94">
        <f>'Monthly Data'!BG94</f>
        <v>274.8</v>
      </c>
      <c r="G94">
        <f>'Monthly Data'!CD94</f>
        <v>1</v>
      </c>
      <c r="I94" s="6">
        <f t="shared" si="13"/>
        <v>-912678.24653403205</v>
      </c>
      <c r="J94" s="6">
        <f t="shared" si="14"/>
        <v>22998386.64796542</v>
      </c>
      <c r="K94" s="6">
        <f t="shared" si="15"/>
        <v>1395664.661009046</v>
      </c>
      <c r="L94" s="6">
        <f t="shared" si="17"/>
        <v>-580482.53600244795</v>
      </c>
      <c r="M94" s="6">
        <f t="shared" si="16"/>
        <v>22900890.526437987</v>
      </c>
    </row>
    <row r="95" spans="1:13">
      <c r="A95" s="20">
        <f>'Monthly Data'!A95</f>
        <v>43739</v>
      </c>
      <c r="B95">
        <f t="shared" si="11"/>
        <v>10</v>
      </c>
      <c r="C95">
        <f t="shared" si="12"/>
        <v>2019</v>
      </c>
      <c r="D95" s="70">
        <f>'Monthly Data'!X95</f>
        <v>21248121.423947453</v>
      </c>
      <c r="E95">
        <f>'Monthly Data'!CF95</f>
        <v>31</v>
      </c>
      <c r="F95">
        <f>'Monthly Data'!BG95</f>
        <v>274.8</v>
      </c>
      <c r="G95">
        <f>'Monthly Data'!CD95</f>
        <v>1</v>
      </c>
      <c r="I95" s="6">
        <f t="shared" si="13"/>
        <v>-912678.24653403205</v>
      </c>
      <c r="J95" s="6">
        <f t="shared" si="14"/>
        <v>23764999.536230937</v>
      </c>
      <c r="K95" s="6">
        <f t="shared" si="15"/>
        <v>1395664.661009046</v>
      </c>
      <c r="L95" s="6">
        <f t="shared" si="17"/>
        <v>-580482.53600244795</v>
      </c>
      <c r="M95" s="6">
        <f t="shared" si="16"/>
        <v>23667503.414703503</v>
      </c>
    </row>
    <row r="96" spans="1:13">
      <c r="A96" s="20">
        <f>'Monthly Data'!A96</f>
        <v>43770</v>
      </c>
      <c r="B96">
        <f t="shared" si="11"/>
        <v>11</v>
      </c>
      <c r="C96">
        <f t="shared" si="12"/>
        <v>2019</v>
      </c>
      <c r="D96" s="70">
        <f>'Monthly Data'!X96</f>
        <v>22378411.423947453</v>
      </c>
      <c r="E96">
        <f>'Monthly Data'!CF96</f>
        <v>30</v>
      </c>
      <c r="F96">
        <f>'Monthly Data'!BG96</f>
        <v>274.8</v>
      </c>
      <c r="G96">
        <f>'Monthly Data'!CD96</f>
        <v>0</v>
      </c>
      <c r="I96" s="6">
        <f t="shared" si="13"/>
        <v>-912678.24653403205</v>
      </c>
      <c r="J96" s="6">
        <f t="shared" si="14"/>
        <v>22998386.64796542</v>
      </c>
      <c r="K96" s="6">
        <f t="shared" si="15"/>
        <v>1395664.661009046</v>
      </c>
      <c r="L96" s="6">
        <f t="shared" si="17"/>
        <v>0</v>
      </c>
      <c r="M96" s="6">
        <f t="shared" si="16"/>
        <v>23481373.062440436</v>
      </c>
    </row>
    <row r="97" spans="1:13">
      <c r="A97" s="20">
        <f>'Monthly Data'!A97</f>
        <v>43800</v>
      </c>
      <c r="B97">
        <f t="shared" si="11"/>
        <v>12</v>
      </c>
      <c r="C97">
        <f t="shared" si="12"/>
        <v>2019</v>
      </c>
      <c r="D97" s="70">
        <f>'Monthly Data'!X97</f>
        <v>24769462.423947453</v>
      </c>
      <c r="E97">
        <f>'Monthly Data'!CF97</f>
        <v>31</v>
      </c>
      <c r="F97">
        <f>'Monthly Data'!BG97</f>
        <v>274.8</v>
      </c>
      <c r="G97">
        <f>'Monthly Data'!CD97</f>
        <v>0</v>
      </c>
      <c r="I97" s="6">
        <f t="shared" si="13"/>
        <v>-912678.24653403205</v>
      </c>
      <c r="J97" s="6">
        <f t="shared" si="14"/>
        <v>23764999.536230937</v>
      </c>
      <c r="K97" s="6">
        <f t="shared" si="15"/>
        <v>1395664.661009046</v>
      </c>
      <c r="L97" s="6">
        <f t="shared" si="17"/>
        <v>0</v>
      </c>
      <c r="M97" s="6">
        <f t="shared" si="16"/>
        <v>24247985.950705953</v>
      </c>
    </row>
    <row r="98" spans="1:13">
      <c r="A98" s="20">
        <f>'Monthly Data'!A98</f>
        <v>43831</v>
      </c>
      <c r="B98">
        <f t="shared" ref="B98:B121" si="18">MONTH(A98)</f>
        <v>1</v>
      </c>
      <c r="C98">
        <f t="shared" ref="C98:C121" si="19">YEAR(A98)</f>
        <v>2020</v>
      </c>
      <c r="D98" s="70">
        <f>'Monthly Data'!X98</f>
        <v>25112841.168255385</v>
      </c>
      <c r="E98">
        <f>'Monthly Data'!CF98</f>
        <v>31</v>
      </c>
      <c r="F98">
        <f>'Monthly Data'!BG98</f>
        <v>261.60000000000002</v>
      </c>
      <c r="G98">
        <f>'Monthly Data'!CD98</f>
        <v>0</v>
      </c>
      <c r="I98" s="6">
        <f t="shared" ref="I98:I129" si="20">$P$7</f>
        <v>-912678.24653403205</v>
      </c>
      <c r="J98" s="6">
        <f t="shared" ref="J98:J129" si="21">E98*$P$8</f>
        <v>23764999.536230937</v>
      </c>
      <c r="K98" s="6">
        <f t="shared" ref="K98:K129" si="22">F98*$P$9</f>
        <v>1328624.0004365591</v>
      </c>
      <c r="L98" s="6">
        <f t="shared" si="17"/>
        <v>0</v>
      </c>
      <c r="M98" s="6">
        <f t="shared" ref="M98:M129" si="23">SUM(I98:L98)</f>
        <v>24180945.290133465</v>
      </c>
    </row>
    <row r="99" spans="1:13">
      <c r="A99" s="20">
        <f>'Monthly Data'!A99</f>
        <v>43862</v>
      </c>
      <c r="B99">
        <f t="shared" si="18"/>
        <v>2</v>
      </c>
      <c r="C99">
        <f t="shared" si="19"/>
        <v>2020</v>
      </c>
      <c r="D99" s="70">
        <f>'Monthly Data'!X99</f>
        <v>23530244.275455382</v>
      </c>
      <c r="E99">
        <f>'Monthly Data'!CF99</f>
        <v>29</v>
      </c>
      <c r="F99">
        <f>'Monthly Data'!BG99</f>
        <v>261.60000000000002</v>
      </c>
      <c r="G99">
        <f>'Monthly Data'!CD99</f>
        <v>0</v>
      </c>
      <c r="I99" s="6">
        <f t="shared" si="20"/>
        <v>-912678.24653403205</v>
      </c>
      <c r="J99" s="6">
        <f t="shared" si="21"/>
        <v>22231773.759699907</v>
      </c>
      <c r="K99" s="6">
        <f t="shared" si="22"/>
        <v>1328624.0004365591</v>
      </c>
      <c r="L99" s="6">
        <f t="shared" si="17"/>
        <v>0</v>
      </c>
      <c r="M99" s="6">
        <f t="shared" si="23"/>
        <v>22647719.513602436</v>
      </c>
    </row>
    <row r="100" spans="1:13">
      <c r="A100" s="20">
        <f>'Monthly Data'!A100</f>
        <v>43891</v>
      </c>
      <c r="B100">
        <f t="shared" si="18"/>
        <v>3</v>
      </c>
      <c r="C100">
        <f t="shared" si="19"/>
        <v>2020</v>
      </c>
      <c r="D100" s="70">
        <f>'Monthly Data'!X100</f>
        <v>24237469.844340388</v>
      </c>
      <c r="E100">
        <f>'Monthly Data'!CF100</f>
        <v>31</v>
      </c>
      <c r="F100">
        <f>'Monthly Data'!BG100</f>
        <v>261.60000000000002</v>
      </c>
      <c r="G100">
        <f>'Monthly Data'!CD100</f>
        <v>0</v>
      </c>
      <c r="I100" s="6">
        <f t="shared" si="20"/>
        <v>-912678.24653403205</v>
      </c>
      <c r="J100" s="6">
        <f t="shared" si="21"/>
        <v>23764999.536230937</v>
      </c>
      <c r="K100" s="6">
        <f t="shared" si="22"/>
        <v>1328624.0004365591</v>
      </c>
      <c r="L100" s="6">
        <f t="shared" si="17"/>
        <v>0</v>
      </c>
      <c r="M100" s="6">
        <f t="shared" si="23"/>
        <v>24180945.290133465</v>
      </c>
    </row>
    <row r="101" spans="1:13">
      <c r="A101" s="20">
        <f>'Monthly Data'!A101</f>
        <v>43922</v>
      </c>
      <c r="B101">
        <f t="shared" si="18"/>
        <v>4</v>
      </c>
      <c r="C101">
        <f t="shared" si="19"/>
        <v>2020</v>
      </c>
      <c r="D101" s="70">
        <f>'Monthly Data'!X101</f>
        <v>22307801.542102885</v>
      </c>
      <c r="E101">
        <f>'Monthly Data'!CF101</f>
        <v>30</v>
      </c>
      <c r="F101">
        <f>'Monthly Data'!BG101</f>
        <v>261.60000000000002</v>
      </c>
      <c r="G101">
        <f>'Monthly Data'!CD101</f>
        <v>0</v>
      </c>
      <c r="I101" s="6">
        <f t="shared" si="20"/>
        <v>-912678.24653403205</v>
      </c>
      <c r="J101" s="6">
        <f t="shared" si="21"/>
        <v>22998386.64796542</v>
      </c>
      <c r="K101" s="6">
        <f t="shared" si="22"/>
        <v>1328624.0004365591</v>
      </c>
      <c r="L101" s="6">
        <f t="shared" si="17"/>
        <v>0</v>
      </c>
      <c r="M101" s="6">
        <f t="shared" si="23"/>
        <v>23414332.401867948</v>
      </c>
    </row>
    <row r="102" spans="1:13">
      <c r="A102" s="20">
        <f>'Monthly Data'!A102</f>
        <v>43952</v>
      </c>
      <c r="B102">
        <f t="shared" si="18"/>
        <v>5</v>
      </c>
      <c r="C102">
        <f t="shared" si="19"/>
        <v>2020</v>
      </c>
      <c r="D102" s="70">
        <f>'Monthly Data'!X102</f>
        <v>24839479.831875384</v>
      </c>
      <c r="E102">
        <f>'Monthly Data'!CF102</f>
        <v>31</v>
      </c>
      <c r="F102">
        <f>'Monthly Data'!BG102</f>
        <v>261.60000000000002</v>
      </c>
      <c r="G102">
        <f>'Monthly Data'!CD102</f>
        <v>0</v>
      </c>
      <c r="I102" s="6">
        <f t="shared" si="20"/>
        <v>-912678.24653403205</v>
      </c>
      <c r="J102" s="6">
        <f t="shared" si="21"/>
        <v>23764999.536230937</v>
      </c>
      <c r="K102" s="6">
        <f t="shared" si="22"/>
        <v>1328624.0004365591</v>
      </c>
      <c r="L102" s="6">
        <f t="shared" si="17"/>
        <v>0</v>
      </c>
      <c r="M102" s="6">
        <f t="shared" si="23"/>
        <v>24180945.290133465</v>
      </c>
    </row>
    <row r="103" spans="1:13">
      <c r="A103" s="20">
        <f>'Monthly Data'!A103</f>
        <v>43983</v>
      </c>
      <c r="B103">
        <f t="shared" si="18"/>
        <v>6</v>
      </c>
      <c r="C103">
        <f t="shared" si="19"/>
        <v>2020</v>
      </c>
      <c r="D103" s="70">
        <f>'Monthly Data'!X103</f>
        <v>21345473.819647886</v>
      </c>
      <c r="E103">
        <f>'Monthly Data'!CF103</f>
        <v>30</v>
      </c>
      <c r="F103">
        <f>'Monthly Data'!BG103</f>
        <v>261.60000000000002</v>
      </c>
      <c r="G103">
        <f>'Monthly Data'!CD103</f>
        <v>0</v>
      </c>
      <c r="I103" s="6">
        <f t="shared" si="20"/>
        <v>-912678.24653403205</v>
      </c>
      <c r="J103" s="6">
        <f t="shared" si="21"/>
        <v>22998386.64796542</v>
      </c>
      <c r="K103" s="6">
        <f t="shared" si="22"/>
        <v>1328624.0004365591</v>
      </c>
      <c r="L103" s="6">
        <f t="shared" si="17"/>
        <v>0</v>
      </c>
      <c r="M103" s="6">
        <f t="shared" si="23"/>
        <v>23414332.401867948</v>
      </c>
    </row>
    <row r="104" spans="1:13">
      <c r="A104" s="20">
        <f>'Monthly Data'!A104</f>
        <v>44013</v>
      </c>
      <c r="B104">
        <f t="shared" si="18"/>
        <v>7</v>
      </c>
      <c r="C104">
        <f t="shared" si="19"/>
        <v>2020</v>
      </c>
      <c r="D104" s="70">
        <f>'Monthly Data'!X104</f>
        <v>24662140.072822884</v>
      </c>
      <c r="E104">
        <f>'Monthly Data'!CF104</f>
        <v>31</v>
      </c>
      <c r="F104">
        <f>'Monthly Data'!BG104</f>
        <v>261.60000000000002</v>
      </c>
      <c r="G104">
        <f>'Monthly Data'!CD104</f>
        <v>0</v>
      </c>
      <c r="I104" s="6">
        <f t="shared" si="20"/>
        <v>-912678.24653403205</v>
      </c>
      <c r="J104" s="6">
        <f t="shared" si="21"/>
        <v>23764999.536230937</v>
      </c>
      <c r="K104" s="6">
        <f t="shared" si="22"/>
        <v>1328624.0004365591</v>
      </c>
      <c r="L104" s="6">
        <f t="shared" si="17"/>
        <v>0</v>
      </c>
      <c r="M104" s="6">
        <f t="shared" si="23"/>
        <v>24180945.290133465</v>
      </c>
    </row>
    <row r="105" spans="1:13">
      <c r="A105" s="20">
        <f>'Monthly Data'!A105</f>
        <v>44044</v>
      </c>
      <c r="B105">
        <f t="shared" si="18"/>
        <v>8</v>
      </c>
      <c r="C105">
        <f t="shared" si="19"/>
        <v>2020</v>
      </c>
      <c r="D105" s="70">
        <f>'Monthly Data'!X105</f>
        <v>23715674.524882883</v>
      </c>
      <c r="E105">
        <f>'Monthly Data'!CF105</f>
        <v>31</v>
      </c>
      <c r="F105">
        <f>'Monthly Data'!BG105</f>
        <v>261.60000000000002</v>
      </c>
      <c r="G105">
        <f>'Monthly Data'!CD105</f>
        <v>0</v>
      </c>
      <c r="I105" s="6">
        <f t="shared" si="20"/>
        <v>-912678.24653403205</v>
      </c>
      <c r="J105" s="6">
        <f t="shared" si="21"/>
        <v>23764999.536230937</v>
      </c>
      <c r="K105" s="6">
        <f t="shared" si="22"/>
        <v>1328624.0004365591</v>
      </c>
      <c r="L105" s="6">
        <f t="shared" si="17"/>
        <v>0</v>
      </c>
      <c r="M105" s="6">
        <f t="shared" si="23"/>
        <v>24180945.290133465</v>
      </c>
    </row>
    <row r="106" spans="1:13">
      <c r="A106" s="20">
        <f>'Monthly Data'!A106</f>
        <v>44075</v>
      </c>
      <c r="B106">
        <f t="shared" si="18"/>
        <v>9</v>
      </c>
      <c r="C106">
        <f t="shared" si="19"/>
        <v>2020</v>
      </c>
      <c r="D106" s="70">
        <f>'Monthly Data'!X106</f>
        <v>23843500.865970384</v>
      </c>
      <c r="E106">
        <f>'Monthly Data'!CF106</f>
        <v>30</v>
      </c>
      <c r="F106">
        <f>'Monthly Data'!BG106</f>
        <v>261.60000000000002</v>
      </c>
      <c r="G106">
        <f>'Monthly Data'!CD106</f>
        <v>1</v>
      </c>
      <c r="I106" s="6">
        <f t="shared" si="20"/>
        <v>-912678.24653403205</v>
      </c>
      <c r="J106" s="6">
        <f t="shared" si="21"/>
        <v>22998386.64796542</v>
      </c>
      <c r="K106" s="6">
        <f t="shared" si="22"/>
        <v>1328624.0004365591</v>
      </c>
      <c r="L106" s="6">
        <f t="shared" si="17"/>
        <v>-580482.53600244795</v>
      </c>
      <c r="M106" s="6">
        <f t="shared" si="23"/>
        <v>22833849.865865499</v>
      </c>
    </row>
    <row r="107" spans="1:13">
      <c r="A107" s="20">
        <f>'Monthly Data'!A107</f>
        <v>44105</v>
      </c>
      <c r="B107">
        <f t="shared" si="18"/>
        <v>10</v>
      </c>
      <c r="C107">
        <f t="shared" si="19"/>
        <v>2020</v>
      </c>
      <c r="D107" s="70">
        <f>'Monthly Data'!X107</f>
        <v>22110624.798630383</v>
      </c>
      <c r="E107">
        <f>'Monthly Data'!CF107</f>
        <v>31</v>
      </c>
      <c r="F107">
        <f>'Monthly Data'!BG107</f>
        <v>261.60000000000002</v>
      </c>
      <c r="G107">
        <f>'Monthly Data'!CD107</f>
        <v>1</v>
      </c>
      <c r="I107" s="6">
        <f t="shared" si="20"/>
        <v>-912678.24653403205</v>
      </c>
      <c r="J107" s="6">
        <f t="shared" si="21"/>
        <v>23764999.536230937</v>
      </c>
      <c r="K107" s="6">
        <f t="shared" si="22"/>
        <v>1328624.0004365591</v>
      </c>
      <c r="L107" s="6">
        <f t="shared" si="17"/>
        <v>-580482.53600244795</v>
      </c>
      <c r="M107" s="6">
        <f t="shared" si="23"/>
        <v>23600462.754131015</v>
      </c>
    </row>
    <row r="108" spans="1:13">
      <c r="A108" s="20">
        <f>'Monthly Data'!A108</f>
        <v>44136</v>
      </c>
      <c r="B108">
        <f t="shared" si="18"/>
        <v>11</v>
      </c>
      <c r="C108">
        <f t="shared" si="19"/>
        <v>2020</v>
      </c>
      <c r="D108" s="70">
        <f>'Monthly Data'!X108</f>
        <v>23353852.546837885</v>
      </c>
      <c r="E108">
        <f>'Monthly Data'!CF108</f>
        <v>30</v>
      </c>
      <c r="F108">
        <f>'Monthly Data'!BG108</f>
        <v>261.60000000000002</v>
      </c>
      <c r="G108">
        <f>'Monthly Data'!CD108</f>
        <v>0</v>
      </c>
      <c r="I108" s="6">
        <f t="shared" si="20"/>
        <v>-912678.24653403205</v>
      </c>
      <c r="J108" s="6">
        <f t="shared" si="21"/>
        <v>22998386.64796542</v>
      </c>
      <c r="K108" s="6">
        <f t="shared" si="22"/>
        <v>1328624.0004365591</v>
      </c>
      <c r="L108" s="6">
        <f t="shared" si="17"/>
        <v>0</v>
      </c>
      <c r="M108" s="6">
        <f t="shared" si="23"/>
        <v>23414332.401867948</v>
      </c>
    </row>
    <row r="109" spans="1:13">
      <c r="A109" s="20">
        <f>'Monthly Data'!A109</f>
        <v>44166</v>
      </c>
      <c r="B109">
        <f t="shared" si="18"/>
        <v>12</v>
      </c>
      <c r="C109">
        <f t="shared" si="19"/>
        <v>2020</v>
      </c>
      <c r="D109" s="70">
        <f>'Monthly Data'!X109</f>
        <v>23265923.573287886</v>
      </c>
      <c r="E109">
        <f>'Monthly Data'!CF109</f>
        <v>31</v>
      </c>
      <c r="F109">
        <f>'Monthly Data'!BG109</f>
        <v>261.60000000000002</v>
      </c>
      <c r="G109">
        <f>'Monthly Data'!CD109</f>
        <v>0</v>
      </c>
      <c r="I109" s="6">
        <f t="shared" si="20"/>
        <v>-912678.24653403205</v>
      </c>
      <c r="J109" s="6">
        <f t="shared" si="21"/>
        <v>23764999.536230937</v>
      </c>
      <c r="K109" s="6">
        <f t="shared" si="22"/>
        <v>1328624.0004365591</v>
      </c>
      <c r="L109" s="6">
        <f t="shared" si="17"/>
        <v>0</v>
      </c>
      <c r="M109" s="6">
        <f t="shared" si="23"/>
        <v>24180945.290133465</v>
      </c>
    </row>
    <row r="110" spans="1:13">
      <c r="A110" s="20">
        <f>'Monthly Data'!A110</f>
        <v>44197</v>
      </c>
      <c r="B110">
        <f t="shared" si="18"/>
        <v>1</v>
      </c>
      <c r="C110">
        <f t="shared" si="19"/>
        <v>2021</v>
      </c>
      <c r="D110" s="70">
        <f>'Monthly Data'!X110</f>
        <v>25384653.183847848</v>
      </c>
      <c r="E110">
        <f>'Monthly Data'!CF110</f>
        <v>31</v>
      </c>
      <c r="F110">
        <f>'Monthly Data'!BG110</f>
        <v>257.5</v>
      </c>
      <c r="G110">
        <f>'Monthly Data'!CD110</f>
        <v>0</v>
      </c>
      <c r="I110" s="6">
        <f t="shared" si="20"/>
        <v>-912678.24653403205</v>
      </c>
      <c r="J110" s="6">
        <f t="shared" si="21"/>
        <v>23764999.536230937</v>
      </c>
      <c r="K110" s="6">
        <f t="shared" si="22"/>
        <v>1307800.7649557106</v>
      </c>
      <c r="L110" s="6">
        <f t="shared" si="17"/>
        <v>0</v>
      </c>
      <c r="M110" s="6">
        <f t="shared" si="23"/>
        <v>24160122.054652616</v>
      </c>
    </row>
    <row r="111" spans="1:13">
      <c r="A111" s="20">
        <f>'Monthly Data'!A111</f>
        <v>44228</v>
      </c>
      <c r="B111">
        <f t="shared" si="18"/>
        <v>2</v>
      </c>
      <c r="C111">
        <f t="shared" si="19"/>
        <v>2021</v>
      </c>
      <c r="D111" s="70">
        <f>'Monthly Data'!X111</f>
        <v>21328249.620217849</v>
      </c>
      <c r="E111">
        <f>'Monthly Data'!CF111</f>
        <v>28</v>
      </c>
      <c r="F111">
        <f>'Monthly Data'!BG111</f>
        <v>257.5</v>
      </c>
      <c r="G111">
        <f>'Monthly Data'!CD111</f>
        <v>0</v>
      </c>
      <c r="I111" s="6">
        <f t="shared" si="20"/>
        <v>-912678.24653403205</v>
      </c>
      <c r="J111" s="6">
        <f t="shared" si="21"/>
        <v>21465160.871434394</v>
      </c>
      <c r="K111" s="6">
        <f t="shared" si="22"/>
        <v>1307800.7649557106</v>
      </c>
      <c r="L111" s="6">
        <f t="shared" si="17"/>
        <v>0</v>
      </c>
      <c r="M111" s="6">
        <f t="shared" si="23"/>
        <v>21860283.389856074</v>
      </c>
    </row>
    <row r="112" spans="1:13">
      <c r="A112" s="20">
        <f>'Monthly Data'!A112</f>
        <v>44256</v>
      </c>
      <c r="B112">
        <f t="shared" si="18"/>
        <v>3</v>
      </c>
      <c r="C112">
        <f t="shared" si="19"/>
        <v>2021</v>
      </c>
      <c r="D112" s="70">
        <f>'Monthly Data'!X112</f>
        <v>23404918.120717846</v>
      </c>
      <c r="E112">
        <f>'Monthly Data'!CF112</f>
        <v>31</v>
      </c>
      <c r="F112">
        <f>'Monthly Data'!BG112</f>
        <v>257.5</v>
      </c>
      <c r="G112">
        <f>'Monthly Data'!CD112</f>
        <v>0</v>
      </c>
      <c r="I112" s="6">
        <f t="shared" si="20"/>
        <v>-912678.24653403205</v>
      </c>
      <c r="J112" s="6">
        <f t="shared" si="21"/>
        <v>23764999.536230937</v>
      </c>
      <c r="K112" s="6">
        <f t="shared" si="22"/>
        <v>1307800.7649557106</v>
      </c>
      <c r="L112" s="6">
        <f t="shared" si="17"/>
        <v>0</v>
      </c>
      <c r="M112" s="6">
        <f t="shared" si="23"/>
        <v>24160122.054652616</v>
      </c>
    </row>
    <row r="113" spans="1:13">
      <c r="A113" s="20">
        <f>'Monthly Data'!A113</f>
        <v>44287</v>
      </c>
      <c r="B113">
        <f t="shared" si="18"/>
        <v>4</v>
      </c>
      <c r="C113">
        <f t="shared" si="19"/>
        <v>2021</v>
      </c>
      <c r="D113" s="70">
        <f>'Monthly Data'!X113</f>
        <v>21679455.17684285</v>
      </c>
      <c r="E113">
        <f>'Monthly Data'!CF113</f>
        <v>30</v>
      </c>
      <c r="F113">
        <f>'Monthly Data'!BG113</f>
        <v>257.5</v>
      </c>
      <c r="G113">
        <f>'Monthly Data'!CD113</f>
        <v>0</v>
      </c>
      <c r="I113" s="6">
        <f t="shared" si="20"/>
        <v>-912678.24653403205</v>
      </c>
      <c r="J113" s="6">
        <f t="shared" si="21"/>
        <v>22998386.64796542</v>
      </c>
      <c r="K113" s="6">
        <f t="shared" si="22"/>
        <v>1307800.7649557106</v>
      </c>
      <c r="L113" s="6">
        <f t="shared" si="17"/>
        <v>0</v>
      </c>
      <c r="M113" s="6">
        <f t="shared" si="23"/>
        <v>23393509.1663871</v>
      </c>
    </row>
    <row r="114" spans="1:13">
      <c r="A114" s="20">
        <f>'Monthly Data'!A114</f>
        <v>44317</v>
      </c>
      <c r="B114">
        <f t="shared" si="18"/>
        <v>5</v>
      </c>
      <c r="C114">
        <f t="shared" si="19"/>
        <v>2021</v>
      </c>
      <c r="D114" s="70">
        <f>'Monthly Data'!X114</f>
        <v>22608687.710880347</v>
      </c>
      <c r="E114">
        <f>'Monthly Data'!CF114</f>
        <v>31</v>
      </c>
      <c r="F114">
        <f>'Monthly Data'!BG114</f>
        <v>257.5</v>
      </c>
      <c r="G114">
        <f>'Monthly Data'!CD114</f>
        <v>0</v>
      </c>
      <c r="I114" s="6">
        <f t="shared" si="20"/>
        <v>-912678.24653403205</v>
      </c>
      <c r="J114" s="6">
        <f t="shared" si="21"/>
        <v>23764999.536230937</v>
      </c>
      <c r="K114" s="6">
        <f t="shared" si="22"/>
        <v>1307800.7649557106</v>
      </c>
      <c r="L114" s="6">
        <f t="shared" si="17"/>
        <v>0</v>
      </c>
      <c r="M114" s="6">
        <f t="shared" si="23"/>
        <v>24160122.054652616</v>
      </c>
    </row>
    <row r="115" spans="1:13">
      <c r="A115" s="20">
        <f>'Monthly Data'!A115</f>
        <v>44348</v>
      </c>
      <c r="B115">
        <f t="shared" si="18"/>
        <v>6</v>
      </c>
      <c r="C115">
        <f t="shared" si="19"/>
        <v>2021</v>
      </c>
      <c r="D115" s="70">
        <f>'Monthly Data'!X115</f>
        <v>21943041.639570348</v>
      </c>
      <c r="E115">
        <f>'Monthly Data'!CF115</f>
        <v>30</v>
      </c>
      <c r="F115">
        <f>'Monthly Data'!BG115</f>
        <v>257.5</v>
      </c>
      <c r="G115">
        <f>'Monthly Data'!CD115</f>
        <v>0</v>
      </c>
      <c r="I115" s="6">
        <f t="shared" si="20"/>
        <v>-912678.24653403205</v>
      </c>
      <c r="J115" s="6">
        <f t="shared" si="21"/>
        <v>22998386.64796542</v>
      </c>
      <c r="K115" s="6">
        <f t="shared" si="22"/>
        <v>1307800.7649557106</v>
      </c>
      <c r="L115" s="6">
        <f t="shared" si="17"/>
        <v>0</v>
      </c>
      <c r="M115" s="6">
        <f t="shared" si="23"/>
        <v>23393509.1663871</v>
      </c>
    </row>
    <row r="116" spans="1:13">
      <c r="A116" s="20">
        <f>'Monthly Data'!A116</f>
        <v>44378</v>
      </c>
      <c r="B116">
        <f t="shared" si="18"/>
        <v>7</v>
      </c>
      <c r="C116">
        <f t="shared" si="19"/>
        <v>2021</v>
      </c>
      <c r="D116" s="70">
        <f>'Monthly Data'!X116</f>
        <v>22108287.928387847</v>
      </c>
      <c r="E116">
        <f>'Monthly Data'!CF116</f>
        <v>31</v>
      </c>
      <c r="F116">
        <f>'Monthly Data'!BG116</f>
        <v>257.5</v>
      </c>
      <c r="G116">
        <f>'Monthly Data'!CD116</f>
        <v>0</v>
      </c>
      <c r="I116" s="6">
        <f t="shared" si="20"/>
        <v>-912678.24653403205</v>
      </c>
      <c r="J116" s="6">
        <f t="shared" si="21"/>
        <v>23764999.536230937</v>
      </c>
      <c r="K116" s="6">
        <f t="shared" si="22"/>
        <v>1307800.7649557106</v>
      </c>
      <c r="L116" s="6">
        <f t="shared" si="17"/>
        <v>0</v>
      </c>
      <c r="M116" s="6">
        <f t="shared" si="23"/>
        <v>24160122.054652616</v>
      </c>
    </row>
    <row r="117" spans="1:13">
      <c r="A117" s="20">
        <f>'Monthly Data'!A117</f>
        <v>44409</v>
      </c>
      <c r="B117">
        <f t="shared" si="18"/>
        <v>8</v>
      </c>
      <c r="C117">
        <f t="shared" si="19"/>
        <v>2021</v>
      </c>
      <c r="D117" s="70">
        <f>'Monthly Data'!X117</f>
        <v>18755250.160005346</v>
      </c>
      <c r="E117">
        <f>'Monthly Data'!CF117</f>
        <v>31</v>
      </c>
      <c r="F117">
        <f>'Monthly Data'!BG117</f>
        <v>257.5</v>
      </c>
      <c r="G117">
        <f>'Monthly Data'!CD117</f>
        <v>0</v>
      </c>
      <c r="I117" s="6">
        <f t="shared" si="20"/>
        <v>-912678.24653403205</v>
      </c>
      <c r="J117" s="6">
        <f t="shared" si="21"/>
        <v>23764999.536230937</v>
      </c>
      <c r="K117" s="6">
        <f t="shared" si="22"/>
        <v>1307800.7649557106</v>
      </c>
      <c r="L117" s="6">
        <f t="shared" si="17"/>
        <v>0</v>
      </c>
      <c r="M117" s="6">
        <f t="shared" si="23"/>
        <v>24160122.054652616</v>
      </c>
    </row>
    <row r="118" spans="1:13">
      <c r="A118" s="20">
        <f>'Monthly Data'!A118</f>
        <v>44440</v>
      </c>
      <c r="B118">
        <f t="shared" si="18"/>
        <v>9</v>
      </c>
      <c r="C118">
        <f t="shared" si="19"/>
        <v>2021</v>
      </c>
      <c r="D118" s="70">
        <f>'Monthly Data'!X118</f>
        <v>21719546.844750348</v>
      </c>
      <c r="E118">
        <f>'Monthly Data'!CF118</f>
        <v>30</v>
      </c>
      <c r="F118">
        <f>'Monthly Data'!BG118</f>
        <v>257.5</v>
      </c>
      <c r="G118">
        <f>'Monthly Data'!CD118</f>
        <v>1</v>
      </c>
      <c r="I118" s="6">
        <f t="shared" si="20"/>
        <v>-912678.24653403205</v>
      </c>
      <c r="J118" s="6">
        <f t="shared" si="21"/>
        <v>22998386.64796542</v>
      </c>
      <c r="K118" s="6">
        <f t="shared" si="22"/>
        <v>1307800.7649557106</v>
      </c>
      <c r="L118" s="6">
        <f t="shared" si="17"/>
        <v>-580482.53600244795</v>
      </c>
      <c r="M118" s="6">
        <f t="shared" si="23"/>
        <v>22813026.63038465</v>
      </c>
    </row>
    <row r="119" spans="1:13">
      <c r="A119" s="20">
        <f>'Monthly Data'!A119</f>
        <v>44470</v>
      </c>
      <c r="B119">
        <f t="shared" si="18"/>
        <v>10</v>
      </c>
      <c r="C119">
        <f t="shared" si="19"/>
        <v>2021</v>
      </c>
      <c r="D119" s="70">
        <f>'Monthly Data'!X119</f>
        <v>22961202.968700346</v>
      </c>
      <c r="E119">
        <f>'Monthly Data'!CF119</f>
        <v>31</v>
      </c>
      <c r="F119">
        <f>'Monthly Data'!BG119</f>
        <v>257.5</v>
      </c>
      <c r="G119">
        <f>'Monthly Data'!CD119</f>
        <v>1</v>
      </c>
      <c r="I119" s="6">
        <f t="shared" si="20"/>
        <v>-912678.24653403205</v>
      </c>
      <c r="J119" s="6">
        <f t="shared" si="21"/>
        <v>23764999.536230937</v>
      </c>
      <c r="K119" s="6">
        <f t="shared" si="22"/>
        <v>1307800.7649557106</v>
      </c>
      <c r="L119" s="6">
        <f t="shared" si="17"/>
        <v>-580482.53600244795</v>
      </c>
      <c r="M119" s="6">
        <f t="shared" si="23"/>
        <v>23579639.518650167</v>
      </c>
    </row>
    <row r="120" spans="1:13">
      <c r="A120" s="20">
        <f>'Monthly Data'!A120</f>
        <v>44501</v>
      </c>
      <c r="B120">
        <f t="shared" si="18"/>
        <v>11</v>
      </c>
      <c r="C120">
        <f t="shared" si="19"/>
        <v>2021</v>
      </c>
      <c r="D120" s="70">
        <f>'Monthly Data'!X120</f>
        <v>23654108.634817846</v>
      </c>
      <c r="E120">
        <f>'Monthly Data'!CF120</f>
        <v>30</v>
      </c>
      <c r="F120">
        <f>'Monthly Data'!BG120</f>
        <v>257.5</v>
      </c>
      <c r="G120">
        <f>'Monthly Data'!CD120</f>
        <v>0</v>
      </c>
      <c r="I120" s="6">
        <f t="shared" si="20"/>
        <v>-912678.24653403205</v>
      </c>
      <c r="J120" s="6">
        <f t="shared" si="21"/>
        <v>22998386.64796542</v>
      </c>
      <c r="K120" s="6">
        <f t="shared" si="22"/>
        <v>1307800.7649557106</v>
      </c>
      <c r="L120" s="6">
        <f t="shared" si="17"/>
        <v>0</v>
      </c>
      <c r="M120" s="6">
        <f t="shared" si="23"/>
        <v>23393509.1663871</v>
      </c>
    </row>
    <row r="121" spans="1:13">
      <c r="A121" s="20">
        <f>'Monthly Data'!A121</f>
        <v>44531</v>
      </c>
      <c r="B121">
        <f t="shared" si="18"/>
        <v>12</v>
      </c>
      <c r="C121">
        <f t="shared" si="19"/>
        <v>2021</v>
      </c>
      <c r="D121" s="70">
        <f>'Monthly Data'!X121</f>
        <v>22921700.750257846</v>
      </c>
      <c r="E121">
        <f>'Monthly Data'!CF121</f>
        <v>31</v>
      </c>
      <c r="F121">
        <f>'Monthly Data'!BG121</f>
        <v>257.5</v>
      </c>
      <c r="G121">
        <f>'Monthly Data'!CD121</f>
        <v>0</v>
      </c>
      <c r="H121" t="str">
        <f>'Res Normalized Monthly'!M121</f>
        <v>COVID</v>
      </c>
      <c r="I121" s="6">
        <f t="shared" si="20"/>
        <v>-912678.24653403205</v>
      </c>
      <c r="J121" s="6">
        <f t="shared" si="21"/>
        <v>23764999.536230937</v>
      </c>
      <c r="K121" s="6">
        <f t="shared" si="22"/>
        <v>1307800.7649557106</v>
      </c>
      <c r="L121" s="6">
        <f t="shared" si="17"/>
        <v>0</v>
      </c>
      <c r="M121" s="6">
        <f t="shared" si="23"/>
        <v>24160122.054652616</v>
      </c>
    </row>
    <row r="122" spans="1:13">
      <c r="A122" s="20">
        <v>44562</v>
      </c>
      <c r="B122">
        <f t="shared" ref="B122:B132" si="24">MONTH(A122)</f>
        <v>1</v>
      </c>
      <c r="C122">
        <f t="shared" ref="C122:C132" si="25">YEAR(A122)</f>
        <v>2022</v>
      </c>
      <c r="D122" s="70">
        <f>'Monthly Data'!X122</f>
        <v>22653738.07476015</v>
      </c>
      <c r="E122">
        <f>'Monthly Data'!CF122</f>
        <v>31</v>
      </c>
      <c r="F122">
        <f>'Monthly Data'!BG122</f>
        <v>266.89875000000001</v>
      </c>
      <c r="G122">
        <f>'Monthly Data'!CD122</f>
        <v>0</v>
      </c>
      <c r="H122">
        <f>'Res Normalized Monthly'!M122</f>
        <v>0.5</v>
      </c>
      <c r="I122" s="6">
        <f t="shared" si="20"/>
        <v>-912678.24653403205</v>
      </c>
      <c r="J122" s="6">
        <f t="shared" si="21"/>
        <v>23764999.536230937</v>
      </c>
      <c r="K122" s="6">
        <f t="shared" si="22"/>
        <v>1355535.4928765942</v>
      </c>
      <c r="L122" s="6">
        <f t="shared" si="17"/>
        <v>0</v>
      </c>
      <c r="M122" s="6">
        <f t="shared" si="23"/>
        <v>24207856.782573499</v>
      </c>
    </row>
    <row r="123" spans="1:13">
      <c r="A123" s="20">
        <v>44593</v>
      </c>
      <c r="B123">
        <f t="shared" si="24"/>
        <v>2</v>
      </c>
      <c r="C123">
        <f t="shared" si="25"/>
        <v>2022</v>
      </c>
      <c r="D123" s="70">
        <f>'Monthly Data'!X123</f>
        <v>20311859.07476015</v>
      </c>
      <c r="E123">
        <f>'Monthly Data'!CF123</f>
        <v>28</v>
      </c>
      <c r="F123">
        <f>'Monthly Data'!BG123</f>
        <v>266.89875000000001</v>
      </c>
      <c r="G123">
        <f>'Monthly Data'!CD123</f>
        <v>0</v>
      </c>
      <c r="H123">
        <f>'Res Normalized Monthly'!M123</f>
        <v>0.5</v>
      </c>
      <c r="I123" s="6">
        <f t="shared" si="20"/>
        <v>-912678.24653403205</v>
      </c>
      <c r="J123" s="6">
        <f t="shared" si="21"/>
        <v>21465160.871434394</v>
      </c>
      <c r="K123" s="6">
        <f t="shared" si="22"/>
        <v>1355535.4928765942</v>
      </c>
      <c r="L123" s="6">
        <f t="shared" si="17"/>
        <v>0</v>
      </c>
      <c r="M123" s="6">
        <f t="shared" si="23"/>
        <v>21908018.117776956</v>
      </c>
    </row>
    <row r="124" spans="1:13">
      <c r="A124" s="20">
        <v>44621</v>
      </c>
      <c r="B124">
        <f t="shared" si="24"/>
        <v>3</v>
      </c>
      <c r="C124">
        <f t="shared" si="25"/>
        <v>2022</v>
      </c>
      <c r="D124" s="70">
        <f>'Monthly Data'!X124</f>
        <v>22553351.07476015</v>
      </c>
      <c r="E124">
        <f>'Monthly Data'!CF124</f>
        <v>31</v>
      </c>
      <c r="F124">
        <f>'Monthly Data'!BG124</f>
        <v>266.89875000000001</v>
      </c>
      <c r="G124">
        <f>'Monthly Data'!CD124</f>
        <v>0</v>
      </c>
      <c r="H124">
        <f>'Res Normalized Monthly'!M124</f>
        <v>0.5</v>
      </c>
      <c r="I124" s="6">
        <f t="shared" si="20"/>
        <v>-912678.24653403205</v>
      </c>
      <c r="J124" s="6">
        <f t="shared" si="21"/>
        <v>23764999.536230937</v>
      </c>
      <c r="K124" s="6">
        <f t="shared" si="22"/>
        <v>1355535.4928765942</v>
      </c>
      <c r="L124" s="6">
        <f t="shared" si="17"/>
        <v>0</v>
      </c>
      <c r="M124" s="6">
        <f t="shared" si="23"/>
        <v>24207856.782573499</v>
      </c>
    </row>
    <row r="125" spans="1:13">
      <c r="A125" s="20">
        <v>44652</v>
      </c>
      <c r="B125">
        <f t="shared" si="24"/>
        <v>4</v>
      </c>
      <c r="C125">
        <f t="shared" si="25"/>
        <v>2022</v>
      </c>
      <c r="D125" s="70">
        <f>'Monthly Data'!X125</f>
        <v>17022579.07476015</v>
      </c>
      <c r="E125">
        <f>'Monthly Data'!CF125</f>
        <v>30</v>
      </c>
      <c r="F125">
        <f>'Monthly Data'!BG125</f>
        <v>266.89875000000001</v>
      </c>
      <c r="G125">
        <f>'Monthly Data'!CD125</f>
        <v>0</v>
      </c>
      <c r="H125">
        <f>'Res Normalized Monthly'!M125</f>
        <v>0.5</v>
      </c>
      <c r="I125" s="6">
        <f t="shared" si="20"/>
        <v>-912678.24653403205</v>
      </c>
      <c r="J125" s="6">
        <f t="shared" si="21"/>
        <v>22998386.64796542</v>
      </c>
      <c r="K125" s="6">
        <f t="shared" si="22"/>
        <v>1355535.4928765942</v>
      </c>
      <c r="L125" s="6">
        <f t="shared" si="17"/>
        <v>0</v>
      </c>
      <c r="M125" s="6">
        <f t="shared" si="23"/>
        <v>23441243.894307982</v>
      </c>
    </row>
    <row r="126" spans="1:13">
      <c r="A126" s="20">
        <v>44682</v>
      </c>
      <c r="B126">
        <f t="shared" si="24"/>
        <v>5</v>
      </c>
      <c r="C126">
        <f t="shared" si="25"/>
        <v>2022</v>
      </c>
      <c r="D126" s="70">
        <f>'Monthly Data'!X126</f>
        <v>18687813.07476015</v>
      </c>
      <c r="E126">
        <f>'Monthly Data'!CF126</f>
        <v>31</v>
      </c>
      <c r="F126">
        <f>'Monthly Data'!BG126</f>
        <v>266.89875000000001</v>
      </c>
      <c r="G126">
        <f>'Monthly Data'!CD126</f>
        <v>0</v>
      </c>
      <c r="H126">
        <f>'Res Normalized Monthly'!M126</f>
        <v>0.5</v>
      </c>
      <c r="I126" s="6">
        <f t="shared" si="20"/>
        <v>-912678.24653403205</v>
      </c>
      <c r="J126" s="6">
        <f t="shared" si="21"/>
        <v>23764999.536230937</v>
      </c>
      <c r="K126" s="6">
        <f t="shared" si="22"/>
        <v>1355535.4928765942</v>
      </c>
      <c r="L126" s="6">
        <f t="shared" si="17"/>
        <v>0</v>
      </c>
      <c r="M126" s="6">
        <f t="shared" si="23"/>
        <v>24207856.782573499</v>
      </c>
    </row>
    <row r="127" spans="1:13">
      <c r="A127" s="20">
        <v>44713</v>
      </c>
      <c r="B127">
        <f t="shared" si="24"/>
        <v>6</v>
      </c>
      <c r="C127">
        <f t="shared" si="25"/>
        <v>2022</v>
      </c>
      <c r="D127" s="70">
        <f>'Monthly Data'!X127</f>
        <v>21452022.07476015</v>
      </c>
      <c r="E127">
        <f>'Monthly Data'!CF127</f>
        <v>30</v>
      </c>
      <c r="F127">
        <f>'Monthly Data'!BG127</f>
        <v>266.89875000000001</v>
      </c>
      <c r="G127">
        <f>'Monthly Data'!CD127</f>
        <v>0</v>
      </c>
      <c r="H127">
        <f>'Res Normalized Monthly'!M127</f>
        <v>0.5</v>
      </c>
      <c r="I127" s="6">
        <f t="shared" si="20"/>
        <v>-912678.24653403205</v>
      </c>
      <c r="J127" s="6">
        <f t="shared" si="21"/>
        <v>22998386.64796542</v>
      </c>
      <c r="K127" s="6">
        <f t="shared" si="22"/>
        <v>1355535.4928765942</v>
      </c>
      <c r="L127" s="6">
        <f t="shared" si="17"/>
        <v>0</v>
      </c>
      <c r="M127" s="6">
        <f t="shared" si="23"/>
        <v>23441243.894307982</v>
      </c>
    </row>
    <row r="128" spans="1:13">
      <c r="A128" s="20">
        <v>44743</v>
      </c>
      <c r="B128">
        <f t="shared" si="24"/>
        <v>7</v>
      </c>
      <c r="C128">
        <f t="shared" si="25"/>
        <v>2022</v>
      </c>
      <c r="D128" s="70">
        <f>'Monthly Data'!X128</f>
        <v>23905745.07476015</v>
      </c>
      <c r="E128">
        <f>'Monthly Data'!CF128</f>
        <v>31</v>
      </c>
      <c r="F128">
        <f>'Monthly Data'!BG128</f>
        <v>266.89875000000001</v>
      </c>
      <c r="G128">
        <f>'Monthly Data'!CD128</f>
        <v>0</v>
      </c>
      <c r="H128">
        <f>'Res Normalized Monthly'!M128</f>
        <v>0.5</v>
      </c>
      <c r="I128" s="6">
        <f t="shared" si="20"/>
        <v>-912678.24653403205</v>
      </c>
      <c r="J128" s="6">
        <f t="shared" si="21"/>
        <v>23764999.536230937</v>
      </c>
      <c r="K128" s="6">
        <f t="shared" si="22"/>
        <v>1355535.4928765942</v>
      </c>
      <c r="L128" s="6">
        <f t="shared" si="17"/>
        <v>0</v>
      </c>
      <c r="M128" s="6">
        <f t="shared" si="23"/>
        <v>24207856.782573499</v>
      </c>
    </row>
    <row r="129" spans="1:13">
      <c r="A129" s="20">
        <v>44774</v>
      </c>
      <c r="B129">
        <f t="shared" si="24"/>
        <v>8</v>
      </c>
      <c r="C129">
        <f t="shared" si="25"/>
        <v>2022</v>
      </c>
      <c r="D129" s="70">
        <f>'Monthly Data'!X129</f>
        <v>25461774.07476015</v>
      </c>
      <c r="E129">
        <f>'Monthly Data'!CF129</f>
        <v>31</v>
      </c>
      <c r="F129">
        <f>'Monthly Data'!BG129</f>
        <v>266.89875000000001</v>
      </c>
      <c r="G129">
        <f>'Monthly Data'!CD129</f>
        <v>0</v>
      </c>
      <c r="H129">
        <f>'Res Normalized Monthly'!M129</f>
        <v>0.5</v>
      </c>
      <c r="I129" s="6">
        <f t="shared" si="20"/>
        <v>-912678.24653403205</v>
      </c>
      <c r="J129" s="6">
        <f t="shared" si="21"/>
        <v>23764999.536230937</v>
      </c>
      <c r="K129" s="6">
        <f t="shared" si="22"/>
        <v>1355535.4928765942</v>
      </c>
      <c r="L129" s="6">
        <f t="shared" si="17"/>
        <v>0</v>
      </c>
      <c r="M129" s="6">
        <f t="shared" si="23"/>
        <v>24207856.782573499</v>
      </c>
    </row>
    <row r="130" spans="1:13">
      <c r="A130" s="20">
        <v>44805</v>
      </c>
      <c r="B130">
        <f t="shared" si="24"/>
        <v>9</v>
      </c>
      <c r="C130">
        <f t="shared" si="25"/>
        <v>2022</v>
      </c>
      <c r="D130" s="70">
        <f>'Monthly Data'!X130</f>
        <v>25562066.07476015</v>
      </c>
      <c r="E130">
        <f>'Monthly Data'!CF130</f>
        <v>30</v>
      </c>
      <c r="F130">
        <f>'Monthly Data'!BG130</f>
        <v>266.89875000000001</v>
      </c>
      <c r="G130">
        <f>'Monthly Data'!CD130</f>
        <v>1</v>
      </c>
      <c r="H130">
        <f>'Res Normalized Monthly'!M130</f>
        <v>0.5</v>
      </c>
      <c r="I130" s="6">
        <f t="shared" ref="I130:I145" si="26">$P$7</f>
        <v>-912678.24653403205</v>
      </c>
      <c r="J130" s="6">
        <f t="shared" ref="J130:J145" si="27">E130*$P$8</f>
        <v>22998386.64796542</v>
      </c>
      <c r="K130" s="6">
        <f t="shared" ref="K130:K145" si="28">F130*$P$9</f>
        <v>1355535.4928765942</v>
      </c>
      <c r="L130" s="6">
        <f t="shared" si="17"/>
        <v>-580482.53600244795</v>
      </c>
      <c r="M130" s="6">
        <f t="shared" ref="M130:M145" si="29">SUM(I130:L130)</f>
        <v>22860761.358305532</v>
      </c>
    </row>
    <row r="131" spans="1:13">
      <c r="A131" s="20">
        <v>44835</v>
      </c>
      <c r="B131">
        <f t="shared" si="24"/>
        <v>10</v>
      </c>
      <c r="C131">
        <f t="shared" si="25"/>
        <v>2022</v>
      </c>
      <c r="D131" s="70">
        <f>'Monthly Data'!X131</f>
        <v>25496596.07476015</v>
      </c>
      <c r="E131">
        <f>'Monthly Data'!CF131</f>
        <v>31</v>
      </c>
      <c r="F131">
        <f>'Monthly Data'!BG131</f>
        <v>266.89875000000001</v>
      </c>
      <c r="G131">
        <f>'Monthly Data'!CD131</f>
        <v>1</v>
      </c>
      <c r="H131">
        <f>'Res Normalized Monthly'!M131</f>
        <v>0.5</v>
      </c>
      <c r="I131" s="6">
        <f t="shared" si="26"/>
        <v>-912678.24653403205</v>
      </c>
      <c r="J131" s="6">
        <f t="shared" si="27"/>
        <v>23764999.536230937</v>
      </c>
      <c r="K131" s="6">
        <f t="shared" si="28"/>
        <v>1355535.4928765942</v>
      </c>
      <c r="L131" s="6">
        <f t="shared" ref="L131:L145" si="30">G131*$P$10</f>
        <v>-580482.53600244795</v>
      </c>
      <c r="M131" s="6">
        <f t="shared" si="29"/>
        <v>23627374.246571049</v>
      </c>
    </row>
    <row r="132" spans="1:13">
      <c r="A132" s="20">
        <v>44866</v>
      </c>
      <c r="B132">
        <f t="shared" si="24"/>
        <v>11</v>
      </c>
      <c r="C132">
        <f t="shared" si="25"/>
        <v>2022</v>
      </c>
      <c r="D132" s="70">
        <f>'Monthly Data'!X132</f>
        <v>23740830.07476015</v>
      </c>
      <c r="E132">
        <f>'Monthly Data'!CF132</f>
        <v>30</v>
      </c>
      <c r="F132">
        <f>'Monthly Data'!BG132</f>
        <v>266.89875000000001</v>
      </c>
      <c r="G132">
        <f>'Monthly Data'!CD132</f>
        <v>0</v>
      </c>
      <c r="H132">
        <f>'Res Normalized Monthly'!M132</f>
        <v>0.5</v>
      </c>
      <c r="I132" s="6">
        <f t="shared" si="26"/>
        <v>-912678.24653403205</v>
      </c>
      <c r="J132" s="6">
        <f t="shared" si="27"/>
        <v>22998386.64796542</v>
      </c>
      <c r="K132" s="6">
        <f t="shared" si="28"/>
        <v>1355535.4928765942</v>
      </c>
      <c r="L132" s="6">
        <f t="shared" si="30"/>
        <v>0</v>
      </c>
      <c r="M132" s="6">
        <f t="shared" si="29"/>
        <v>23441243.894307982</v>
      </c>
    </row>
    <row r="133" spans="1:13">
      <c r="A133" s="20">
        <v>44896</v>
      </c>
      <c r="B133">
        <f t="shared" ref="B133:B145" si="31">MONTH(A133)</f>
        <v>12</v>
      </c>
      <c r="C133">
        <f t="shared" ref="C133:C145" si="32">YEAR(A133)</f>
        <v>2022</v>
      </c>
      <c r="D133" s="70">
        <f>'Monthly Data'!X133</f>
        <v>26320404.07476015</v>
      </c>
      <c r="E133">
        <f>'Monthly Data'!CF133</f>
        <v>31</v>
      </c>
      <c r="F133">
        <f>'Monthly Data'!BG133</f>
        <v>266.89875000000001</v>
      </c>
      <c r="G133">
        <f>'Monthly Data'!CD133</f>
        <v>0</v>
      </c>
      <c r="H133">
        <f>'Res Normalized Monthly'!M133</f>
        <v>0.5</v>
      </c>
      <c r="I133" s="6">
        <f t="shared" si="26"/>
        <v>-912678.24653403205</v>
      </c>
      <c r="J133" s="6">
        <f t="shared" si="27"/>
        <v>23764999.536230937</v>
      </c>
      <c r="K133" s="6">
        <f t="shared" si="28"/>
        <v>1355535.4928765942</v>
      </c>
      <c r="L133" s="6">
        <f t="shared" si="30"/>
        <v>0</v>
      </c>
      <c r="M133" s="6">
        <f t="shared" si="29"/>
        <v>24207856.782573499</v>
      </c>
    </row>
    <row r="134" spans="1:13">
      <c r="A134" s="20">
        <v>44927</v>
      </c>
      <c r="B134">
        <f t="shared" si="31"/>
        <v>1</v>
      </c>
      <c r="C134">
        <f t="shared" si="32"/>
        <v>2023</v>
      </c>
      <c r="E134" s="89">
        <f t="shared" ref="E134" si="33">E86</f>
        <v>31</v>
      </c>
      <c r="F134" s="89">
        <f>'Economic Variables'!M244</f>
        <v>268.76704124999998</v>
      </c>
      <c r="G134" s="89">
        <f t="shared" ref="G134:G145" si="34">G86</f>
        <v>0</v>
      </c>
      <c r="H134">
        <f>'Res Normalized Monthly'!M134</f>
        <v>0.25</v>
      </c>
      <c r="I134" s="6">
        <f t="shared" si="26"/>
        <v>-912678.24653403205</v>
      </c>
      <c r="J134" s="6">
        <f t="shared" si="27"/>
        <v>23764999.536230937</v>
      </c>
      <c r="K134" s="6">
        <f t="shared" si="28"/>
        <v>1365024.2413267302</v>
      </c>
      <c r="L134" s="6">
        <f t="shared" si="30"/>
        <v>0</v>
      </c>
      <c r="M134" s="6">
        <f t="shared" si="29"/>
        <v>24217345.531023636</v>
      </c>
    </row>
    <row r="135" spans="1:13">
      <c r="A135" s="20">
        <v>44958</v>
      </c>
      <c r="B135">
        <f t="shared" si="31"/>
        <v>2</v>
      </c>
      <c r="C135">
        <f t="shared" si="32"/>
        <v>2023</v>
      </c>
      <c r="E135" s="89">
        <f t="shared" ref="E135" si="35">E87</f>
        <v>28</v>
      </c>
      <c r="F135" s="89">
        <f>'Economic Variables'!M245</f>
        <v>268.76704124999998</v>
      </c>
      <c r="G135" s="89">
        <f t="shared" si="34"/>
        <v>0</v>
      </c>
      <c r="H135">
        <f>'Res Normalized Monthly'!M135</f>
        <v>0.25</v>
      </c>
      <c r="I135" s="6">
        <f t="shared" si="26"/>
        <v>-912678.24653403205</v>
      </c>
      <c r="J135" s="6">
        <f t="shared" si="27"/>
        <v>21465160.871434394</v>
      </c>
      <c r="K135" s="6">
        <f t="shared" si="28"/>
        <v>1365024.2413267302</v>
      </c>
      <c r="L135" s="6">
        <f t="shared" si="30"/>
        <v>0</v>
      </c>
      <c r="M135" s="6">
        <f t="shared" si="29"/>
        <v>21917506.866227094</v>
      </c>
    </row>
    <row r="136" spans="1:13">
      <c r="A136" s="20">
        <v>44986</v>
      </c>
      <c r="B136">
        <f t="shared" si="31"/>
        <v>3</v>
      </c>
      <c r="C136">
        <f t="shared" si="32"/>
        <v>2023</v>
      </c>
      <c r="E136" s="89">
        <f t="shared" ref="E136" si="36">E88</f>
        <v>31</v>
      </c>
      <c r="F136" s="89">
        <f>'Economic Variables'!M246</f>
        <v>268.76704124999998</v>
      </c>
      <c r="G136" s="89">
        <f t="shared" si="34"/>
        <v>0</v>
      </c>
      <c r="H136">
        <f>'Res Normalized Monthly'!M136</f>
        <v>0.25</v>
      </c>
      <c r="I136" s="6">
        <f t="shared" si="26"/>
        <v>-912678.24653403205</v>
      </c>
      <c r="J136" s="6">
        <f t="shared" si="27"/>
        <v>23764999.536230937</v>
      </c>
      <c r="K136" s="6">
        <f t="shared" si="28"/>
        <v>1365024.2413267302</v>
      </c>
      <c r="L136" s="6">
        <f t="shared" si="30"/>
        <v>0</v>
      </c>
      <c r="M136" s="6">
        <f t="shared" si="29"/>
        <v>24217345.531023636</v>
      </c>
    </row>
    <row r="137" spans="1:13">
      <c r="A137" s="20">
        <v>45017</v>
      </c>
      <c r="B137">
        <f t="shared" si="31"/>
        <v>4</v>
      </c>
      <c r="C137">
        <f t="shared" si="32"/>
        <v>2023</v>
      </c>
      <c r="E137" s="89">
        <f t="shared" ref="E137" si="37">E89</f>
        <v>30</v>
      </c>
      <c r="F137" s="89">
        <f>'Economic Variables'!M247</f>
        <v>268.76704124999998</v>
      </c>
      <c r="G137" s="89">
        <f t="shared" si="34"/>
        <v>0</v>
      </c>
      <c r="H137">
        <f>'Res Normalized Monthly'!M137</f>
        <v>0.25</v>
      </c>
      <c r="I137" s="6">
        <f t="shared" si="26"/>
        <v>-912678.24653403205</v>
      </c>
      <c r="J137" s="6">
        <f t="shared" si="27"/>
        <v>22998386.64796542</v>
      </c>
      <c r="K137" s="6">
        <f t="shared" si="28"/>
        <v>1365024.2413267302</v>
      </c>
      <c r="L137" s="6">
        <f t="shared" si="30"/>
        <v>0</v>
      </c>
      <c r="M137" s="6">
        <f t="shared" si="29"/>
        <v>23450732.64275812</v>
      </c>
    </row>
    <row r="138" spans="1:13">
      <c r="A138" s="20">
        <v>45047</v>
      </c>
      <c r="B138">
        <f t="shared" si="31"/>
        <v>5</v>
      </c>
      <c r="C138">
        <f t="shared" si="32"/>
        <v>2023</v>
      </c>
      <c r="E138" s="89">
        <f t="shared" ref="E138" si="38">E90</f>
        <v>31</v>
      </c>
      <c r="F138" s="89">
        <f>'Economic Variables'!M248</f>
        <v>268.76704124999998</v>
      </c>
      <c r="G138" s="89">
        <f t="shared" si="34"/>
        <v>0</v>
      </c>
      <c r="H138">
        <f>'Res Normalized Monthly'!M138</f>
        <v>0.25</v>
      </c>
      <c r="I138" s="6">
        <f t="shared" si="26"/>
        <v>-912678.24653403205</v>
      </c>
      <c r="J138" s="6">
        <f t="shared" si="27"/>
        <v>23764999.536230937</v>
      </c>
      <c r="K138" s="6">
        <f t="shared" si="28"/>
        <v>1365024.2413267302</v>
      </c>
      <c r="L138" s="6">
        <f t="shared" si="30"/>
        <v>0</v>
      </c>
      <c r="M138" s="6">
        <f t="shared" si="29"/>
        <v>24217345.531023636</v>
      </c>
    </row>
    <row r="139" spans="1:13">
      <c r="A139" s="20">
        <v>45078</v>
      </c>
      <c r="B139">
        <f t="shared" si="31"/>
        <v>6</v>
      </c>
      <c r="C139">
        <f t="shared" si="32"/>
        <v>2023</v>
      </c>
      <c r="E139" s="89">
        <f t="shared" ref="E139" si="39">E91</f>
        <v>30</v>
      </c>
      <c r="F139" s="89">
        <f>'Economic Variables'!M249</f>
        <v>268.76704124999998</v>
      </c>
      <c r="G139" s="89">
        <f t="shared" si="34"/>
        <v>0</v>
      </c>
      <c r="H139">
        <f>'Res Normalized Monthly'!M139</f>
        <v>0.25</v>
      </c>
      <c r="I139" s="6">
        <f t="shared" si="26"/>
        <v>-912678.24653403205</v>
      </c>
      <c r="J139" s="6">
        <f t="shared" si="27"/>
        <v>22998386.64796542</v>
      </c>
      <c r="K139" s="6">
        <f t="shared" si="28"/>
        <v>1365024.2413267302</v>
      </c>
      <c r="L139" s="6">
        <f t="shared" si="30"/>
        <v>0</v>
      </c>
      <c r="M139" s="6">
        <f t="shared" si="29"/>
        <v>23450732.64275812</v>
      </c>
    </row>
    <row r="140" spans="1:13">
      <c r="A140" s="20">
        <v>45108</v>
      </c>
      <c r="B140">
        <f t="shared" si="31"/>
        <v>7</v>
      </c>
      <c r="C140">
        <f t="shared" si="32"/>
        <v>2023</v>
      </c>
      <c r="E140" s="89">
        <f t="shared" ref="E140" si="40">E92</f>
        <v>31</v>
      </c>
      <c r="F140" s="89">
        <f>'Economic Variables'!M250</f>
        <v>268.76704124999998</v>
      </c>
      <c r="G140" s="89">
        <f t="shared" si="34"/>
        <v>0</v>
      </c>
      <c r="H140">
        <f>'Res Normalized Monthly'!M140</f>
        <v>0.25</v>
      </c>
      <c r="I140" s="6">
        <f t="shared" si="26"/>
        <v>-912678.24653403205</v>
      </c>
      <c r="J140" s="6">
        <f t="shared" si="27"/>
        <v>23764999.536230937</v>
      </c>
      <c r="K140" s="6">
        <f t="shared" si="28"/>
        <v>1365024.2413267302</v>
      </c>
      <c r="L140" s="6">
        <f t="shared" si="30"/>
        <v>0</v>
      </c>
      <c r="M140" s="6">
        <f t="shared" si="29"/>
        <v>24217345.531023636</v>
      </c>
    </row>
    <row r="141" spans="1:13">
      <c r="A141" s="20">
        <v>45139</v>
      </c>
      <c r="B141">
        <f t="shared" si="31"/>
        <v>8</v>
      </c>
      <c r="C141">
        <f t="shared" si="32"/>
        <v>2023</v>
      </c>
      <c r="E141" s="89">
        <f t="shared" ref="E141" si="41">E93</f>
        <v>31</v>
      </c>
      <c r="F141" s="89">
        <f>'Economic Variables'!M251</f>
        <v>268.76704124999998</v>
      </c>
      <c r="G141" s="89">
        <f t="shared" si="34"/>
        <v>0</v>
      </c>
      <c r="H141">
        <f>'Res Normalized Monthly'!M141</f>
        <v>0.25</v>
      </c>
      <c r="I141" s="6">
        <f t="shared" si="26"/>
        <v>-912678.24653403205</v>
      </c>
      <c r="J141" s="6">
        <f t="shared" si="27"/>
        <v>23764999.536230937</v>
      </c>
      <c r="K141" s="6">
        <f t="shared" si="28"/>
        <v>1365024.2413267302</v>
      </c>
      <c r="L141" s="6">
        <f t="shared" si="30"/>
        <v>0</v>
      </c>
      <c r="M141" s="6">
        <f t="shared" si="29"/>
        <v>24217345.531023636</v>
      </c>
    </row>
    <row r="142" spans="1:13">
      <c r="A142" s="20">
        <v>45170</v>
      </c>
      <c r="B142">
        <f t="shared" si="31"/>
        <v>9</v>
      </c>
      <c r="C142">
        <f t="shared" si="32"/>
        <v>2023</v>
      </c>
      <c r="E142" s="89">
        <f t="shared" ref="E142" si="42">E94</f>
        <v>30</v>
      </c>
      <c r="F142" s="89">
        <f>'Economic Variables'!M252</f>
        <v>268.76704124999998</v>
      </c>
      <c r="G142" s="89">
        <f t="shared" si="34"/>
        <v>1</v>
      </c>
      <c r="H142">
        <f>'Res Normalized Monthly'!M142</f>
        <v>0.25</v>
      </c>
      <c r="I142" s="6">
        <f t="shared" si="26"/>
        <v>-912678.24653403205</v>
      </c>
      <c r="J142" s="6">
        <f t="shared" si="27"/>
        <v>22998386.64796542</v>
      </c>
      <c r="K142" s="6">
        <f t="shared" si="28"/>
        <v>1365024.2413267302</v>
      </c>
      <c r="L142" s="6">
        <f t="shared" si="30"/>
        <v>-580482.53600244795</v>
      </c>
      <c r="M142" s="6">
        <f t="shared" si="29"/>
        <v>22870250.10675567</v>
      </c>
    </row>
    <row r="143" spans="1:13">
      <c r="A143" s="20">
        <v>45200</v>
      </c>
      <c r="B143">
        <f t="shared" si="31"/>
        <v>10</v>
      </c>
      <c r="C143">
        <f t="shared" si="32"/>
        <v>2023</v>
      </c>
      <c r="E143" s="89">
        <f t="shared" ref="E143" si="43">E95</f>
        <v>31</v>
      </c>
      <c r="F143" s="89">
        <f>'Economic Variables'!M253</f>
        <v>268.76704124999998</v>
      </c>
      <c r="G143" s="89">
        <f t="shared" si="34"/>
        <v>1</v>
      </c>
      <c r="H143">
        <f>'Res Normalized Monthly'!M143</f>
        <v>0.25</v>
      </c>
      <c r="I143" s="6">
        <f t="shared" si="26"/>
        <v>-912678.24653403205</v>
      </c>
      <c r="J143" s="6">
        <f t="shared" si="27"/>
        <v>23764999.536230937</v>
      </c>
      <c r="K143" s="6">
        <f t="shared" si="28"/>
        <v>1365024.2413267302</v>
      </c>
      <c r="L143" s="6">
        <f t="shared" si="30"/>
        <v>-580482.53600244795</v>
      </c>
      <c r="M143" s="6">
        <f t="shared" si="29"/>
        <v>23636862.995021187</v>
      </c>
    </row>
    <row r="144" spans="1:13">
      <c r="A144" s="20">
        <v>45231</v>
      </c>
      <c r="B144">
        <f t="shared" si="31"/>
        <v>11</v>
      </c>
      <c r="C144">
        <f t="shared" si="32"/>
        <v>2023</v>
      </c>
      <c r="E144" s="89">
        <f t="shared" ref="E144" si="44">E96</f>
        <v>30</v>
      </c>
      <c r="F144" s="89">
        <f>'Economic Variables'!M254</f>
        <v>268.76704124999998</v>
      </c>
      <c r="G144" s="89">
        <f t="shared" si="34"/>
        <v>0</v>
      </c>
      <c r="H144">
        <f>'Res Normalized Monthly'!M144</f>
        <v>0.25</v>
      </c>
      <c r="I144" s="6">
        <f t="shared" si="26"/>
        <v>-912678.24653403205</v>
      </c>
      <c r="J144" s="6">
        <f t="shared" si="27"/>
        <v>22998386.64796542</v>
      </c>
      <c r="K144" s="6">
        <f t="shared" si="28"/>
        <v>1365024.2413267302</v>
      </c>
      <c r="L144" s="6">
        <f t="shared" si="30"/>
        <v>0</v>
      </c>
      <c r="M144" s="6">
        <f t="shared" si="29"/>
        <v>23450732.64275812</v>
      </c>
    </row>
    <row r="145" spans="1:13">
      <c r="A145" s="20">
        <v>45261</v>
      </c>
      <c r="B145">
        <f t="shared" si="31"/>
        <v>12</v>
      </c>
      <c r="C145">
        <f t="shared" si="32"/>
        <v>2023</v>
      </c>
      <c r="E145" s="89">
        <f t="shared" ref="E145" si="45">E97</f>
        <v>31</v>
      </c>
      <c r="F145" s="89">
        <f>'Economic Variables'!M255</f>
        <v>268.76704124999998</v>
      </c>
      <c r="G145" s="89">
        <f t="shared" si="34"/>
        <v>0</v>
      </c>
      <c r="H145">
        <f>'Res Normalized Monthly'!M145</f>
        <v>0.25</v>
      </c>
      <c r="I145" s="6">
        <f t="shared" si="26"/>
        <v>-912678.24653403205</v>
      </c>
      <c r="J145" s="6">
        <f t="shared" si="27"/>
        <v>23764999.536230937</v>
      </c>
      <c r="K145" s="6">
        <f t="shared" si="28"/>
        <v>1365024.2413267302</v>
      </c>
      <c r="L145" s="6">
        <f t="shared" si="30"/>
        <v>0</v>
      </c>
      <c r="M145" s="6">
        <f t="shared" si="29"/>
        <v>24217345.531023636</v>
      </c>
    </row>
    <row r="146" spans="1:13">
      <c r="A146" s="20"/>
      <c r="E146" s="89"/>
      <c r="F146" s="89"/>
      <c r="G146" s="89"/>
      <c r="I146" s="6"/>
      <c r="J146" s="6"/>
      <c r="K146" s="6"/>
      <c r="L146" s="6"/>
      <c r="M146" s="6"/>
    </row>
    <row r="147" spans="1:13">
      <c r="A147" s="20"/>
      <c r="E147" s="89"/>
      <c r="F147" s="89"/>
      <c r="G147" s="89"/>
      <c r="I147" s="6"/>
      <c r="J147" s="6"/>
      <c r="K147" s="6"/>
      <c r="L147" s="6"/>
      <c r="M147" s="6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0000"/>
  </sheetPr>
  <dimension ref="B2:BR89"/>
  <sheetViews>
    <sheetView topLeftCell="AU1" workbookViewId="0">
      <selection activeCell="BQ23" sqref="BQ23"/>
    </sheetView>
  </sheetViews>
  <sheetFormatPr defaultRowHeight="15"/>
  <cols>
    <col min="2" max="2" width="5" bestFit="1" customWidth="1"/>
    <col min="3" max="3" width="12.7109375" bestFit="1" customWidth="1"/>
    <col min="4" max="4" width="15.85546875" customWidth="1"/>
    <col min="5" max="5" width="14" bestFit="1" customWidth="1"/>
    <col min="6" max="6" width="2.140625" customWidth="1"/>
    <col min="7" max="7" width="14" customWidth="1"/>
    <col min="8" max="8" width="14.42578125" customWidth="1"/>
    <col min="9" max="9" width="12.7109375" customWidth="1"/>
    <col min="12" max="12" width="11.28515625" customWidth="1"/>
    <col min="13" max="13" width="14.140625" bestFit="1" customWidth="1"/>
    <col min="14" max="14" width="11.140625" bestFit="1" customWidth="1"/>
    <col min="15" max="15" width="2" customWidth="1"/>
    <col min="16" max="16" width="12" customWidth="1"/>
    <col min="17" max="17" width="14.7109375" customWidth="1"/>
    <col min="18" max="18" width="12.28515625" customWidth="1"/>
    <col min="19" max="19" width="3.7109375" customWidth="1"/>
    <col min="21" max="21" width="11.140625" bestFit="1" customWidth="1"/>
    <col min="22" max="22" width="14.140625" bestFit="1" customWidth="1"/>
    <col min="23" max="23" width="11.140625" bestFit="1" customWidth="1"/>
    <col min="24" max="24" width="3" customWidth="1"/>
    <col min="25" max="25" width="11.140625" bestFit="1" customWidth="1"/>
    <col min="26" max="26" width="14.140625" bestFit="1" customWidth="1"/>
    <col min="27" max="27" width="11.140625" bestFit="1" customWidth="1"/>
    <col min="30" max="30" width="11.140625" bestFit="1" customWidth="1"/>
    <col min="31" max="31" width="14.140625" bestFit="1" customWidth="1"/>
    <col min="32" max="32" width="11" customWidth="1"/>
    <col min="33" max="33" width="2.28515625" customWidth="1"/>
    <col min="34" max="34" width="13.5703125" customWidth="1"/>
    <col min="35" max="35" width="14.140625" bestFit="1" customWidth="1"/>
    <col min="36" max="36" width="11.140625" bestFit="1" customWidth="1"/>
    <col min="38" max="38" width="5" bestFit="1" customWidth="1"/>
    <col min="39" max="39" width="11.140625" bestFit="1" customWidth="1"/>
    <col min="40" max="40" width="14.140625" bestFit="1" customWidth="1"/>
    <col min="41" max="41" width="11.140625" bestFit="1" customWidth="1"/>
    <col min="42" max="42" width="2.42578125" customWidth="1"/>
    <col min="43" max="43" width="11.140625" bestFit="1" customWidth="1"/>
    <col min="44" max="44" width="14.140625" bestFit="1" customWidth="1"/>
    <col min="45" max="45" width="11.140625" bestFit="1" customWidth="1"/>
    <col min="48" max="48" width="9.140625" bestFit="1" customWidth="1"/>
    <col min="49" max="49" width="12.28515625" customWidth="1"/>
    <col min="50" max="50" width="11.7109375" customWidth="1"/>
    <col min="51" max="51" width="10.140625" customWidth="1"/>
    <col min="54" max="54" width="10.5703125" bestFit="1" customWidth="1"/>
    <col min="55" max="55" width="9.28515625" bestFit="1" customWidth="1"/>
    <col min="56" max="56" width="12.85546875" customWidth="1"/>
    <col min="57" max="57" width="11.140625" customWidth="1"/>
    <col min="60" max="60" width="10.5703125" bestFit="1" customWidth="1"/>
    <col min="62" max="62" width="12.42578125" customWidth="1"/>
    <col min="64" max="64" width="1.7109375" customWidth="1"/>
  </cols>
  <sheetData>
    <row r="2" spans="2:70">
      <c r="B2" s="296" t="s">
        <v>136</v>
      </c>
      <c r="C2" s="296"/>
      <c r="D2" s="296"/>
      <c r="E2" s="296"/>
      <c r="F2" s="296"/>
      <c r="G2" s="296"/>
      <c r="H2" s="296"/>
      <c r="I2" s="296"/>
      <c r="K2" s="296" t="s">
        <v>147</v>
      </c>
      <c r="L2" s="296"/>
      <c r="M2" s="296"/>
      <c r="N2" s="296"/>
      <c r="O2" s="296"/>
      <c r="P2" s="296"/>
      <c r="Q2" s="296"/>
      <c r="R2" s="296"/>
      <c r="T2" s="296" t="s">
        <v>148</v>
      </c>
      <c r="U2" s="296"/>
      <c r="V2" s="296"/>
      <c r="W2" s="296"/>
      <c r="X2" s="296"/>
      <c r="Y2" s="296"/>
      <c r="Z2" s="296"/>
      <c r="AA2" s="296"/>
      <c r="AC2" s="296" t="s">
        <v>125</v>
      </c>
      <c r="AD2" s="296"/>
      <c r="AE2" s="296"/>
      <c r="AF2" s="296"/>
      <c r="AG2" s="296"/>
      <c r="AH2" s="296"/>
      <c r="AI2" s="296"/>
      <c r="AJ2" s="296"/>
      <c r="AL2" s="296" t="s">
        <v>126</v>
      </c>
      <c r="AM2" s="296"/>
      <c r="AN2" s="296"/>
      <c r="AO2" s="296"/>
      <c r="AP2" s="296"/>
      <c r="AQ2" s="296"/>
      <c r="AR2" s="296"/>
      <c r="AS2" s="296"/>
      <c r="AU2" s="296" t="s">
        <v>149</v>
      </c>
      <c r="AV2" s="296"/>
      <c r="AW2" s="296"/>
      <c r="AX2" s="296"/>
      <c r="AY2" s="296"/>
      <c r="BA2" s="296" t="s">
        <v>153</v>
      </c>
      <c r="BB2" s="296"/>
      <c r="BC2" s="296"/>
      <c r="BD2" s="296"/>
      <c r="BE2" s="296"/>
      <c r="BG2" s="296" t="s">
        <v>71</v>
      </c>
      <c r="BH2" s="296"/>
      <c r="BI2" s="296"/>
      <c r="BJ2" s="296"/>
      <c r="BK2" s="296"/>
      <c r="BM2" s="296" t="s">
        <v>351</v>
      </c>
      <c r="BN2" s="296"/>
      <c r="BO2" s="296"/>
      <c r="BP2" s="296"/>
      <c r="BQ2" s="296"/>
    </row>
    <row r="3" spans="2:70" s="47" customFormat="1" ht="27.75" customHeight="1">
      <c r="B3" s="46" t="s">
        <v>53</v>
      </c>
      <c r="C3" s="46" t="s">
        <v>137</v>
      </c>
      <c r="D3" s="46" t="s">
        <v>138</v>
      </c>
      <c r="E3" s="46" t="s">
        <v>139</v>
      </c>
      <c r="F3" s="46"/>
      <c r="G3" s="46" t="s">
        <v>140</v>
      </c>
      <c r="H3" s="46" t="s">
        <v>138</v>
      </c>
      <c r="I3" s="46" t="s">
        <v>129</v>
      </c>
      <c r="K3" s="46" t="s">
        <v>53</v>
      </c>
      <c r="L3" s="46" t="s">
        <v>137</v>
      </c>
      <c r="M3" s="46" t="s">
        <v>138</v>
      </c>
      <c r="N3" s="46" t="s">
        <v>139</v>
      </c>
      <c r="O3" s="46"/>
      <c r="P3" s="46" t="s">
        <v>140</v>
      </c>
      <c r="Q3" s="46" t="s">
        <v>138</v>
      </c>
      <c r="R3" s="46" t="s">
        <v>129</v>
      </c>
      <c r="T3" s="46" t="s">
        <v>53</v>
      </c>
      <c r="U3" s="46" t="s">
        <v>137</v>
      </c>
      <c r="V3" s="46" t="s">
        <v>138</v>
      </c>
      <c r="W3" s="46" t="s">
        <v>139</v>
      </c>
      <c r="X3" s="46"/>
      <c r="Y3" s="46" t="s">
        <v>140</v>
      </c>
      <c r="Z3" s="46" t="s">
        <v>138</v>
      </c>
      <c r="AA3" s="46" t="s">
        <v>129</v>
      </c>
      <c r="AC3" s="46" t="s">
        <v>53</v>
      </c>
      <c r="AD3" s="46" t="s">
        <v>137</v>
      </c>
      <c r="AE3" s="46" t="s">
        <v>138</v>
      </c>
      <c r="AF3" s="46" t="s">
        <v>139</v>
      </c>
      <c r="AG3" s="46"/>
      <c r="AH3" s="46" t="s">
        <v>140</v>
      </c>
      <c r="AI3" s="46" t="s">
        <v>138</v>
      </c>
      <c r="AJ3" s="46" t="s">
        <v>129</v>
      </c>
      <c r="AL3" s="46" t="s">
        <v>53</v>
      </c>
      <c r="AM3" s="46" t="s">
        <v>137</v>
      </c>
      <c r="AN3" s="46" t="s">
        <v>138</v>
      </c>
      <c r="AO3" s="46" t="s">
        <v>139</v>
      </c>
      <c r="AP3" s="46"/>
      <c r="AQ3" s="46" t="s">
        <v>140</v>
      </c>
      <c r="AR3" s="46" t="s">
        <v>138</v>
      </c>
      <c r="AS3" s="46" t="s">
        <v>129</v>
      </c>
      <c r="AU3" s="41" t="s">
        <v>53</v>
      </c>
      <c r="AV3" s="41" t="s">
        <v>137</v>
      </c>
      <c r="AW3" s="46" t="s">
        <v>150</v>
      </c>
      <c r="AX3" s="46" t="s">
        <v>151</v>
      </c>
      <c r="AY3" s="46" t="s">
        <v>152</v>
      </c>
      <c r="BA3" s="41" t="s">
        <v>53</v>
      </c>
      <c r="BB3" s="41" t="s">
        <v>137</v>
      </c>
      <c r="BC3" s="46" t="s">
        <v>150</v>
      </c>
      <c r="BD3" s="46" t="s">
        <v>151</v>
      </c>
      <c r="BE3" s="46" t="s">
        <v>152</v>
      </c>
      <c r="BG3" s="41" t="s">
        <v>53</v>
      </c>
      <c r="BH3" s="41" t="s">
        <v>137</v>
      </c>
      <c r="BI3" s="46" t="s">
        <v>150</v>
      </c>
      <c r="BJ3" s="46" t="s">
        <v>151</v>
      </c>
      <c r="BK3" s="46" t="s">
        <v>152</v>
      </c>
      <c r="BM3" s="41" t="s">
        <v>53</v>
      </c>
      <c r="BN3" s="46" t="s">
        <v>350</v>
      </c>
      <c r="BO3" s="46" t="s">
        <v>150</v>
      </c>
      <c r="BP3" s="46" t="s">
        <v>151</v>
      </c>
      <c r="BQ3" s="46" t="s">
        <v>152</v>
      </c>
    </row>
    <row r="4" spans="2:70">
      <c r="B4" s="41"/>
      <c r="C4" s="41" t="s">
        <v>141</v>
      </c>
      <c r="D4" s="41" t="s">
        <v>142</v>
      </c>
      <c r="E4" s="41" t="s">
        <v>143</v>
      </c>
      <c r="F4" s="41"/>
      <c r="G4" s="41" t="s">
        <v>144</v>
      </c>
      <c r="H4" s="41" t="s">
        <v>145</v>
      </c>
      <c r="I4" s="41" t="s">
        <v>146</v>
      </c>
      <c r="K4" s="41"/>
      <c r="L4" s="41" t="s">
        <v>141</v>
      </c>
      <c r="M4" s="41" t="s">
        <v>142</v>
      </c>
      <c r="N4" s="41" t="s">
        <v>143</v>
      </c>
      <c r="O4" s="41"/>
      <c r="P4" s="41" t="s">
        <v>144</v>
      </c>
      <c r="Q4" s="41" t="s">
        <v>145</v>
      </c>
      <c r="R4" s="41" t="s">
        <v>146</v>
      </c>
      <c r="T4" s="41"/>
      <c r="U4" s="41" t="s">
        <v>141</v>
      </c>
      <c r="V4" s="41" t="s">
        <v>142</v>
      </c>
      <c r="W4" s="41" t="s">
        <v>143</v>
      </c>
      <c r="X4" s="41"/>
      <c r="Y4" s="41" t="s">
        <v>144</v>
      </c>
      <c r="Z4" s="41" t="s">
        <v>145</v>
      </c>
      <c r="AA4" s="41" t="s">
        <v>146</v>
      </c>
      <c r="AC4" s="41"/>
      <c r="AD4" s="41" t="s">
        <v>141</v>
      </c>
      <c r="AE4" s="41" t="s">
        <v>142</v>
      </c>
      <c r="AF4" s="41" t="s">
        <v>143</v>
      </c>
      <c r="AG4" s="41"/>
      <c r="AH4" s="41" t="s">
        <v>144</v>
      </c>
      <c r="AI4" s="41" t="s">
        <v>145</v>
      </c>
      <c r="AJ4" s="41" t="s">
        <v>146</v>
      </c>
      <c r="AL4" s="41"/>
      <c r="AM4" s="41" t="s">
        <v>141</v>
      </c>
      <c r="AN4" s="41" t="s">
        <v>142</v>
      </c>
      <c r="AO4" s="41" t="s">
        <v>143</v>
      </c>
      <c r="AP4" s="41"/>
      <c r="AQ4" s="41" t="s">
        <v>144</v>
      </c>
      <c r="AR4" s="41" t="s">
        <v>145</v>
      </c>
      <c r="AS4" s="41" t="s">
        <v>146</v>
      </c>
      <c r="AU4" s="41"/>
      <c r="AV4" s="41"/>
      <c r="AW4" s="41"/>
      <c r="AX4" s="41"/>
      <c r="AY4" s="41"/>
      <c r="BA4" s="41"/>
      <c r="BB4" s="41"/>
      <c r="BC4" s="41"/>
      <c r="BD4" s="41"/>
      <c r="BE4" s="41"/>
      <c r="BG4" s="41"/>
      <c r="BH4" s="41"/>
      <c r="BI4" s="41"/>
      <c r="BJ4" s="41"/>
      <c r="BK4" s="41"/>
      <c r="BM4" s="41"/>
      <c r="BN4" s="41"/>
      <c r="BO4" s="41"/>
      <c r="BP4" s="41"/>
      <c r="BQ4" s="41"/>
    </row>
    <row r="5" spans="2:70">
      <c r="B5" s="42">
        <v>2012</v>
      </c>
      <c r="C5" s="43">
        <f>SUMIF('Monthly Data'!$B:$B,B5,'Monthly Data'!D:D)</f>
        <v>256220600.70393044</v>
      </c>
      <c r="D5" s="43">
        <f>SUMIF('Monthly Data'!$B:$B,B5,'Monthly Data'!E:E)</f>
        <v>1648705.3791640389</v>
      </c>
      <c r="E5" s="43">
        <f>SUMIF('Monthly Data'!$B:$B,B5,'Monthly Data'!F:F)</f>
        <v>257869306.08309445</v>
      </c>
      <c r="F5" s="43"/>
      <c r="G5" s="43">
        <f ca="1">SUMIF('Res Normalized Monthly'!$C:$C,B5,'Res Normalized Monthly'!$W:$W)</f>
        <v>259297995.1208289</v>
      </c>
      <c r="H5" s="43">
        <f t="shared" ref="H5:H9" si="0">D5</f>
        <v>1648705.3791640389</v>
      </c>
      <c r="I5" s="43">
        <f t="shared" ref="I5:I9" ca="1" si="1">G5-H5</f>
        <v>257649289.74166486</v>
      </c>
      <c r="K5" s="42">
        <v>2012</v>
      </c>
      <c r="L5" s="43">
        <f>SUMIF('Monthly Data'!$B:$B,K5,'Monthly Data'!H:H)</f>
        <v>103403739.78670518</v>
      </c>
      <c r="M5" s="43">
        <f>SUMIF('Monthly Data'!$B:$B,K5,'Monthly Data'!I:I)</f>
        <v>864419.54477821186</v>
      </c>
      <c r="N5" s="43">
        <f>SUMIF('Monthly Data'!$B:$B,K5,'Monthly Data'!J:J)</f>
        <v>104268159.33148342</v>
      </c>
      <c r="O5" s="43"/>
      <c r="P5" s="43">
        <f ca="1">SUMIF('GS&lt;50 Normalized Monthly'!$C:$C,K5,'GS&lt;50 Normalized Monthly'!$O:$O)</f>
        <v>105915069.23150042</v>
      </c>
      <c r="Q5" s="43">
        <f t="shared" ref="Q5:Q9" si="2">M5</f>
        <v>864419.54477821186</v>
      </c>
      <c r="R5" s="43">
        <f t="shared" ref="R5:R9" ca="1" si="3">P5-Q5</f>
        <v>105050649.6867222</v>
      </c>
      <c r="T5" s="42">
        <v>2012</v>
      </c>
      <c r="U5" s="43">
        <f>SUMIF('Monthly Data'!$B:$B,$T5,'Monthly Data'!L:L)</f>
        <v>234251734.89474314</v>
      </c>
      <c r="V5" s="43">
        <f>SUMIF('Monthly Data'!$B:$B,$T5,'Monthly Data'!M:M)</f>
        <v>4899393.0021068025</v>
      </c>
      <c r="W5" s="43">
        <f>SUMIF('Monthly Data'!$B:$B,$T5,'Monthly Data'!N:N)</f>
        <v>239151127.89684987</v>
      </c>
      <c r="X5" s="43"/>
      <c r="Y5" s="43">
        <f ca="1">SUMIF('GS&gt;50 Normalized Monthly'!$C:$C,T5,'GS&gt;50 Normalized Monthly'!$S:$S)</f>
        <v>240058531.94854853</v>
      </c>
      <c r="Z5" s="43">
        <f t="shared" ref="Z5:Z9" si="4">V5</f>
        <v>4899393.0021068025</v>
      </c>
      <c r="AA5" s="43">
        <f t="shared" ref="AA5:AA9" ca="1" si="5">Y5-Z5</f>
        <v>235159138.94644171</v>
      </c>
      <c r="AC5" s="42">
        <v>2012</v>
      </c>
      <c r="AD5" s="43">
        <f>SUMIF('Monthly Data'!$B:$B,$AC5,'Monthly Data'!Q:Q)</f>
        <v>126895902.8686</v>
      </c>
      <c r="AE5" s="43">
        <f>SUMIF('Monthly Data'!$B:$B,$AC5,'Monthly Data'!R:R)</f>
        <v>4140</v>
      </c>
      <c r="AF5" s="43">
        <f>SUMIF('Monthly Data'!$B:$B,$AC5,'Monthly Data'!S:S)</f>
        <v>126900042.8686</v>
      </c>
      <c r="AG5" s="43"/>
      <c r="AH5" s="43">
        <f ca="1">SUMIF('Int Normalized Monthly'!$C:$C,AC5,'Int Normalized Monthly'!$Q:$Q)</f>
        <v>129937954.61073753</v>
      </c>
      <c r="AI5" s="43">
        <f t="shared" ref="AI5:AI9" si="6">AE5</f>
        <v>4140</v>
      </c>
      <c r="AJ5" s="43">
        <f t="shared" ref="AJ5:AJ9" ca="1" si="7">AH5-AI5</f>
        <v>129933814.61073753</v>
      </c>
      <c r="AL5" s="42">
        <v>2012</v>
      </c>
      <c r="AM5" s="43">
        <f>SUMIF('Monthly Data'!$B:$B,$AL5,'Monthly Data'!V:V)</f>
        <v>272631443.27339244</v>
      </c>
      <c r="AN5" s="43">
        <f>SUMIF('Monthly Data'!$B:$B,$AL5,'Monthly Data'!W:W)</f>
        <v>0</v>
      </c>
      <c r="AO5" s="43">
        <f>SUMIF('Monthly Data'!$B:$B,$AL5,'Monthly Data'!X:X)</f>
        <v>272631443.27339244</v>
      </c>
      <c r="AP5" s="43"/>
      <c r="AQ5" s="43">
        <f>SUMIF('LU Normalized Monthly'!$C:$C,AL5,'LU Normalized Monthly'!$M:$M)</f>
        <v>270801446.98378873</v>
      </c>
      <c r="AR5" s="43">
        <f t="shared" ref="AR5:AR9" si="8">AN5</f>
        <v>0</v>
      </c>
      <c r="AS5" s="43">
        <f t="shared" ref="AS5:AS9" si="9">AQ5-AR5</f>
        <v>270801446.98378873</v>
      </c>
      <c r="AU5" s="42">
        <v>2012</v>
      </c>
      <c r="AV5" s="43">
        <f>SUMIF('Monthly Data'!$B:$B,$AU5,'Monthly Data'!AA:AA)</f>
        <v>9019466.9023068007</v>
      </c>
      <c r="AW5" s="43">
        <f>'Connection Count'!W6</f>
        <v>10019.333333333334</v>
      </c>
      <c r="AX5" s="43">
        <f t="shared" ref="AX5:AX9" si="10">AV5/AW5</f>
        <v>900.20629140063875</v>
      </c>
      <c r="AY5" s="43">
        <f t="shared" ref="AY5:AY9" si="11">AX5*AW5</f>
        <v>9019466.9023068007</v>
      </c>
      <c r="BA5" s="42">
        <v>2012</v>
      </c>
      <c r="BB5" s="43">
        <f>SUMIF('Monthly Data'!$B:$B,$BA5,'Monthly Data'!AD:AD)</f>
        <v>572652.99600000004</v>
      </c>
      <c r="BC5" s="43">
        <f>'Connection Count'!AA6</f>
        <v>446.75</v>
      </c>
      <c r="BD5" s="43">
        <f t="shared" ref="BD5:BD9" si="12">BB5/BC5</f>
        <v>1281.819800783436</v>
      </c>
      <c r="BE5" s="43">
        <f t="shared" ref="BE5:BE9" si="13">BD5*BC5</f>
        <v>572652.99600000004</v>
      </c>
      <c r="BG5" s="42">
        <v>2012</v>
      </c>
      <c r="BH5" s="43">
        <f>SUMIF('Monthly Data'!$B:$B,$BG5,'Monthly Data'!AG:AG)</f>
        <v>2229014.4069458004</v>
      </c>
      <c r="BI5" s="43">
        <f>'Connection Count'!AE6</f>
        <v>263</v>
      </c>
      <c r="BJ5" s="43">
        <f t="shared" ref="BJ5:BJ9" si="14">BH5/BI5</f>
        <v>8475.3399503642595</v>
      </c>
      <c r="BK5" s="43">
        <f t="shared" ref="BK5:BK9" si="15">BJ5*BI5</f>
        <v>2229014.4069458004</v>
      </c>
      <c r="BM5" s="42"/>
      <c r="BN5" s="43"/>
      <c r="BO5" s="43"/>
      <c r="BP5" s="43"/>
      <c r="BQ5" s="43"/>
    </row>
    <row r="6" spans="2:70">
      <c r="B6" s="42">
        <f t="shared" ref="B6:B16" si="16">B5+1</f>
        <v>2013</v>
      </c>
      <c r="C6" s="43">
        <f>SUMIF('Monthly Data'!$B:$B,B6,'Monthly Data'!D:D)</f>
        <v>255389581.63213682</v>
      </c>
      <c r="D6" s="43">
        <f>SUMIF('Monthly Data'!$B:$B,B6,'Monthly Data'!E:E)</f>
        <v>2457479.7786995396</v>
      </c>
      <c r="E6" s="43">
        <f>SUMIF('Monthly Data'!$B:$B,B6,'Monthly Data'!F:F)</f>
        <v>257847061.41083631</v>
      </c>
      <c r="F6" s="43"/>
      <c r="G6" s="43">
        <f ca="1">SUMIF('Res Normalized Monthly'!$C:$C,B6,'Res Normalized Monthly'!$W:$W)</f>
        <v>260393848.534962</v>
      </c>
      <c r="H6" s="43">
        <f t="shared" si="0"/>
        <v>2457479.7786995396</v>
      </c>
      <c r="I6" s="43">
        <f t="shared" ca="1" si="1"/>
        <v>257936368.75626245</v>
      </c>
      <c r="K6" s="42">
        <f t="shared" ref="K6:K15" si="17">K5+1</f>
        <v>2013</v>
      </c>
      <c r="L6" s="43">
        <f>SUMIF('Monthly Data'!$B:$B,K6,'Monthly Data'!H:H)</f>
        <v>103284258.79809758</v>
      </c>
      <c r="M6" s="43">
        <f>SUMIF('Monthly Data'!$B:$B,K6,'Monthly Data'!I:I)</f>
        <v>1688234.5728994079</v>
      </c>
      <c r="N6" s="43">
        <f>SUMIF('Monthly Data'!$B:$B,K6,'Monthly Data'!J:J)</f>
        <v>104972493.37099701</v>
      </c>
      <c r="O6" s="43"/>
      <c r="P6" s="43">
        <f ca="1">SUMIF('GS&lt;50 Normalized Monthly'!$C:$C,K6,'GS&lt;50 Normalized Monthly'!$O:$O)</f>
        <v>105628276.33441885</v>
      </c>
      <c r="Q6" s="43">
        <f t="shared" si="2"/>
        <v>1688234.5728994079</v>
      </c>
      <c r="R6" s="43">
        <f t="shared" ca="1" si="3"/>
        <v>103940041.76151945</v>
      </c>
      <c r="T6" s="42">
        <f t="shared" ref="T6:T16" si="18">T5+1</f>
        <v>2013</v>
      </c>
      <c r="U6" s="43">
        <f>SUMIF('Monthly Data'!$B:$B,$T6,'Monthly Data'!L:L)</f>
        <v>233430195.35340962</v>
      </c>
      <c r="V6" s="43">
        <f>SUMIF('Monthly Data'!$B:$B,$T6,'Monthly Data'!M:M)</f>
        <v>6747034.240016575</v>
      </c>
      <c r="W6" s="43">
        <f>SUMIF('Monthly Data'!$B:$B,$T6,'Monthly Data'!N:N)</f>
        <v>240177229.59342617</v>
      </c>
      <c r="X6" s="43"/>
      <c r="Y6" s="43">
        <f ca="1">SUMIF('GS&gt;50 Normalized Monthly'!$C:$C,T6,'GS&gt;50 Normalized Monthly'!$S:$S)</f>
        <v>239489589.20977625</v>
      </c>
      <c r="Z6" s="43">
        <f t="shared" si="4"/>
        <v>6747034.240016575</v>
      </c>
      <c r="AA6" s="43">
        <f t="shared" ca="1" si="5"/>
        <v>232742554.96975967</v>
      </c>
      <c r="AC6" s="42">
        <f t="shared" ref="AC6:AC16" si="19">AC5+1</f>
        <v>2013</v>
      </c>
      <c r="AD6" s="43">
        <f>SUMIF('Monthly Data'!$B:$B,$AC6,'Monthly Data'!Q:Q)</f>
        <v>132211130.93339999</v>
      </c>
      <c r="AE6" s="43">
        <f>SUMIF('Monthly Data'!$B:$B,$AC6,'Monthly Data'!R:R)</f>
        <v>151317.37182308041</v>
      </c>
      <c r="AF6" s="43">
        <f>SUMIF('Monthly Data'!$B:$B,$AC6,'Monthly Data'!S:S)</f>
        <v>132362448.30522306</v>
      </c>
      <c r="AG6" s="43"/>
      <c r="AH6" s="43">
        <f ca="1">SUMIF('Int Normalized Monthly'!$C:$C,AC6,'Int Normalized Monthly'!$Q:$Q)</f>
        <v>128885370.5577082</v>
      </c>
      <c r="AI6" s="43">
        <f t="shared" si="6"/>
        <v>151317.37182308041</v>
      </c>
      <c r="AJ6" s="43">
        <f t="shared" ca="1" si="7"/>
        <v>128734053.18588512</v>
      </c>
      <c r="AL6" s="42">
        <f t="shared" ref="AL6:AL16" si="20">AL5+1</f>
        <v>2013</v>
      </c>
      <c r="AM6" s="43">
        <f>SUMIF('Monthly Data'!$B:$B,$AL6,'Monthly Data'!V:V)</f>
        <v>264004765.672095</v>
      </c>
      <c r="AN6" s="43">
        <f>SUMIF('Monthly Data'!$B:$B,$AL6,'Monthly Data'!W:W)</f>
        <v>540.67716220092484</v>
      </c>
      <c r="AO6" s="43">
        <f>SUMIF('Monthly Data'!$B:$B,$AL6,'Monthly Data'!X:X)</f>
        <v>264005306.34925723</v>
      </c>
      <c r="AP6" s="43"/>
      <c r="AQ6" s="43">
        <f>SUMIF('LU Normalized Monthly'!$C:$C,AL6,'LU Normalized Monthly'!$M:$M)</f>
        <v>269388805.9118247</v>
      </c>
      <c r="AR6" s="43">
        <f t="shared" si="8"/>
        <v>540.67716220092484</v>
      </c>
      <c r="AS6" s="43">
        <f t="shared" si="9"/>
        <v>269388265.23466247</v>
      </c>
      <c r="AU6" s="42">
        <f t="shared" ref="AU6:AU16" si="21">AU5+1</f>
        <v>2013</v>
      </c>
      <c r="AV6" s="43">
        <f>SUMIF('Monthly Data'!$B:$B,$AU6,'Monthly Data'!AA:AA)</f>
        <v>9144166.018151382</v>
      </c>
      <c r="AW6" s="43">
        <f>'Connection Count'!W7</f>
        <v>10029.5</v>
      </c>
      <c r="AX6" s="43">
        <f t="shared" si="10"/>
        <v>911.72700714406324</v>
      </c>
      <c r="AY6" s="43">
        <f t="shared" si="11"/>
        <v>9144166.018151382</v>
      </c>
      <c r="BA6" s="42">
        <f t="shared" ref="BA6:BA16" si="22">BA5+1</f>
        <v>2013</v>
      </c>
      <c r="BB6" s="43">
        <f>SUMIF('Monthly Data'!$B:$B,$BA6,'Monthly Data'!AD:AD)</f>
        <v>547347.48</v>
      </c>
      <c r="BC6" s="43">
        <f>'Connection Count'!AA7</f>
        <v>427.58333333333331</v>
      </c>
      <c r="BD6" s="43">
        <f t="shared" si="12"/>
        <v>1280.0954511791074</v>
      </c>
      <c r="BE6" s="43">
        <f t="shared" si="13"/>
        <v>547347.48</v>
      </c>
      <c r="BG6" s="42">
        <f t="shared" ref="BG6:BG15" si="23">BG5+1</f>
        <v>2013</v>
      </c>
      <c r="BH6" s="43">
        <f>SUMIF('Monthly Data'!$B:$B,$BG6,'Monthly Data'!AG:AG)</f>
        <v>2183026.2609067005</v>
      </c>
      <c r="BI6" s="43">
        <f>'Connection Count'!AE7</f>
        <v>262.08333333333331</v>
      </c>
      <c r="BJ6" s="43">
        <f t="shared" si="14"/>
        <v>8329.5119653037855</v>
      </c>
      <c r="BK6" s="43">
        <f t="shared" si="15"/>
        <v>2183026.2609067005</v>
      </c>
      <c r="BM6" s="42"/>
      <c r="BN6" s="43"/>
      <c r="BO6" s="43"/>
      <c r="BP6" s="43"/>
      <c r="BQ6" s="43"/>
    </row>
    <row r="7" spans="2:70">
      <c r="B7" s="42">
        <f t="shared" si="16"/>
        <v>2014</v>
      </c>
      <c r="C7" s="43">
        <f>SUMIF('Monthly Data'!$B:$B,B7,'Monthly Data'!D:D)</f>
        <v>248491220.29588568</v>
      </c>
      <c r="D7" s="43">
        <f>SUMIF('Monthly Data'!$B:$B,B7,'Monthly Data'!E:E)</f>
        <v>3669783.2042052881</v>
      </c>
      <c r="E7" s="43">
        <f>SUMIF('Monthly Data'!$B:$B,B7,'Monthly Data'!F:F)</f>
        <v>252161003.50009099</v>
      </c>
      <c r="F7" s="43"/>
      <c r="G7" s="43">
        <f ca="1">SUMIF('Res Normalized Monthly'!$C:$C,B7,'Res Normalized Monthly'!$W:$W)</f>
        <v>261112871.08123338</v>
      </c>
      <c r="H7" s="43">
        <f t="shared" si="0"/>
        <v>3669783.2042052881</v>
      </c>
      <c r="I7" s="43">
        <f t="shared" ca="1" si="1"/>
        <v>257443087.87702811</v>
      </c>
      <c r="K7" s="42">
        <f t="shared" si="17"/>
        <v>2014</v>
      </c>
      <c r="L7" s="43">
        <f>SUMIF('Monthly Data'!$B:$B,K7,'Monthly Data'!H:H)</f>
        <v>103923430.55572671</v>
      </c>
      <c r="M7" s="43">
        <f>SUMIF('Monthly Data'!$B:$B,K7,'Monthly Data'!I:I)</f>
        <v>2341325.5380040789</v>
      </c>
      <c r="N7" s="43">
        <f>SUMIF('Monthly Data'!$B:$B,K7,'Monthly Data'!J:J)</f>
        <v>106264756.09373076</v>
      </c>
      <c r="O7" s="43"/>
      <c r="P7" s="43">
        <f ca="1">SUMIF('GS&lt;50 Normalized Monthly'!$C:$C,K7,'GS&lt;50 Normalized Monthly'!$O:$O)</f>
        <v>105667521.67823002</v>
      </c>
      <c r="Q7" s="43">
        <f t="shared" si="2"/>
        <v>2341325.5380040789</v>
      </c>
      <c r="R7" s="43">
        <f t="shared" ca="1" si="3"/>
        <v>103326196.14022593</v>
      </c>
      <c r="T7" s="42">
        <f t="shared" si="18"/>
        <v>2014</v>
      </c>
      <c r="U7" s="43">
        <f>SUMIF('Monthly Data'!$B:$B,$T7,'Monthly Data'!L:L)</f>
        <v>224657845.57076851</v>
      </c>
      <c r="V7" s="43">
        <f>SUMIF('Monthly Data'!$B:$B,$T7,'Monthly Data'!M:M)</f>
        <v>8226949.335095129</v>
      </c>
      <c r="W7" s="43">
        <f>SUMIF('Monthly Data'!$B:$B,$T7,'Monthly Data'!N:N)</f>
        <v>232884794.90586358</v>
      </c>
      <c r="X7" s="43"/>
      <c r="Y7" s="43">
        <f ca="1">SUMIF('GS&gt;50 Normalized Monthly'!$C:$C,T7,'GS&gt;50 Normalized Monthly'!$S:$S)</f>
        <v>232696076.91893849</v>
      </c>
      <c r="Z7" s="43">
        <f t="shared" si="4"/>
        <v>8226949.335095129</v>
      </c>
      <c r="AA7" s="43">
        <f t="shared" ca="1" si="5"/>
        <v>224469127.58384335</v>
      </c>
      <c r="AC7" s="42">
        <f t="shared" si="19"/>
        <v>2014</v>
      </c>
      <c r="AD7" s="43">
        <f>SUMIF('Monthly Data'!$B:$B,$AC7,'Monthly Data'!Q:Q)</f>
        <v>130549125.32099999</v>
      </c>
      <c r="AE7" s="43">
        <f>SUMIF('Monthly Data'!$B:$B,$AC7,'Monthly Data'!R:R)</f>
        <v>571425.41564047139</v>
      </c>
      <c r="AF7" s="43">
        <f>SUMIF('Monthly Data'!$B:$B,$AC7,'Monthly Data'!S:S)</f>
        <v>131120550.73664047</v>
      </c>
      <c r="AG7" s="43"/>
      <c r="AH7" s="43">
        <f ca="1">SUMIF('Int Normalized Monthly'!$C:$C,AC7,'Int Normalized Monthly'!$Q:$Q)</f>
        <v>128169741.03646947</v>
      </c>
      <c r="AI7" s="43">
        <f t="shared" si="6"/>
        <v>571425.41564047139</v>
      </c>
      <c r="AJ7" s="43">
        <f t="shared" ca="1" si="7"/>
        <v>127598315.620829</v>
      </c>
      <c r="AL7" s="42">
        <f t="shared" si="20"/>
        <v>2014</v>
      </c>
      <c r="AM7" s="43">
        <f>SUMIF('Monthly Data'!$B:$B,$AL7,'Monthly Data'!V:V)</f>
        <v>269591766.27768004</v>
      </c>
      <c r="AN7" s="43">
        <f>SUMIF('Monthly Data'!$B:$B,$AL7,'Monthly Data'!W:W)</f>
        <v>89479.105037737449</v>
      </c>
      <c r="AO7" s="43">
        <f>SUMIF('Monthly Data'!$B:$B,$AL7,'Monthly Data'!X:X)</f>
        <v>269681245.38271773</v>
      </c>
      <c r="AP7" s="43"/>
      <c r="AQ7" s="43">
        <f>SUMIF('LU Normalized Monthly'!$C:$C,AL7,'LU Normalized Monthly'!$M:$M)</f>
        <v>269218156.95764023</v>
      </c>
      <c r="AR7" s="43">
        <f t="shared" si="8"/>
        <v>89479.105037737449</v>
      </c>
      <c r="AS7" s="43">
        <f t="shared" si="9"/>
        <v>269128677.85260248</v>
      </c>
      <c r="AU7" s="42">
        <f t="shared" si="21"/>
        <v>2014</v>
      </c>
      <c r="AV7" s="43">
        <f>SUMIF('Monthly Data'!$B:$B,$AU7,'Monthly Data'!AA:AA)</f>
        <v>8086583.2770350762</v>
      </c>
      <c r="AW7" s="43">
        <f>'Connection Count'!W8</f>
        <v>10050.833333333334</v>
      </c>
      <c r="AX7" s="43">
        <f t="shared" si="10"/>
        <v>804.56843814294757</v>
      </c>
      <c r="AY7" s="43">
        <f t="shared" si="11"/>
        <v>8086583.2770350762</v>
      </c>
      <c r="BA7" s="42">
        <f t="shared" si="22"/>
        <v>2014</v>
      </c>
      <c r="BB7" s="43">
        <f>SUMIF('Monthly Data'!$B:$B,$BA7,'Monthly Data'!AD:AD)</f>
        <v>536887.44000000006</v>
      </c>
      <c r="BC7" s="43">
        <f>'Connection Count'!AA8</f>
        <v>417.91666666666669</v>
      </c>
      <c r="BD7" s="43">
        <f t="shared" si="12"/>
        <v>1284.6758285144567</v>
      </c>
      <c r="BE7" s="43">
        <f t="shared" si="13"/>
        <v>536887.44000000006</v>
      </c>
      <c r="BG7" s="42">
        <f t="shared" si="23"/>
        <v>2014</v>
      </c>
      <c r="BH7" s="43">
        <f>SUMIF('Monthly Data'!$B:$B,$BG7,'Monthly Data'!AG:AG)</f>
        <v>2203828.4995907997</v>
      </c>
      <c r="BI7" s="43">
        <f>'Connection Count'!AE8</f>
        <v>261.91666666666669</v>
      </c>
      <c r="BJ7" s="43">
        <f t="shared" si="14"/>
        <v>8414.2354422811313</v>
      </c>
      <c r="BK7" s="43">
        <f t="shared" si="15"/>
        <v>2203828.4995907997</v>
      </c>
      <c r="BM7" s="42"/>
      <c r="BN7" s="43"/>
      <c r="BO7" s="43"/>
      <c r="BP7" s="43"/>
      <c r="BQ7" s="43"/>
    </row>
    <row r="8" spans="2:70">
      <c r="B8" s="42">
        <f t="shared" si="16"/>
        <v>2015</v>
      </c>
      <c r="C8" s="43">
        <f>SUMIF('Monthly Data'!$B:$B,B8,'Monthly Data'!D:D)</f>
        <v>247531814.84014043</v>
      </c>
      <c r="D8" s="43">
        <f>SUMIF('Monthly Data'!$B:$B,B8,'Monthly Data'!E:E)</f>
        <v>4941125.1874912474</v>
      </c>
      <c r="E8" s="43">
        <f>SUMIF('Monthly Data'!$B:$B,B8,'Monthly Data'!F:F)</f>
        <v>252472940.02763164</v>
      </c>
      <c r="F8" s="43"/>
      <c r="G8" s="43">
        <f ca="1">SUMIF('Res Normalized Monthly'!$C:$C,B8,'Res Normalized Monthly'!$W:$W)</f>
        <v>261694730.12929749</v>
      </c>
      <c r="H8" s="43">
        <f t="shared" si="0"/>
        <v>4941125.1874912474</v>
      </c>
      <c r="I8" s="43">
        <f t="shared" ca="1" si="1"/>
        <v>256753604.94180626</v>
      </c>
      <c r="K8" s="42">
        <f t="shared" si="17"/>
        <v>2015</v>
      </c>
      <c r="L8" s="43">
        <f>SUMIF('Monthly Data'!$B:$B,K8,'Monthly Data'!H:H)</f>
        <v>104997600.1746619</v>
      </c>
      <c r="M8" s="43">
        <f>SUMIF('Monthly Data'!$B:$B,K8,'Monthly Data'!I:I)</f>
        <v>2958040.6172586293</v>
      </c>
      <c r="N8" s="43">
        <f>SUMIF('Monthly Data'!$B:$B,K8,'Monthly Data'!J:J)</f>
        <v>107955640.79192054</v>
      </c>
      <c r="O8" s="43"/>
      <c r="P8" s="43">
        <f ca="1">SUMIF('GS&lt;50 Normalized Monthly'!$C:$C,K8,'GS&lt;50 Normalized Monthly'!$O:$O)</f>
        <v>106804630.35788676</v>
      </c>
      <c r="Q8" s="43">
        <f t="shared" si="2"/>
        <v>2958040.6172586293</v>
      </c>
      <c r="R8" s="43">
        <f t="shared" ca="1" si="3"/>
        <v>103846589.74062814</v>
      </c>
      <c r="T8" s="42">
        <f t="shared" si="18"/>
        <v>2015</v>
      </c>
      <c r="U8" s="43">
        <f>SUMIF('Monthly Data'!$B:$B,$T8,'Monthly Data'!L:L)</f>
        <v>218194347.05538249</v>
      </c>
      <c r="V8" s="43">
        <f>SUMIF('Monthly Data'!$B:$B,$T8,'Monthly Data'!M:M)</f>
        <v>11769945.143801721</v>
      </c>
      <c r="W8" s="43">
        <f>SUMIF('Monthly Data'!$B:$B,$T8,'Monthly Data'!N:N)</f>
        <v>229964292.19918424</v>
      </c>
      <c r="X8" s="43"/>
      <c r="Y8" s="43">
        <f ca="1">SUMIF('GS&gt;50 Normalized Monthly'!$C:$C,T8,'GS&gt;50 Normalized Monthly'!$S:$S)</f>
        <v>229600901.92661756</v>
      </c>
      <c r="Z8" s="43">
        <f t="shared" si="4"/>
        <v>11769945.143801721</v>
      </c>
      <c r="AA8" s="43">
        <f t="shared" ca="1" si="5"/>
        <v>217830956.78281584</v>
      </c>
      <c r="AC8" s="42">
        <f t="shared" si="19"/>
        <v>2015</v>
      </c>
      <c r="AD8" s="43">
        <f>SUMIF('Monthly Data'!$B:$B,$AC8,'Monthly Data'!Q:Q)</f>
        <v>127712881.49879999</v>
      </c>
      <c r="AE8" s="43">
        <f>SUMIF('Monthly Data'!$B:$B,$AC8,'Monthly Data'!R:R)</f>
        <v>1016676.1732130084</v>
      </c>
      <c r="AF8" s="43">
        <f>SUMIF('Monthly Data'!$B:$B,$AC8,'Monthly Data'!S:S)</f>
        <v>128729557.67201301</v>
      </c>
      <c r="AG8" s="43"/>
      <c r="AH8" s="43">
        <f ca="1">SUMIF('Int Normalized Monthly'!$C:$C,AC8,'Int Normalized Monthly'!$Q:$Q)</f>
        <v>127454111.51523073</v>
      </c>
      <c r="AI8" s="43">
        <f t="shared" si="6"/>
        <v>1016676.1732130084</v>
      </c>
      <c r="AJ8" s="43">
        <f t="shared" ca="1" si="7"/>
        <v>126437435.34201773</v>
      </c>
      <c r="AL8" s="42">
        <f t="shared" si="20"/>
        <v>2015</v>
      </c>
      <c r="AM8" s="43">
        <f>SUMIF('Monthly Data'!$B:$B,$AL8,'Monthly Data'!V:V)</f>
        <v>272823999.19582504</v>
      </c>
      <c r="AN8" s="43">
        <f>SUMIF('Monthly Data'!$B:$B,$AL8,'Monthly Data'!W:W)</f>
        <v>210308.36531471714</v>
      </c>
      <c r="AO8" s="43">
        <f>SUMIF('Monthly Data'!$B:$B,$AL8,'Monthly Data'!X:X)</f>
        <v>273034307.56113976</v>
      </c>
      <c r="AP8" s="43"/>
      <c r="AQ8" s="43">
        <f>SUMIF('LU Normalized Monthly'!$C:$C,AL8,'LU Normalized Monthly'!$M:$M)</f>
        <v>269126737.87504137</v>
      </c>
      <c r="AR8" s="43">
        <f t="shared" si="8"/>
        <v>210308.36531471714</v>
      </c>
      <c r="AS8" s="43">
        <f t="shared" si="9"/>
        <v>268916429.50972664</v>
      </c>
      <c r="AU8" s="42">
        <f t="shared" si="21"/>
        <v>2015</v>
      </c>
      <c r="AV8" s="43">
        <f>SUMIF('Monthly Data'!$B:$B,$AU8,'Monthly Data'!AA:AA)</f>
        <v>6427056.8045899998</v>
      </c>
      <c r="AW8" s="43">
        <f>'Connection Count'!W9</f>
        <v>10012.833333333334</v>
      </c>
      <c r="AX8" s="43">
        <f t="shared" si="10"/>
        <v>641.88193197962607</v>
      </c>
      <c r="AY8" s="43">
        <f t="shared" si="11"/>
        <v>6427056.8045899998</v>
      </c>
      <c r="BA8" s="42">
        <f t="shared" si="22"/>
        <v>2015</v>
      </c>
      <c r="BB8" s="43">
        <f>SUMIF('Monthly Data'!$B:$B,$BA8,'Monthly Data'!AD:AD)</f>
        <v>507379.83599999995</v>
      </c>
      <c r="BC8" s="43">
        <f>'Connection Count'!AA9</f>
        <v>412.25</v>
      </c>
      <c r="BD8" s="43">
        <f t="shared" si="12"/>
        <v>1230.7576373559732</v>
      </c>
      <c r="BE8" s="43">
        <f t="shared" si="13"/>
        <v>507379.83599999995</v>
      </c>
      <c r="BG8" s="42">
        <f t="shared" si="23"/>
        <v>2015</v>
      </c>
      <c r="BH8" s="43">
        <f>SUMIF('Monthly Data'!$B:$B,$BG8,'Monthly Data'!AG:AG)</f>
        <v>2211250.1011378998</v>
      </c>
      <c r="BI8" s="43">
        <f>'Connection Count'!AE9</f>
        <v>262.41666666666669</v>
      </c>
      <c r="BJ8" s="43">
        <f t="shared" si="14"/>
        <v>8426.4849836947596</v>
      </c>
      <c r="BK8" s="43">
        <f t="shared" si="15"/>
        <v>2211250.1011378998</v>
      </c>
      <c r="BM8" s="42"/>
      <c r="BN8" s="43"/>
      <c r="BO8" s="43"/>
      <c r="BP8" s="43"/>
      <c r="BQ8" s="43"/>
    </row>
    <row r="9" spans="2:70">
      <c r="B9" s="42">
        <f t="shared" si="16"/>
        <v>2016</v>
      </c>
      <c r="C9" s="43">
        <f>SUMIF('Monthly Data'!$B:$B,B9,'Monthly Data'!D:D)</f>
        <v>254829614.94449431</v>
      </c>
      <c r="D9" s="43">
        <f>SUMIF('Monthly Data'!$B:$B,B9,'Monthly Data'!E:E)</f>
        <v>7049692.5502174264</v>
      </c>
      <c r="E9" s="43">
        <f>SUMIF('Monthly Data'!$B:$B,B9,'Monthly Data'!F:F)</f>
        <v>261879307.49471176</v>
      </c>
      <c r="F9" s="43"/>
      <c r="G9" s="43">
        <f ca="1">SUMIF('Res Normalized Monthly'!$C:$C,B9,'Res Normalized Monthly'!$W:$W)</f>
        <v>263537734.26204458</v>
      </c>
      <c r="H9" s="43">
        <f t="shared" si="0"/>
        <v>7049692.5502174264</v>
      </c>
      <c r="I9" s="43">
        <f t="shared" ca="1" si="1"/>
        <v>256488041.71182716</v>
      </c>
      <c r="K9" s="42">
        <f t="shared" si="17"/>
        <v>2016</v>
      </c>
      <c r="L9" s="43">
        <f>SUMIF('Monthly Data'!$B:$B,K9,'Monthly Data'!H:H)</f>
        <v>103858080.64192553</v>
      </c>
      <c r="M9" s="43">
        <f>SUMIF('Monthly Data'!$B:$B,K9,'Monthly Data'!I:I)</f>
        <v>3535271.9934464633</v>
      </c>
      <c r="N9" s="43">
        <f>SUMIF('Monthly Data'!$B:$B,K9,'Monthly Data'!J:J)</f>
        <v>107393352.63537197</v>
      </c>
      <c r="O9" s="43"/>
      <c r="P9" s="43">
        <f ca="1">SUMIF('GS&lt;50 Normalized Monthly'!$C:$C,K9,'GS&lt;50 Normalized Monthly'!$O:$O)</f>
        <v>106524881.49687386</v>
      </c>
      <c r="Q9" s="43">
        <f t="shared" si="2"/>
        <v>3535271.9934464633</v>
      </c>
      <c r="R9" s="43">
        <f t="shared" ca="1" si="3"/>
        <v>102989609.50342739</v>
      </c>
      <c r="T9" s="42">
        <f t="shared" si="18"/>
        <v>2016</v>
      </c>
      <c r="U9" s="43">
        <f>SUMIF('Monthly Data'!$B:$B,$T9,'Monthly Data'!L:L)</f>
        <v>216056699.61478987</v>
      </c>
      <c r="V9" s="43">
        <f>SUMIF('Monthly Data'!$B:$B,$T9,'Monthly Data'!M:M)</f>
        <v>16570864.735696889</v>
      </c>
      <c r="W9" s="43">
        <f>SUMIF('Monthly Data'!$B:$B,$T9,'Monthly Data'!N:N)</f>
        <v>232627564.35048676</v>
      </c>
      <c r="X9" s="43"/>
      <c r="Y9" s="43">
        <f ca="1">SUMIF('GS&gt;50 Normalized Monthly'!$C:$C,T9,'GS&gt;50 Normalized Monthly'!$S:$S)</f>
        <v>229344464.66743755</v>
      </c>
      <c r="Z9" s="43">
        <f t="shared" si="4"/>
        <v>16570864.735696889</v>
      </c>
      <c r="AA9" s="43">
        <f t="shared" ca="1" si="5"/>
        <v>212773599.93174067</v>
      </c>
      <c r="AC9" s="42">
        <f t="shared" si="19"/>
        <v>2016</v>
      </c>
      <c r="AD9" s="43">
        <f>SUMIF('Monthly Data'!$B:$B,$AC9,'Monthly Data'!Q:Q)</f>
        <v>124246025.7656</v>
      </c>
      <c r="AE9" s="43">
        <f>SUMIF('Monthly Data'!$B:$B,$AC9,'Monthly Data'!R:R)</f>
        <v>1251008.5575934476</v>
      </c>
      <c r="AF9" s="43">
        <f>SUMIF('Monthly Data'!$B:$B,$AC9,'Monthly Data'!S:S)</f>
        <v>125497034.32319345</v>
      </c>
      <c r="AG9" s="43"/>
      <c r="AH9" s="43">
        <f ca="1">SUMIF('Int Normalized Monthly'!$C:$C,AC9,'Int Normalized Monthly'!$Q:$Q)</f>
        <v>127075436.52578259</v>
      </c>
      <c r="AI9" s="43">
        <f t="shared" si="6"/>
        <v>1251008.5575934476</v>
      </c>
      <c r="AJ9" s="43">
        <f t="shared" ca="1" si="7"/>
        <v>125824427.96818914</v>
      </c>
      <c r="AL9" s="42">
        <f t="shared" si="20"/>
        <v>2016</v>
      </c>
      <c r="AM9" s="43">
        <f>SUMIF('Monthly Data'!$B:$B,$AL9,'Monthly Data'!V:V)</f>
        <v>300037282.51909494</v>
      </c>
      <c r="AN9" s="43">
        <f>SUMIF('Monthly Data'!$B:$B,$AL9,'Monthly Data'!W:W)</f>
        <v>270007.41663021722</v>
      </c>
      <c r="AO9" s="43">
        <f>SUMIF('Monthly Data'!$B:$B,$AL9,'Monthly Data'!X:X)</f>
        <v>300307289.93572527</v>
      </c>
      <c r="AP9" s="43"/>
      <c r="AQ9" s="43">
        <f>SUMIF('LU Normalized Monthly'!$C:$C,AL9,'LU Normalized Monthly'!$M:$M)</f>
        <v>291456065.04562128</v>
      </c>
      <c r="AR9" s="43">
        <f t="shared" si="8"/>
        <v>270007.41663021722</v>
      </c>
      <c r="AS9" s="43">
        <f t="shared" si="9"/>
        <v>291186057.62899107</v>
      </c>
      <c r="AU9" s="42">
        <f t="shared" si="21"/>
        <v>2016</v>
      </c>
      <c r="AV9" s="43">
        <f>SUMIF('Monthly Data'!$B:$B,$AU9,'Monthly Data'!AA:AA)</f>
        <v>5119606.1326600015</v>
      </c>
      <c r="AW9" s="43">
        <f>'Connection Count'!W10</f>
        <v>10018.083333333334</v>
      </c>
      <c r="AX9" s="43">
        <f t="shared" si="10"/>
        <v>511.03648894848493</v>
      </c>
      <c r="AY9" s="43">
        <f t="shared" si="11"/>
        <v>5119606.1326600015</v>
      </c>
      <c r="BA9" s="42">
        <f t="shared" si="22"/>
        <v>2016</v>
      </c>
      <c r="BB9" s="43">
        <f>SUMIF('Monthly Data'!$B:$B,$BA9,'Monthly Data'!AD:AD)</f>
        <v>497068.96799999988</v>
      </c>
      <c r="BC9" s="43">
        <f>'Connection Count'!AA10</f>
        <v>407.33333333333331</v>
      </c>
      <c r="BD9" s="43">
        <f t="shared" si="12"/>
        <v>1220.3002487725039</v>
      </c>
      <c r="BE9" s="43">
        <f t="shared" si="13"/>
        <v>497068.96799999988</v>
      </c>
      <c r="BG9" s="42">
        <f t="shared" si="23"/>
        <v>2016</v>
      </c>
      <c r="BH9" s="43">
        <f>SUMIF('Monthly Data'!$B:$B,$BG9,'Monthly Data'!AG:AG)</f>
        <v>2221666.6957900003</v>
      </c>
      <c r="BI9" s="43">
        <f>'Connection Count'!AE10</f>
        <v>261.08333333333331</v>
      </c>
      <c r="BJ9" s="43">
        <f t="shared" si="14"/>
        <v>8509.4160068560504</v>
      </c>
      <c r="BK9" s="43">
        <f t="shared" si="15"/>
        <v>2221666.6957900003</v>
      </c>
      <c r="BM9" s="42"/>
      <c r="BN9" s="43"/>
      <c r="BO9" s="43"/>
      <c r="BP9" s="43"/>
      <c r="BQ9" s="43"/>
    </row>
    <row r="10" spans="2:70">
      <c r="B10" s="42">
        <f t="shared" si="16"/>
        <v>2017</v>
      </c>
      <c r="C10" s="43">
        <f>SUMIF('Monthly Data'!$B:$B,B10,'Monthly Data'!D:D)</f>
        <v>243695247.75932932</v>
      </c>
      <c r="D10" s="43">
        <f>SUMIF('Monthly Data'!$B:$B,B10,'Monthly Data'!E:E)</f>
        <v>12222428.910569848</v>
      </c>
      <c r="E10" s="43">
        <f>SUMIF('Monthly Data'!$B:$B,B10,'Monthly Data'!F:F)</f>
        <v>255917676.66989917</v>
      </c>
      <c r="F10" s="43"/>
      <c r="G10" s="43">
        <f ca="1">SUMIF('Res Normalized Monthly'!$C:$C,B10,'Res Normalized Monthly'!$W:$W)</f>
        <v>264992538.52644023</v>
      </c>
      <c r="H10" s="43">
        <f t="shared" ref="H10:H13" si="24">D10</f>
        <v>12222428.910569848</v>
      </c>
      <c r="I10" s="43">
        <f t="shared" ref="I10:I13" ca="1" si="25">G10-H10</f>
        <v>252770109.61587039</v>
      </c>
      <c r="K10" s="42">
        <f t="shared" si="17"/>
        <v>2017</v>
      </c>
      <c r="L10" s="43">
        <f>SUMIF('Monthly Data'!$B:$B,K10,'Monthly Data'!H:H)</f>
        <v>99503004.427166715</v>
      </c>
      <c r="M10" s="43">
        <f>SUMIF('Monthly Data'!$B:$B,K10,'Monthly Data'!I:I)</f>
        <v>3161510.3477654918</v>
      </c>
      <c r="N10" s="43">
        <f>SUMIF('Monthly Data'!$B:$B,K10,'Monthly Data'!J:J)</f>
        <v>102664514.77493219</v>
      </c>
      <c r="O10" s="43"/>
      <c r="P10" s="43">
        <f ca="1">SUMIF('GS&lt;50 Normalized Monthly'!$C:$C,K10,'GS&lt;50 Normalized Monthly'!$O:$O)</f>
        <v>106588277.8214919</v>
      </c>
      <c r="Q10" s="43">
        <f t="shared" ref="Q10:Q13" si="26">M10</f>
        <v>3161510.3477654918</v>
      </c>
      <c r="R10" s="43">
        <f t="shared" ref="R10:R16" ca="1" si="27">P10-Q10</f>
        <v>103426767.47372641</v>
      </c>
      <c r="T10" s="42">
        <f t="shared" si="18"/>
        <v>2017</v>
      </c>
      <c r="U10" s="43">
        <f>SUMIF('Monthly Data'!$B:$B,$T10,'Monthly Data'!L:L)</f>
        <v>204648181.01987115</v>
      </c>
      <c r="V10" s="43">
        <f>SUMIF('Monthly Data'!$B:$B,$T10,'Monthly Data'!M:M)</f>
        <v>20305864.160997242</v>
      </c>
      <c r="W10" s="43">
        <f>SUMIF('Monthly Data'!$B:$B,$T10,'Monthly Data'!N:N)</f>
        <v>224954045.18086839</v>
      </c>
      <c r="X10" s="43"/>
      <c r="Y10" s="43">
        <f ca="1">SUMIF('GS&gt;50 Normalized Monthly'!$C:$C,T10,'GS&gt;50 Normalized Monthly'!$S:$S)</f>
        <v>230600881.53952122</v>
      </c>
      <c r="Z10" s="43">
        <f t="shared" ref="Z10:Z13" si="28">V10</f>
        <v>20305864.160997242</v>
      </c>
      <c r="AA10" s="43">
        <f t="shared" ref="AA10:AA13" ca="1" si="29">Y10-Z10</f>
        <v>210295017.37852398</v>
      </c>
      <c r="AC10" s="42">
        <f t="shared" si="19"/>
        <v>2017</v>
      </c>
      <c r="AD10" s="43">
        <f>SUMIF('Monthly Data'!$B:$B,$AC10,'Monthly Data'!Q:Q)</f>
        <v>123613582.23840001</v>
      </c>
      <c r="AE10" s="43">
        <f>SUMIF('Monthly Data'!$B:$B,$AC10,'Monthly Data'!R:R)</f>
        <v>1145221.2512686115</v>
      </c>
      <c r="AF10" s="43">
        <f>SUMIF('Monthly Data'!$B:$B,$AC10,'Monthly Data'!S:S)</f>
        <v>124758803.48966864</v>
      </c>
      <c r="AG10" s="43"/>
      <c r="AH10" s="43">
        <f ca="1">SUMIF('Int Normalized Monthly'!$C:$C,AC10,'Int Normalized Monthly'!$Q:$Q)</f>
        <v>126022852.47275326</v>
      </c>
      <c r="AI10" s="43">
        <f t="shared" ref="AI10:AI13" si="30">AE10</f>
        <v>1145221.2512686115</v>
      </c>
      <c r="AJ10" s="43">
        <f t="shared" ref="AJ10:AJ13" ca="1" si="31">AH10-AI10</f>
        <v>124877631.22148465</v>
      </c>
      <c r="AL10" s="42">
        <f t="shared" si="20"/>
        <v>2017</v>
      </c>
      <c r="AM10" s="43">
        <f>SUMIF('Monthly Data'!$B:$B,$AL10,'Monthly Data'!V:V)</f>
        <v>289478993.77460253</v>
      </c>
      <c r="AN10" s="43">
        <f>SUMIF('Monthly Data'!$B:$B,$AL10,'Monthly Data'!W:W)</f>
        <v>309614.94919821451</v>
      </c>
      <c r="AO10" s="43">
        <f>SUMIF('Monthly Data'!$B:$B,$AL10,'Monthly Data'!X:X)</f>
        <v>289788608.72380066</v>
      </c>
      <c r="AP10" s="43"/>
      <c r="AQ10" s="43">
        <f>SUMIF('LU Normalized Monthly'!$C:$C,AL10,'LU Normalized Monthly'!$M:$M)</f>
        <v>285222591.01794481</v>
      </c>
      <c r="AR10" s="43">
        <f t="shared" ref="AR10:AR12" si="32">AN10</f>
        <v>309614.94919821451</v>
      </c>
      <c r="AS10" s="43">
        <f t="shared" ref="AS10:AS12" si="33">AQ10-AR10</f>
        <v>284912976.06874663</v>
      </c>
      <c r="AU10" s="42">
        <f t="shared" si="21"/>
        <v>2017</v>
      </c>
      <c r="AV10" s="43">
        <f>SUMIF('Monthly Data'!$B:$B,$AU10,'Monthly Data'!AA:AA)</f>
        <v>4349789.3748699967</v>
      </c>
      <c r="AW10" s="43">
        <f>'Connection Count'!W11</f>
        <v>10042</v>
      </c>
      <c r="AX10" s="43">
        <f t="shared" ref="AX10:AX12" si="34">AV10/AW10</f>
        <v>433.15966688607813</v>
      </c>
      <c r="AY10" s="43">
        <f t="shared" ref="AY10:AY12" si="35">AX10*AW10</f>
        <v>4349789.3748699967</v>
      </c>
      <c r="BA10" s="42">
        <f t="shared" si="22"/>
        <v>2017</v>
      </c>
      <c r="BB10" s="43">
        <f>SUMIF('Monthly Data'!$B:$B,$BA10,'Monthly Data'!AD:AD)</f>
        <v>476322.47087148222</v>
      </c>
      <c r="BC10" s="43">
        <f>'Connection Count'!AA11</f>
        <v>391.33333333333331</v>
      </c>
      <c r="BD10" s="43">
        <f t="shared" ref="BD10:BD12" si="36">BB10/BC10</f>
        <v>1217.1783753104316</v>
      </c>
      <c r="BE10" s="43">
        <f t="shared" ref="BE10:BE12" si="37">BD10*BC10</f>
        <v>476322.47087148222</v>
      </c>
      <c r="BG10" s="42">
        <f t="shared" si="23"/>
        <v>2017</v>
      </c>
      <c r="BH10" s="43">
        <f>SUMIF('Monthly Data'!$B:$B,$BG10,'Monthly Data'!AG:AG)</f>
        <v>2156982.068929255</v>
      </c>
      <c r="BI10" s="43">
        <f>'Connection Count'!AE11</f>
        <v>258.41666666666669</v>
      </c>
      <c r="BJ10" s="43">
        <f t="shared" ref="BJ10:BJ12" si="38">BH10/BI10</f>
        <v>8346.9154553857006</v>
      </c>
      <c r="BK10" s="43">
        <f t="shared" ref="BK10:BK12" si="39">BJ10*BI10</f>
        <v>2156982.068929255</v>
      </c>
      <c r="BM10" s="42"/>
      <c r="BN10" s="43"/>
      <c r="BO10" s="43"/>
      <c r="BP10" s="43"/>
      <c r="BQ10" s="43"/>
    </row>
    <row r="11" spans="2:70">
      <c r="B11" s="42">
        <f t="shared" si="16"/>
        <v>2018</v>
      </c>
      <c r="C11" s="43">
        <f>SUMIF('Monthly Data'!$B:$B,B11,'Monthly Data'!D:D)</f>
        <v>259006063.99240005</v>
      </c>
      <c r="D11" s="43">
        <f>SUMIF('Monthly Data'!$B:$B,B11,'Monthly Data'!E:E)</f>
        <v>15150416.907207174</v>
      </c>
      <c r="E11" s="43">
        <f>SUMIF('Monthly Data'!$B:$B,B11,'Monthly Data'!F:F)</f>
        <v>274156480.89960718</v>
      </c>
      <c r="F11" s="43"/>
      <c r="G11" s="43">
        <f ca="1">SUMIF('Res Normalized Monthly'!$C:$C,B11,'Res Normalized Monthly'!$W:$W)</f>
        <v>267164597.47711161</v>
      </c>
      <c r="H11" s="43">
        <f t="shared" si="24"/>
        <v>15150416.907207174</v>
      </c>
      <c r="I11" s="43">
        <f t="shared" ca="1" si="25"/>
        <v>252014180.56990445</v>
      </c>
      <c r="K11" s="42">
        <f t="shared" si="17"/>
        <v>2018</v>
      </c>
      <c r="L11" s="43">
        <f>SUMIF('Monthly Data'!$B:$B,K11,'Monthly Data'!H:H)</f>
        <v>101399119.8590284</v>
      </c>
      <c r="M11" s="43">
        <f>SUMIF('Monthly Data'!$B:$B,K11,'Monthly Data'!I:I)</f>
        <v>3968321.5883593154</v>
      </c>
      <c r="N11" s="43">
        <f>SUMIF('Monthly Data'!$B:$B,K11,'Monthly Data'!J:J)</f>
        <v>105367441.44738773</v>
      </c>
      <c r="O11" s="43"/>
      <c r="P11" s="43">
        <f ca="1">SUMIF('GS&lt;50 Normalized Monthly'!$C:$C,K11,'GS&lt;50 Normalized Monthly'!$O:$O)</f>
        <v>107793814.28010145</v>
      </c>
      <c r="Q11" s="43">
        <f t="shared" si="26"/>
        <v>3968321.5883593154</v>
      </c>
      <c r="R11" s="43">
        <f t="shared" ca="1" si="27"/>
        <v>103825492.69174214</v>
      </c>
      <c r="T11" s="42">
        <f t="shared" si="18"/>
        <v>2018</v>
      </c>
      <c r="U11" s="43">
        <f>SUMIF('Monthly Data'!$B:$B,$T11,'Monthly Data'!L:L)</f>
        <v>206166950.13402587</v>
      </c>
      <c r="V11" s="43">
        <f>SUMIF('Monthly Data'!$B:$B,$T11,'Monthly Data'!M:M)</f>
        <v>24825905.709379572</v>
      </c>
      <c r="W11" s="43">
        <f>SUMIF('Monthly Data'!$B:$B,$T11,'Monthly Data'!N:N)</f>
        <v>230992855.84340546</v>
      </c>
      <c r="X11" s="43"/>
      <c r="Y11" s="43">
        <f ca="1">SUMIF('GS&gt;50 Normalized Monthly'!$C:$C,T11,'GS&gt;50 Normalized Monthly'!$S:$S)</f>
        <v>231981805.76686442</v>
      </c>
      <c r="Z11" s="43">
        <f t="shared" si="28"/>
        <v>24825905.709379572</v>
      </c>
      <c r="AA11" s="43">
        <f t="shared" ca="1" si="29"/>
        <v>207155900.05748484</v>
      </c>
      <c r="AC11" s="42">
        <f t="shared" si="19"/>
        <v>2018</v>
      </c>
      <c r="AD11" s="43">
        <f>SUMIF('Monthly Data'!$B:$B,$AC11,'Monthly Data'!Q:Q)</f>
        <v>122358953.95090002</v>
      </c>
      <c r="AE11" s="43">
        <f>SUMIF('Monthly Data'!$B:$B,$AC11,'Monthly Data'!R:R)</f>
        <v>1291120.0130412728</v>
      </c>
      <c r="AF11" s="43">
        <f>SUMIF('Monthly Data'!$B:$B,$AC11,'Monthly Data'!S:S)</f>
        <v>123650073.96394126</v>
      </c>
      <c r="AG11" s="43"/>
      <c r="AH11" s="43">
        <f ca="1">SUMIF('Int Normalized Monthly'!$C:$C,AC11,'Int Normalized Monthly'!$Q:$Q)</f>
        <v>125307222.95151453</v>
      </c>
      <c r="AI11" s="43">
        <f t="shared" si="30"/>
        <v>1291120.0130412728</v>
      </c>
      <c r="AJ11" s="43">
        <f t="shared" ca="1" si="31"/>
        <v>124016102.93847325</v>
      </c>
      <c r="AL11" s="42">
        <f t="shared" si="20"/>
        <v>2018</v>
      </c>
      <c r="AM11" s="43">
        <f>SUMIF('Monthly Data'!$B:$B,$AL11,'Monthly Data'!V:V)</f>
        <v>287387431.13281</v>
      </c>
      <c r="AN11" s="43">
        <f>SUMIF('Monthly Data'!$B:$B,$AL11,'Monthly Data'!W:W)</f>
        <v>304924.64673359279</v>
      </c>
      <c r="AO11" s="43">
        <f>SUMIF('Monthly Data'!$B:$B,$AL11,'Monthly Data'!X:X)</f>
        <v>287692355.77954358</v>
      </c>
      <c r="AP11" s="43"/>
      <c r="AQ11" s="43">
        <f>SUMIF('LU Normalized Monthly'!$C:$C,AL11,'LU Normalized Monthly'!$M:$M)</f>
        <v>284582657.43975288</v>
      </c>
      <c r="AR11" s="43">
        <f t="shared" si="32"/>
        <v>304924.64673359279</v>
      </c>
      <c r="AS11" s="43">
        <f t="shared" si="33"/>
        <v>284277732.79301929</v>
      </c>
      <c r="AU11" s="42">
        <f t="shared" si="21"/>
        <v>2018</v>
      </c>
      <c r="AV11" s="43">
        <f>SUMIF('Monthly Data'!$B:$B,$AU11,'Monthly Data'!AA:AA)</f>
        <v>3664817.2994635967</v>
      </c>
      <c r="AW11" s="43">
        <f>'Connection Count'!W12</f>
        <v>10067.666666666666</v>
      </c>
      <c r="AX11" s="43">
        <f t="shared" si="34"/>
        <v>364.01853784030692</v>
      </c>
      <c r="AY11" s="43">
        <f t="shared" si="35"/>
        <v>3664817.2994635962</v>
      </c>
      <c r="BA11" s="42">
        <f t="shared" si="22"/>
        <v>2018</v>
      </c>
      <c r="BB11" s="43">
        <f>SUMIF('Monthly Data'!$B:$B,$BA11,'Monthly Data'!AD:AD)</f>
        <v>453200.06129471678</v>
      </c>
      <c r="BC11" s="43">
        <f>'Connection Count'!AA12</f>
        <v>384.5</v>
      </c>
      <c r="BD11" s="43">
        <f t="shared" si="36"/>
        <v>1178.6737614947122</v>
      </c>
      <c r="BE11" s="43">
        <f t="shared" si="37"/>
        <v>453200.06129471684</v>
      </c>
      <c r="BG11" s="42">
        <f t="shared" si="23"/>
        <v>2018</v>
      </c>
      <c r="BH11" s="43">
        <f>SUMIF('Monthly Data'!$B:$B,$BG11,'Monthly Data'!AG:AG)</f>
        <v>2052963.2462899708</v>
      </c>
      <c r="BI11" s="43">
        <f>'Connection Count'!AE12</f>
        <v>256.41666666666669</v>
      </c>
      <c r="BJ11" s="43">
        <f t="shared" si="38"/>
        <v>8006.3565016183447</v>
      </c>
      <c r="BK11" s="43">
        <f t="shared" si="39"/>
        <v>2052963.2462899708</v>
      </c>
      <c r="BM11" s="42"/>
      <c r="BN11" s="43"/>
      <c r="BO11" s="43"/>
      <c r="BP11" s="43"/>
      <c r="BQ11" s="43"/>
    </row>
    <row r="12" spans="2:70">
      <c r="B12" s="42">
        <f t="shared" si="16"/>
        <v>2019</v>
      </c>
      <c r="C12" s="43">
        <f>SUMIF('Monthly Data'!$B:$B,B12,'Monthly Data'!D:D)</f>
        <v>251122549</v>
      </c>
      <c r="D12" s="43">
        <f>SUMIF('Monthly Data'!$B:$B,B12,'Monthly Data'!E:E)</f>
        <v>16025383.469746001</v>
      </c>
      <c r="E12" s="43">
        <f>SUMIF('Monthly Data'!$B:$B,B12,'Monthly Data'!F:F)</f>
        <v>267147932.46974608</v>
      </c>
      <c r="F12" s="43"/>
      <c r="G12" s="43">
        <f ca="1">SUMIF('Res Normalized Monthly'!$C:$C,B12,'Res Normalized Monthly'!$W:$W)</f>
        <v>270391652.48651719</v>
      </c>
      <c r="H12" s="43">
        <f t="shared" si="24"/>
        <v>16025383.469746001</v>
      </c>
      <c r="I12" s="43">
        <f t="shared" ca="1" si="25"/>
        <v>254366269.0167712</v>
      </c>
      <c r="K12" s="42">
        <f t="shared" si="17"/>
        <v>2019</v>
      </c>
      <c r="L12" s="43">
        <f>SUMIF('Monthly Data'!$B:$B,K12,'Monthly Data'!H:H)</f>
        <v>101723563</v>
      </c>
      <c r="M12" s="43">
        <f>SUMIF('Monthly Data'!$B:$B,K12,'Monthly Data'!I:I)</f>
        <v>4366657.6579484949</v>
      </c>
      <c r="N12" s="43">
        <f>SUMIF('Monthly Data'!$B:$B,K12,'Monthly Data'!J:J)</f>
        <v>106090220.65794849</v>
      </c>
      <c r="O12" s="43"/>
      <c r="P12" s="43">
        <f ca="1">SUMIF('GS&lt;50 Normalized Monthly'!$C:$C,K12,'GS&lt;50 Normalized Monthly'!$O:$O)</f>
        <v>107634820.32312289</v>
      </c>
      <c r="Q12" s="43">
        <f t="shared" si="26"/>
        <v>4366657.6579484949</v>
      </c>
      <c r="R12" s="43">
        <f t="shared" ca="1" si="27"/>
        <v>103268162.66517439</v>
      </c>
      <c r="T12" s="42">
        <f t="shared" si="18"/>
        <v>2019</v>
      </c>
      <c r="U12" s="43">
        <f>SUMIF('Monthly Data'!$B:$B,$T12,'Monthly Data'!L:L)</f>
        <v>203960179.99720001</v>
      </c>
      <c r="V12" s="43">
        <f>SUMIF('Monthly Data'!$B:$B,$T12,'Monthly Data'!M:M)</f>
        <v>29173600.231760558</v>
      </c>
      <c r="W12" s="43">
        <f>SUMIF('Monthly Data'!$B:$B,$T12,'Monthly Data'!N:N)</f>
        <v>233133780.22896054</v>
      </c>
      <c r="X12" s="43"/>
      <c r="Y12" s="43">
        <f ca="1">SUMIF('GS&gt;50 Normalized Monthly'!$C:$C,T12,'GS&gt;50 Normalized Monthly'!$S:$S)</f>
        <v>228886630.77454352</v>
      </c>
      <c r="Z12" s="43">
        <f t="shared" si="28"/>
        <v>29173600.231760558</v>
      </c>
      <c r="AA12" s="43">
        <f t="shared" ca="1" si="29"/>
        <v>199713030.54278296</v>
      </c>
      <c r="AC12" s="42">
        <f t="shared" si="19"/>
        <v>2019</v>
      </c>
      <c r="AD12" s="43">
        <f>SUMIF('Monthly Data'!$B:$B,$AC12,'Monthly Data'!Q:Q)</f>
        <v>120082524.1001</v>
      </c>
      <c r="AE12" s="43">
        <f>SUMIF('Monthly Data'!$B:$B,$AC12,'Monthly Data'!R:R)</f>
        <v>2179633.1056948621</v>
      </c>
      <c r="AF12" s="43">
        <f>SUMIF('Monthly Data'!$B:$B,$AC12,'Monthly Data'!S:S)</f>
        <v>122262157.20579487</v>
      </c>
      <c r="AG12" s="43"/>
      <c r="AH12" s="43">
        <f ca="1">SUMIF('Int Normalized Monthly'!$C:$C,AC12,'Int Normalized Monthly'!$Q:$Q)</f>
        <v>124591593.4302758</v>
      </c>
      <c r="AI12" s="43">
        <f t="shared" si="30"/>
        <v>2179633.1056948621</v>
      </c>
      <c r="AJ12" s="43">
        <f t="shared" ca="1" si="31"/>
        <v>122411960.32458094</v>
      </c>
      <c r="AL12" s="42">
        <f t="shared" si="20"/>
        <v>2019</v>
      </c>
      <c r="AM12" s="43">
        <f>SUMIF('Monthly Data'!$B:$B,$AL12,'Monthly Data'!V:V)</f>
        <v>290955053</v>
      </c>
      <c r="AN12" s="43">
        <f>SUMIF('Monthly Data'!$B:$B,$AL12,'Monthly Data'!W:W)</f>
        <v>702953.08736945549</v>
      </c>
      <c r="AO12" s="43">
        <f>SUMIF('Monthly Data'!$B:$B,$AL12,'Monthly Data'!X:X)</f>
        <v>291658006.08736944</v>
      </c>
      <c r="AP12" s="43"/>
      <c r="AQ12" s="43">
        <f>SUMIF('LU Normalized Monthly'!$C:$C,AL12,'LU Normalized Monthly'!$M:$M)</f>
        <v>284448576.11860794</v>
      </c>
      <c r="AR12" s="43">
        <f t="shared" si="32"/>
        <v>702953.08736945549</v>
      </c>
      <c r="AS12" s="43">
        <f t="shared" si="33"/>
        <v>283745623.0312385</v>
      </c>
      <c r="AU12" s="42">
        <f t="shared" si="21"/>
        <v>2019</v>
      </c>
      <c r="AV12" s="43">
        <f>SUMIF('Monthly Data'!$B:$B,$AU12,'Monthly Data'!AA:AA)</f>
        <v>3457005</v>
      </c>
      <c r="AW12" s="43">
        <f>'Connection Count'!W13</f>
        <v>10100.416666666666</v>
      </c>
      <c r="AX12" s="43">
        <f t="shared" si="34"/>
        <v>342.26360298667549</v>
      </c>
      <c r="AY12" s="43">
        <f t="shared" si="35"/>
        <v>3457005</v>
      </c>
      <c r="BA12" s="42">
        <f t="shared" si="22"/>
        <v>2019</v>
      </c>
      <c r="BB12" s="43">
        <f>SUMIF('Monthly Data'!$B:$B,$BA12,'Monthly Data'!AD:AD)</f>
        <v>474592</v>
      </c>
      <c r="BC12" s="43">
        <f>'Connection Count'!AA13</f>
        <v>385.16666666666669</v>
      </c>
      <c r="BD12" s="43">
        <f t="shared" si="36"/>
        <v>1232.1730852444828</v>
      </c>
      <c r="BE12" s="43">
        <f t="shared" si="37"/>
        <v>474591.99999999994</v>
      </c>
      <c r="BG12" s="42">
        <f t="shared" si="23"/>
        <v>2019</v>
      </c>
      <c r="BH12" s="43">
        <f>SUMIF('Monthly Data'!$B:$B,$BG12,'Monthly Data'!AG:AG)</f>
        <v>2202858</v>
      </c>
      <c r="BI12" s="43">
        <f>'Connection Count'!AE13</f>
        <v>256.58333333333331</v>
      </c>
      <c r="BJ12" s="43">
        <f t="shared" si="38"/>
        <v>8585.35108801559</v>
      </c>
      <c r="BK12" s="43">
        <f t="shared" si="39"/>
        <v>2202858</v>
      </c>
      <c r="BM12" s="42"/>
      <c r="BN12" s="43"/>
      <c r="BO12" s="43"/>
      <c r="BP12" s="43"/>
      <c r="BQ12" s="43"/>
    </row>
    <row r="13" spans="2:70">
      <c r="B13" s="42">
        <f t="shared" si="16"/>
        <v>2020</v>
      </c>
      <c r="C13" s="43">
        <f>SUMIF('Monthly Data'!$B:$B,B13,'Monthly Data'!D:D)</f>
        <v>270338602</v>
      </c>
      <c r="D13" s="43">
        <f>SUMIF('Monthly Data'!$B:$B,B13,'Monthly Data'!E:E)</f>
        <v>15803149.984162042</v>
      </c>
      <c r="E13" s="43">
        <f>SUMIF('Monthly Data'!$B:$B,B13,'Monthly Data'!F:F)</f>
        <v>286141751.98416203</v>
      </c>
      <c r="F13" s="43"/>
      <c r="G13" s="43">
        <f ca="1">SUMIF('Res Normalized Monthly'!$C:$C,B13,'Res Normalized Monthly'!$W:$W)</f>
        <v>286699458.69083816</v>
      </c>
      <c r="H13" s="43">
        <f t="shared" si="24"/>
        <v>15803149.984162042</v>
      </c>
      <c r="I13" s="43">
        <f t="shared" ca="1" si="25"/>
        <v>270896308.70667613</v>
      </c>
      <c r="K13" s="42">
        <f t="shared" si="17"/>
        <v>2020</v>
      </c>
      <c r="L13" s="43">
        <f>SUMIF('Monthly Data'!$B:$B,K13,'Monthly Data'!H:H)</f>
        <v>94820549.66929999</v>
      </c>
      <c r="M13" s="43">
        <f>SUMIF('Monthly Data'!$B:$B,K13,'Monthly Data'!I:I)</f>
        <v>4829927.1726770988</v>
      </c>
      <c r="N13" s="43">
        <f>SUMIF('Monthly Data'!$B:$B,K13,'Monthly Data'!J:J)</f>
        <v>99650476.84197709</v>
      </c>
      <c r="O13" s="43"/>
      <c r="P13" s="43">
        <f ca="1">SUMIF('GS&lt;50 Normalized Monthly'!$C:$C,K13,'GS&lt;50 Normalized Monthly'!$O:$O)</f>
        <v>101890620.25726563</v>
      </c>
      <c r="Q13" s="43">
        <f t="shared" si="26"/>
        <v>4829927.1726770988</v>
      </c>
      <c r="R13" s="43">
        <f t="shared" ca="1" si="27"/>
        <v>97060693.084588528</v>
      </c>
      <c r="T13" s="42">
        <f t="shared" si="18"/>
        <v>2020</v>
      </c>
      <c r="U13" s="43">
        <f>SUMIF('Monthly Data'!$B:$B,$T13,'Monthly Data'!L:L)</f>
        <v>192408295.54519999</v>
      </c>
      <c r="V13" s="43">
        <f>SUMIF('Monthly Data'!$B:$B,$T13,'Monthly Data'!M:M)</f>
        <v>31958364.026779499</v>
      </c>
      <c r="W13" s="43">
        <f>SUMIF('Monthly Data'!$B:$B,$T13,'Monthly Data'!N:N)</f>
        <v>224366659.57197952</v>
      </c>
      <c r="X13" s="43"/>
      <c r="Y13" s="43">
        <f ca="1">SUMIF('GS&gt;50 Normalized Monthly'!$C:$C,T13,'GS&gt;50 Normalized Monthly'!$S:$S)</f>
        <v>224289107.92662156</v>
      </c>
      <c r="Z13" s="43">
        <f t="shared" si="28"/>
        <v>31958364.026779499</v>
      </c>
      <c r="AA13" s="43">
        <f t="shared" ca="1" si="29"/>
        <v>192330743.89984205</v>
      </c>
      <c r="AC13" s="42">
        <f t="shared" si="19"/>
        <v>2020</v>
      </c>
      <c r="AD13" s="43">
        <f>SUMIF('Monthly Data'!$B:$B,$AC13,'Monthly Data'!Q:Q)</f>
        <v>112049205.35920002</v>
      </c>
      <c r="AE13" s="43">
        <f>SUMIF('Monthly Data'!$B:$B,$AC13,'Monthly Data'!R:R)</f>
        <v>3904817.7114937031</v>
      </c>
      <c r="AF13" s="43">
        <f>SUMIF('Monthly Data'!$B:$B,$AC13,'Monthly Data'!S:S)</f>
        <v>115954023.0706937</v>
      </c>
      <c r="AG13" s="43"/>
      <c r="AH13" s="43">
        <f ca="1">SUMIF('Int Normalized Monthly'!$C:$C,AC13,'Int Normalized Monthly'!$Q:$Q)</f>
        <v>116283461.27211031</v>
      </c>
      <c r="AI13" s="43">
        <f t="shared" si="30"/>
        <v>3904817.7114937031</v>
      </c>
      <c r="AJ13" s="43">
        <f t="shared" ca="1" si="31"/>
        <v>112378643.56061661</v>
      </c>
      <c r="AL13" s="42">
        <f t="shared" si="20"/>
        <v>2020</v>
      </c>
      <c r="AM13" s="43">
        <f>SUMIF('Monthly Data'!$B:$B,$AL13,'Monthly Data'!V:V)</f>
        <v>281204845.03435504</v>
      </c>
      <c r="AN13" s="43">
        <f>SUMIF('Monthly Data'!$B:$B,$AL13,'Monthly Data'!W:W)</f>
        <v>1120181.8297546057</v>
      </c>
      <c r="AO13" s="43">
        <f>SUMIF('Monthly Data'!$B:$B,$AL13,'Monthly Data'!X:X)</f>
        <v>282325026.86410964</v>
      </c>
      <c r="AP13" s="43"/>
      <c r="AQ13" s="43">
        <f>SUMIF('LU Normalized Monthly'!$C:$C,AL13,'LU Normalized Monthly'!$M:$M)</f>
        <v>284410701.08000362</v>
      </c>
      <c r="AR13" s="43">
        <f t="shared" ref="AR13" si="40">AN13</f>
        <v>1120181.8297546057</v>
      </c>
      <c r="AS13" s="43">
        <f t="shared" ref="AS13" si="41">AQ13-AR13</f>
        <v>283290519.25024903</v>
      </c>
      <c r="AU13" s="42">
        <f t="shared" si="21"/>
        <v>2020</v>
      </c>
      <c r="AV13" s="43">
        <f>SUMIF('Monthly Data'!$B:$B,$AU13,'Monthly Data'!AA:AA)</f>
        <v>3449208.3879999998</v>
      </c>
      <c r="AW13" s="43">
        <f>'Connection Count'!W14</f>
        <v>10136.333333333334</v>
      </c>
      <c r="AX13" s="43">
        <f t="shared" ref="AX13:AX14" si="42">AV13/AW13</f>
        <v>340.28166542799823</v>
      </c>
      <c r="AY13" s="43">
        <f t="shared" ref="AY13:AY14" si="43">AX13*AW13</f>
        <v>3449208.3879999998</v>
      </c>
      <c r="BA13" s="42">
        <f t="shared" si="22"/>
        <v>2020</v>
      </c>
      <c r="BB13" s="43">
        <f>SUMIF('Monthly Data'!$B:$B,$BA13,'Monthly Data'!AD:AD)</f>
        <v>439110</v>
      </c>
      <c r="BC13" s="43">
        <f>'Connection Count'!AA14</f>
        <v>370.58333333333331</v>
      </c>
      <c r="BD13" s="43">
        <f t="shared" ref="BD13" si="44">BB13/BC13</f>
        <v>1184.9156734877447</v>
      </c>
      <c r="BE13" s="43">
        <f t="shared" ref="BE13" si="45">BD13*BC13</f>
        <v>439110.00000000006</v>
      </c>
      <c r="BG13" s="42">
        <f t="shared" si="23"/>
        <v>2020</v>
      </c>
      <c r="BH13" s="43">
        <f>SUMIF('Monthly Data'!$B:$B,$BG13,'Monthly Data'!AG:AG)</f>
        <v>2209114</v>
      </c>
      <c r="BI13" s="43">
        <f>'Connection Count'!AE14</f>
        <v>253.25</v>
      </c>
      <c r="BJ13" s="43">
        <f t="shared" ref="BJ13" si="46">BH13/BI13</f>
        <v>8723.0562685093773</v>
      </c>
      <c r="BK13" s="43">
        <f t="shared" ref="BK13:BK15" si="47">BJ13*BI13</f>
        <v>2209114</v>
      </c>
      <c r="BM13" s="42"/>
      <c r="BN13" s="43"/>
      <c r="BO13" s="43"/>
      <c r="BP13" s="43"/>
      <c r="BQ13" s="43"/>
    </row>
    <row r="14" spans="2:70">
      <c r="B14" s="42">
        <f t="shared" si="16"/>
        <v>2021</v>
      </c>
      <c r="C14" s="43">
        <f>SUMIF('Monthly Data'!$B:$B,B14,'Monthly Data'!D:D)</f>
        <v>275475848.21988314</v>
      </c>
      <c r="D14" s="43">
        <f>SUMIF('Monthly Data'!$B:$B,B14,'Monthly Data'!E:E)</f>
        <v>15387259.555475704</v>
      </c>
      <c r="E14" s="43">
        <f>SUMIF('Monthly Data'!$B:$B,B14,'Monthly Data'!F:F)</f>
        <v>290863007.77535892</v>
      </c>
      <c r="F14" s="43"/>
      <c r="G14" s="43">
        <f ca="1">SUMIF('Res Normalized Monthly'!$C:$C,B14,'Res Normalized Monthly'!$W:$W)</f>
        <v>294960684.479532</v>
      </c>
      <c r="H14" s="43">
        <f t="shared" ref="H14:H15" si="48">D14</f>
        <v>15387259.555475704</v>
      </c>
      <c r="I14" s="43">
        <f t="shared" ref="I14:I15" ca="1" si="49">G14-H14</f>
        <v>279573424.92405629</v>
      </c>
      <c r="K14" s="42">
        <f t="shared" si="17"/>
        <v>2021</v>
      </c>
      <c r="L14" s="43">
        <f>SUMIF('Monthly Data'!$B:$B,K14,'Monthly Data'!H:H)</f>
        <v>98943526.028734013</v>
      </c>
      <c r="M14" s="43">
        <f>SUMIF('Monthly Data'!$B:$B,K14,'Monthly Data'!I:I)</f>
        <v>5366054.9851967655</v>
      </c>
      <c r="N14" s="43">
        <f>SUMIF('Monthly Data'!$B:$B,K14,'Monthly Data'!J:J)</f>
        <v>104309581.01393077</v>
      </c>
      <c r="O14" s="43"/>
      <c r="P14" s="43">
        <f ca="1">SUMIF('GS&lt;50 Normalized Monthly'!$C:$C,K14,'GS&lt;50 Normalized Monthly'!$O:$O)</f>
        <v>104546221.85515428</v>
      </c>
      <c r="Q14" s="43">
        <f t="shared" ref="Q14:Q15" si="50">M14</f>
        <v>5366054.9851967655</v>
      </c>
      <c r="R14" s="43">
        <f t="shared" ref="R14" ca="1" si="51">P14-Q14</f>
        <v>99180166.869957507</v>
      </c>
      <c r="T14" s="42">
        <f t="shared" si="18"/>
        <v>2021</v>
      </c>
      <c r="U14" s="43">
        <f>SUMIF('Monthly Data'!$B:$B,$T14,'Monthly Data'!L:L)</f>
        <v>190301136.7771</v>
      </c>
      <c r="V14" s="43">
        <f>SUMIF('Monthly Data'!$B:$B,$T14,'Monthly Data'!M:M)</f>
        <v>34217184.740790538</v>
      </c>
      <c r="W14" s="43">
        <f>SUMIF('Monthly Data'!$B:$B,$T14,'Monthly Data'!N:N)</f>
        <v>224518321.51789057</v>
      </c>
      <c r="X14" s="43"/>
      <c r="Y14" s="43">
        <f ca="1">SUMIF('GS&gt;50 Normalized Monthly'!$C:$C,T14,'GS&gt;50 Normalized Monthly'!$S:$S)</f>
        <v>228521558.85237232</v>
      </c>
      <c r="Z14" s="43">
        <f t="shared" ref="Z14:Z15" si="52">V14</f>
        <v>34217184.740790538</v>
      </c>
      <c r="AA14" s="43">
        <f t="shared" ref="AA14:AA15" ca="1" si="53">Y14-Z14</f>
        <v>194304374.11158177</v>
      </c>
      <c r="AC14" s="42">
        <f t="shared" si="19"/>
        <v>2021</v>
      </c>
      <c r="AD14" s="43">
        <f>SUMIF('Monthly Data'!$B:$B,$AC14,'Monthly Data'!Q:Q)</f>
        <v>120904790.80819997</v>
      </c>
      <c r="AE14" s="43">
        <f>SUMIF('Monthly Data'!$B:$B,$AC14,'Monthly Data'!R:R)</f>
        <v>4971763.464735399</v>
      </c>
      <c r="AF14" s="43">
        <f>SUMIF('Monthly Data'!$B:$B,$AC14,'Monthly Data'!S:S)</f>
        <v>125876554.27293536</v>
      </c>
      <c r="AG14" s="43"/>
      <c r="AH14" s="43">
        <f ca="1">SUMIF('Int Normalized Monthly'!$C:$C,AC14,'Int Normalized Monthly'!$Q:$Q)</f>
        <v>123160334.38779832</v>
      </c>
      <c r="AI14" s="43">
        <f t="shared" ref="AI14:AI15" si="54">AE14</f>
        <v>4971763.464735399</v>
      </c>
      <c r="AJ14" s="43">
        <f t="shared" ref="AJ14:AJ15" ca="1" si="55">AH14-AI14</f>
        <v>118188570.92306292</v>
      </c>
      <c r="AL14" s="42">
        <f t="shared" si="20"/>
        <v>2021</v>
      </c>
      <c r="AM14" s="43">
        <f>SUMIF('Monthly Data'!$B:$B,$AL14,'Monthly Data'!V:V)</f>
        <v>266221942.0420725</v>
      </c>
      <c r="AN14" s="43">
        <f>SUMIF('Monthly Data'!$B:$B,$AL14,'Monthly Data'!W:W)</f>
        <v>2247160.6969241542</v>
      </c>
      <c r="AO14" s="43">
        <f>SUMIF('Monthly Data'!$B:$B,$AL14,'Monthly Data'!X:X)</f>
        <v>268469102.73899668</v>
      </c>
      <c r="AP14" s="43"/>
      <c r="AQ14" s="43">
        <f>SUMIF('LU Normalized Monthly'!$C:$C,AL14,'LU Normalized Monthly'!$M:$M)</f>
        <v>283394209.36596793</v>
      </c>
      <c r="AR14" s="43">
        <f t="shared" ref="AR14:AR15" si="56">AN14</f>
        <v>2247160.6969241542</v>
      </c>
      <c r="AS14" s="43">
        <f t="shared" ref="AS14:AS15" si="57">AQ14-AR14</f>
        <v>281147048.66904378</v>
      </c>
      <c r="AU14" s="42">
        <f t="shared" si="21"/>
        <v>2021</v>
      </c>
      <c r="AV14" s="43">
        <f>SUMIF('Monthly Data'!$B:$B,$AU14,'Monthly Data'!AA:AA)</f>
        <v>3351424.9544093632</v>
      </c>
      <c r="AW14" s="43">
        <f>'Connection Count'!W15</f>
        <v>10161</v>
      </c>
      <c r="AX14" s="43">
        <f t="shared" si="42"/>
        <v>329.83219706813929</v>
      </c>
      <c r="AY14" s="43">
        <f t="shared" si="43"/>
        <v>3351424.9544093632</v>
      </c>
      <c r="BA14" s="42">
        <f t="shared" si="22"/>
        <v>2021</v>
      </c>
      <c r="BB14" s="43">
        <f>SUMIF('Monthly Data'!$B:$B,$BA14,'Monthly Data'!AD:AD)</f>
        <v>433167.95999999985</v>
      </c>
      <c r="BC14" s="43">
        <f>'Connection Count'!AA15</f>
        <v>366.91666666666669</v>
      </c>
      <c r="BD14" s="43">
        <f t="shared" ref="BD14:BD15" si="58">BB14/BC14</f>
        <v>1180.5622348398815</v>
      </c>
      <c r="BE14" s="43">
        <f t="shared" ref="BE14:BE15" si="59">BD14*BC14</f>
        <v>433167.9599999999</v>
      </c>
      <c r="BG14" s="42">
        <f t="shared" si="23"/>
        <v>2021</v>
      </c>
      <c r="BH14" s="43">
        <f>SUMIF('Monthly Data'!$B:$B,$BG14,'Monthly Data'!AG:AG)</f>
        <v>2181430.8754999968</v>
      </c>
      <c r="BI14" s="43">
        <f>'Connection Count'!AE15</f>
        <v>242.91666666666666</v>
      </c>
      <c r="BJ14" s="43">
        <f>BH14/BI14</f>
        <v>8980.1614085763158</v>
      </c>
      <c r="BK14" s="43">
        <f t="shared" si="47"/>
        <v>2181430.8754999968</v>
      </c>
      <c r="BM14" s="45">
        <v>2021</v>
      </c>
      <c r="BN14" s="44">
        <f>SUM(BN66:BN77)</f>
        <v>2228734.8754999968</v>
      </c>
      <c r="BO14" s="44">
        <f>AVERAGE(BO66:BO77)</f>
        <v>345.91666666666669</v>
      </c>
      <c r="BP14" s="44">
        <f>BN14/BO14</f>
        <v>6442.9820539628909</v>
      </c>
      <c r="BQ14" s="44">
        <f>BP14*BO14</f>
        <v>2228734.8754999968</v>
      </c>
      <c r="BR14" s="4"/>
    </row>
    <row r="15" spans="2:70">
      <c r="B15" s="42">
        <f t="shared" si="16"/>
        <v>2022</v>
      </c>
      <c r="C15" s="43">
        <f>SUMIF('Monthly Data'!$B:$B,B15,'Monthly Data'!D:D)</f>
        <v>274162832</v>
      </c>
      <c r="D15" s="43">
        <f>SUMIF('Monthly Data'!$B:$B,B15,'Monthly Data'!E:E)</f>
        <v>15602303.918396948</v>
      </c>
      <c r="E15" s="43">
        <f>SUMIF('Monthly Data'!$B:$B,B15,'Monthly Data'!F:F)</f>
        <v>289765135.91839689</v>
      </c>
      <c r="F15" s="43"/>
      <c r="G15" s="43">
        <f ca="1">SUMIF('Res Normalized Monthly'!$C:$C,B15,'Res Normalized Monthly'!$W:$W)</f>
        <v>289033045.13334149</v>
      </c>
      <c r="H15" s="43">
        <f t="shared" si="48"/>
        <v>15602303.918396948</v>
      </c>
      <c r="I15" s="43">
        <f t="shared" ca="1" si="49"/>
        <v>273430741.21494454</v>
      </c>
      <c r="K15" s="42">
        <f t="shared" si="17"/>
        <v>2022</v>
      </c>
      <c r="L15" s="43">
        <f>SUMIF('Monthly Data'!$B:$B,K15,'Monthly Data'!H:H)</f>
        <v>103737562</v>
      </c>
      <c r="M15" s="43">
        <f>SUMIF('Monthly Data'!$B:$B,K15,'Monthly Data'!I:I)</f>
        <v>5892917.8494603606</v>
      </c>
      <c r="N15" s="43">
        <f>SUMIF('Monthly Data'!$B:$B,K15,'Monthly Data'!J:J)</f>
        <v>109630479.84946035</v>
      </c>
      <c r="O15" s="43"/>
      <c r="P15" s="43">
        <f ca="1">SUMIF('GS&lt;50 Normalized Monthly'!$C:$C,K15,'GS&lt;50 Normalized Monthly'!$O:$O)</f>
        <v>109448513.71216038</v>
      </c>
      <c r="Q15" s="43">
        <f t="shared" si="50"/>
        <v>5892917.8494603606</v>
      </c>
      <c r="R15" s="43">
        <f ca="1">P15-Q15</f>
        <v>103555595.86270002</v>
      </c>
      <c r="T15" s="45">
        <f t="shared" si="18"/>
        <v>2022</v>
      </c>
      <c r="U15" s="43">
        <f>SUMIF('Monthly Data'!$B:$B,$T15,'Monthly Data'!L:L)</f>
        <v>192460921</v>
      </c>
      <c r="V15" s="43">
        <f>SUMIF('Monthly Data'!$B:$B,$T15,'Monthly Data'!M:M)</f>
        <v>36592476.734313823</v>
      </c>
      <c r="W15" s="43">
        <f>SUMIF('Monthly Data'!$B:$B,$T15,'Monthly Data'!N:N)</f>
        <v>229053397.73431376</v>
      </c>
      <c r="X15" s="43"/>
      <c r="Y15" s="43">
        <f ca="1">SUMIF('GS&gt;50 Normalized Monthly'!$C:$C,T15,'GS&gt;50 Normalized Monthly'!$S:$S)</f>
        <v>228092996.16112787</v>
      </c>
      <c r="Z15" s="43">
        <f t="shared" si="52"/>
        <v>36592476.734313823</v>
      </c>
      <c r="AA15" s="43">
        <f t="shared" ca="1" si="53"/>
        <v>191500519.42681405</v>
      </c>
      <c r="AC15" s="42">
        <f t="shared" si="19"/>
        <v>2022</v>
      </c>
      <c r="AD15" s="43">
        <f>SUMIF('Monthly Data'!$B:$B,$AC15,'Monthly Data'!Q:Q)</f>
        <v>118197172</v>
      </c>
      <c r="AE15" s="43">
        <f>SUMIF('Monthly Data'!$B:$B,$AC15,'Monthly Data'!R:R)</f>
        <v>4827966.3834795784</v>
      </c>
      <c r="AF15" s="43">
        <f>SUMIF('Monthly Data'!$B:$B,$AC15,'Monthly Data'!S:S)</f>
        <v>123025138.38347955</v>
      </c>
      <c r="AG15" s="43"/>
      <c r="AH15" s="43">
        <f ca="1">SUMIF('Int Normalized Monthly'!$C:$C,AC15,'Int Normalized Monthly'!$Q:$Q)</f>
        <v>122444704.86655958</v>
      </c>
      <c r="AI15" s="43">
        <f t="shared" si="54"/>
        <v>4827966.3834795784</v>
      </c>
      <c r="AJ15" s="43">
        <f t="shared" ca="1" si="55"/>
        <v>117616738.48308</v>
      </c>
      <c r="AL15" s="42">
        <f t="shared" si="20"/>
        <v>2022</v>
      </c>
      <c r="AM15" s="43">
        <f>SUMIF('Monthly Data'!$B:$B,$AL15,'Monthly Data'!V:V)</f>
        <v>269705145</v>
      </c>
      <c r="AN15" s="43">
        <f>SUMIF('Monthly Data'!$B:$B,$AL15,'Monthly Data'!W:W)</f>
        <v>3463632.8971217801</v>
      </c>
      <c r="AO15" s="43">
        <f>SUMIF('Monthly Data'!$B:$B,$AL15,'Monthly Data'!X:X)</f>
        <v>273168777.89712179</v>
      </c>
      <c r="AP15" s="43"/>
      <c r="AQ15" s="43">
        <f>SUMIF('LU Normalized Monthly'!$C:$C,AL15,'LU Normalized Monthly'!$M:$M)</f>
        <v>283967026.10101849</v>
      </c>
      <c r="AR15" s="43">
        <f t="shared" si="56"/>
        <v>3463632.8971217801</v>
      </c>
      <c r="AS15" s="43">
        <f t="shared" si="57"/>
        <v>280503393.2038967</v>
      </c>
      <c r="AU15" s="42">
        <f t="shared" si="21"/>
        <v>2022</v>
      </c>
      <c r="AV15" s="43">
        <f>SUMIF('Monthly Data'!$B:$B,$AU15,'Monthly Data'!AA:AA)</f>
        <v>3056605</v>
      </c>
      <c r="AW15" s="43">
        <f>'Connection Count'!W16</f>
        <v>10176.833333333334</v>
      </c>
      <c r="AX15" s="43">
        <f t="shared" ref="AX15" si="60">AV15/AW15</f>
        <v>300.3493228083392</v>
      </c>
      <c r="AY15" s="43">
        <f t="shared" ref="AY15" si="61">AX15*AW15</f>
        <v>3056605</v>
      </c>
      <c r="BA15" s="42">
        <f t="shared" si="22"/>
        <v>2022</v>
      </c>
      <c r="BB15" s="43">
        <f>SUMIF('Monthly Data'!$B:$B,$BA15,'Monthly Data'!AD:AD)</f>
        <v>428801</v>
      </c>
      <c r="BC15" s="43">
        <f>'Connection Count'!AA16</f>
        <v>364.16666666666669</v>
      </c>
      <c r="BD15" s="43">
        <f t="shared" si="58"/>
        <v>1177.4855835240273</v>
      </c>
      <c r="BE15" s="43">
        <f t="shared" si="59"/>
        <v>428801</v>
      </c>
      <c r="BG15" s="42">
        <f t="shared" si="23"/>
        <v>2022</v>
      </c>
      <c r="BH15" s="43">
        <f>SUMIF('Monthly Data'!$B:$B,$BG15,'Monthly Data'!AG:AG)</f>
        <v>2168627</v>
      </c>
      <c r="BI15" s="43">
        <f>'Connection Count'!AE16</f>
        <v>236.33333333333334</v>
      </c>
      <c r="BJ15" s="43">
        <f>BH15/BI15</f>
        <v>9176.1368124118471</v>
      </c>
      <c r="BK15" s="43">
        <f t="shared" si="47"/>
        <v>2168627</v>
      </c>
      <c r="BM15" s="45">
        <f>BM14+1</f>
        <v>2022</v>
      </c>
      <c r="BN15" s="44">
        <f>SUM(BN78:BN89)</f>
        <v>2215931</v>
      </c>
      <c r="BO15" s="44">
        <f>AVERAGE('Connection Count'!AE29:AE40)+'Connection Count'!AE20</f>
        <v>339.33333333333337</v>
      </c>
      <c r="BP15" s="44">
        <f>BN15/BO15</f>
        <v>6530.2485265225923</v>
      </c>
      <c r="BQ15" s="44">
        <f>BP15*BO15</f>
        <v>2215931</v>
      </c>
      <c r="BR15" s="4"/>
    </row>
    <row r="16" spans="2:70">
      <c r="B16" s="45">
        <f t="shared" si="16"/>
        <v>2023</v>
      </c>
      <c r="C16" s="42"/>
      <c r="D16" s="42"/>
      <c r="E16" s="42"/>
      <c r="F16" s="42"/>
      <c r="G16" s="44">
        <f ca="1">SUMIF('Res Normalized Monthly'!$C:$C,B16,'Res Normalized Monthly'!$W:$W)</f>
        <v>283665551.05661929</v>
      </c>
      <c r="H16" s="44">
        <f>'Historic CDM'!C130</f>
        <v>15499274.311623618</v>
      </c>
      <c r="I16" s="44">
        <f t="shared" ref="I16" ca="1" si="62">G16-H16</f>
        <v>268166276.74499565</v>
      </c>
      <c r="K16" s="45">
        <v>2023</v>
      </c>
      <c r="L16" s="42"/>
      <c r="M16" s="42"/>
      <c r="N16" s="42"/>
      <c r="O16" s="42"/>
      <c r="P16" s="44">
        <f ca="1">SUMIF('GS&lt;50 Normalized Monthly'!$C:$C,K16,'GS&lt;50 Normalized Monthly'!$O:$O)</f>
        <v>111188855.01759173</v>
      </c>
      <c r="Q16" s="44">
        <f>'Historic CDM'!D130</f>
        <v>5804821.3541641245</v>
      </c>
      <c r="R16" s="44">
        <f t="shared" ca="1" si="27"/>
        <v>105384033.66342761</v>
      </c>
      <c r="T16" s="45">
        <f t="shared" si="18"/>
        <v>2023</v>
      </c>
      <c r="U16" s="42"/>
      <c r="V16" s="42"/>
      <c r="W16" s="42"/>
      <c r="X16" s="42"/>
      <c r="Y16" s="44">
        <f ca="1">SUMIF('GS&gt;50 Normalized Monthly'!$C:$C,T16,'GS&gt;50 Normalized Monthly'!$S:$S)</f>
        <v>226765404.17980623</v>
      </c>
      <c r="Z16" s="44">
        <f>'Historic CDM'!E130+'Historic CDM'!Q130</f>
        <v>35950351.39481888</v>
      </c>
      <c r="AA16" s="44">
        <f t="shared" ref="AA16" ca="1" si="63">Y16-Z16</f>
        <v>190815052.78498736</v>
      </c>
      <c r="AC16" s="45">
        <f t="shared" si="19"/>
        <v>2023</v>
      </c>
      <c r="AD16" s="42"/>
      <c r="AE16" s="42"/>
      <c r="AF16" s="42"/>
      <c r="AG16" s="42"/>
      <c r="AH16" s="44">
        <f ca="1">SUMIF('Int Normalized Monthly'!$C:$C,AC16,'Int Normalized Monthly'!$Q:$Q)</f>
        <v>121729075.34532085</v>
      </c>
      <c r="AI16" s="44">
        <f>'Historic CDM'!F130+'Historic CDM'!R130</f>
        <v>4809895.2885449231</v>
      </c>
      <c r="AJ16" s="44">
        <f ca="1">AH16-AI16</f>
        <v>116919180.05677593</v>
      </c>
      <c r="AL16" s="45">
        <f t="shared" si="20"/>
        <v>2023</v>
      </c>
      <c r="AM16" s="42"/>
      <c r="AN16" s="42"/>
      <c r="AO16" s="42"/>
      <c r="AP16" s="42"/>
      <c r="AQ16" s="44">
        <f>SUMIF('LU Normalized Monthly'!$C:$C,AL16,'LU Normalized Monthly'!$M:$M)</f>
        <v>284080891.08242017</v>
      </c>
      <c r="AR16" s="44">
        <f>'Historic CDM'!J130+'Historic CDM'!V130</f>
        <v>3449523.2122953492</v>
      </c>
      <c r="AS16" s="44">
        <f>AQ16-AR16</f>
        <v>280631367.87012482</v>
      </c>
      <c r="AU16" s="45">
        <f t="shared" si="21"/>
        <v>2023</v>
      </c>
      <c r="AV16" s="42"/>
      <c r="AW16" s="43">
        <f>'Connection Count'!W17</f>
        <v>10193.336726587562</v>
      </c>
      <c r="AX16" s="43">
        <f>AX15</f>
        <v>300.3493228083392</v>
      </c>
      <c r="AY16" s="44">
        <f t="shared" ref="AY16" si="64">AX16*AW16</f>
        <v>3061561.7829879471</v>
      </c>
      <c r="BA16" s="45">
        <f t="shared" si="22"/>
        <v>2023</v>
      </c>
      <c r="BB16" s="42"/>
      <c r="BC16" s="43">
        <f>'Connection Count'!AA17</f>
        <v>357.72843293346529</v>
      </c>
      <c r="BD16" s="43">
        <f>BD15</f>
        <v>1177.4855835240273</v>
      </c>
      <c r="BE16" s="44">
        <f>BD16*BC16</f>
        <v>421220.07259579725</v>
      </c>
      <c r="BG16" s="45">
        <f>BG15+1</f>
        <v>2023</v>
      </c>
      <c r="BH16" s="42"/>
      <c r="BI16" s="43"/>
      <c r="BJ16" s="43"/>
      <c r="BK16" s="44"/>
      <c r="BM16" s="45">
        <f>BM15+1</f>
        <v>2023</v>
      </c>
      <c r="BN16" s="42"/>
      <c r="BO16" s="44">
        <f>'Connection Count'!AE17</f>
        <v>336.63316318992327</v>
      </c>
      <c r="BP16" s="44">
        <f>BP15</f>
        <v>6530.2485265225923</v>
      </c>
      <c r="BQ16" s="44">
        <f>BP16*BO16</f>
        <v>2198298.2178996359</v>
      </c>
      <c r="BR16" s="4"/>
    </row>
    <row r="20" spans="50:52">
      <c r="AX20" s="4"/>
    </row>
    <row r="21" spans="50:52">
      <c r="AX21" s="4"/>
      <c r="AY21" s="4"/>
    </row>
    <row r="22" spans="50:52">
      <c r="AX22" s="4"/>
      <c r="AY22" s="4"/>
      <c r="AZ22" s="4"/>
    </row>
    <row r="23" spans="50:52">
      <c r="AX23" s="4"/>
      <c r="AY23" s="4"/>
      <c r="AZ23" s="4"/>
    </row>
    <row r="24" spans="50:52">
      <c r="AX24" s="4"/>
      <c r="AY24" s="4"/>
      <c r="AZ24" s="4"/>
    </row>
    <row r="25" spans="50:52">
      <c r="AX25" s="4"/>
      <c r="AY25" s="4"/>
      <c r="AZ25" s="4"/>
    </row>
    <row r="26" spans="50:52">
      <c r="AX26" s="4"/>
      <c r="AY26" s="4"/>
      <c r="AZ26" s="4"/>
    </row>
    <row r="27" spans="50:52">
      <c r="AX27" s="4"/>
      <c r="AY27" s="4"/>
    </row>
    <row r="53" spans="46:67">
      <c r="AV53" t="s">
        <v>70</v>
      </c>
      <c r="AW53" t="s">
        <v>243</v>
      </c>
      <c r="AX53" t="s">
        <v>244</v>
      </c>
      <c r="BB53" t="s">
        <v>70</v>
      </c>
      <c r="BC53" t="s">
        <v>243</v>
      </c>
      <c r="BD53" t="s">
        <v>244</v>
      </c>
      <c r="BH53" t="s">
        <v>70</v>
      </c>
      <c r="BI53" t="s">
        <v>243</v>
      </c>
      <c r="BJ53" t="s">
        <v>244</v>
      </c>
    </row>
    <row r="54" spans="46:67">
      <c r="AT54">
        <v>2020</v>
      </c>
      <c r="AU54" t="str">
        <f>AU66</f>
        <v>Jan</v>
      </c>
      <c r="AV54" s="6">
        <f>'Monthly Data'!AA98</f>
        <v>361046.91109999997</v>
      </c>
      <c r="AW54" s="6">
        <f>'Monthly Data'!AC98</f>
        <v>10120</v>
      </c>
      <c r="AX54" s="120">
        <f>AV54/AW54/'Monthly Data'!CF98</f>
        <v>1.1508571691317098</v>
      </c>
      <c r="AZ54">
        <v>2020</v>
      </c>
      <c r="BA54" t="str">
        <f>BA66</f>
        <v>Jan</v>
      </c>
      <c r="BB54" s="6">
        <f>'Monthly Data'!AD98</f>
        <v>37740</v>
      </c>
      <c r="BC54" s="6">
        <f>'Monthly Data'!AF98</f>
        <v>377</v>
      </c>
      <c r="BD54" s="85">
        <f>BB54/BC54/'Monthly Data'!CF98</f>
        <v>3.2292290579276117</v>
      </c>
      <c r="BE54" s="6"/>
      <c r="BF54">
        <v>2020</v>
      </c>
      <c r="BG54" t="str">
        <f>BG66</f>
        <v>Jan</v>
      </c>
      <c r="BH54" s="6">
        <f>'Monthly Data'!AG98</f>
        <v>187474</v>
      </c>
      <c r="BI54" s="6">
        <f>'Monthly Data'!AH98</f>
        <v>254</v>
      </c>
      <c r="BJ54" s="85">
        <f>BH54/BI54/'Monthly Data'!CF98</f>
        <v>23.809245618491236</v>
      </c>
    </row>
    <row r="55" spans="46:67">
      <c r="AU55" t="str">
        <f t="shared" ref="AU55:AU65" si="65">AU67</f>
        <v>Feb</v>
      </c>
      <c r="AV55" s="6">
        <f>'Monthly Data'!AA99</f>
        <v>311246.44910000003</v>
      </c>
      <c r="AW55" s="6">
        <f>'Monthly Data'!AC99</f>
        <v>10120</v>
      </c>
      <c r="AX55" s="120">
        <f>AV55/AW55/'Monthly Data'!CF99</f>
        <v>1.0605371715278724</v>
      </c>
      <c r="BA55" t="str">
        <f t="shared" ref="BA55:BA65" si="66">BA67</f>
        <v>Feb</v>
      </c>
      <c r="BB55" s="6">
        <f>'Monthly Data'!AD99</f>
        <v>35409</v>
      </c>
      <c r="BC55" s="6">
        <f>'Monthly Data'!AF99</f>
        <v>377</v>
      </c>
      <c r="BD55" s="85">
        <f>BB55/BC55/'Monthly Data'!CF99</f>
        <v>3.2387267904509285</v>
      </c>
      <c r="BE55" s="6"/>
      <c r="BG55" t="str">
        <f t="shared" ref="BG55:BG65" si="67">BG67</f>
        <v>Feb</v>
      </c>
      <c r="BH55" s="6">
        <f>'Monthly Data'!AG99</f>
        <v>175380</v>
      </c>
      <c r="BI55" s="6">
        <f>'Monthly Data'!AH99</f>
        <v>254</v>
      </c>
      <c r="BJ55" s="85">
        <f>BH55/BI55/'Monthly Data'!CF99</f>
        <v>23.809394515340756</v>
      </c>
    </row>
    <row r="56" spans="46:67">
      <c r="AU56" t="str">
        <f t="shared" si="65"/>
        <v>Mar</v>
      </c>
      <c r="AV56" s="6">
        <f>'Monthly Data'!AA100</f>
        <v>297441.027</v>
      </c>
      <c r="AW56" s="6">
        <f>'Monthly Data'!AC100</f>
        <v>10127</v>
      </c>
      <c r="AX56" s="120">
        <f>AV56/AW56/'Monthly Data'!CF100</f>
        <v>0.9474545115739782</v>
      </c>
      <c r="BA56" t="str">
        <f t="shared" si="66"/>
        <v>Mar</v>
      </c>
      <c r="BB56" s="6">
        <f>'Monthly Data'!AD100</f>
        <v>38216</v>
      </c>
      <c r="BC56" s="6">
        <f>'Monthly Data'!AF100</f>
        <v>377</v>
      </c>
      <c r="BD56" s="85">
        <f>BB56/BC56/'Monthly Data'!CF100</f>
        <v>3.2699580730726447</v>
      </c>
      <c r="BE56" s="6"/>
      <c r="BG56" t="str">
        <f t="shared" si="67"/>
        <v>Mar</v>
      </c>
      <c r="BH56" s="6">
        <f>'Monthly Data'!AG100</f>
        <v>187474</v>
      </c>
      <c r="BI56" s="6">
        <f>'Monthly Data'!AH100</f>
        <v>254</v>
      </c>
      <c r="BJ56" s="85">
        <f>BH56/BI56/'Monthly Data'!CF100</f>
        <v>23.809245618491236</v>
      </c>
    </row>
    <row r="57" spans="46:67">
      <c r="AU57" t="str">
        <f t="shared" si="65"/>
        <v>Apr</v>
      </c>
      <c r="AV57" s="6">
        <f>'Monthly Data'!AA101</f>
        <v>251703.02619999999</v>
      </c>
      <c r="AW57" s="6">
        <f>'Monthly Data'!AC101</f>
        <v>10131</v>
      </c>
      <c r="AX57" s="120">
        <f>AV57/AW57/'Monthly Data'!CF101</f>
        <v>0.82816117592866767</v>
      </c>
      <c r="BA57" t="str">
        <f t="shared" si="66"/>
        <v>Apr</v>
      </c>
      <c r="BB57" s="6">
        <f>'Monthly Data'!AD101</f>
        <v>35856</v>
      </c>
      <c r="BC57" s="6">
        <f>'Monthly Data'!AF101</f>
        <v>377</v>
      </c>
      <c r="BD57" s="85">
        <f>BB57/BC57/'Monthly Data'!CF101</f>
        <v>3.170291777188329</v>
      </c>
      <c r="BE57" s="6"/>
      <c r="BG57" t="str">
        <f t="shared" si="67"/>
        <v>Apr</v>
      </c>
      <c r="BH57" s="6">
        <f>'Monthly Data'!AG101</f>
        <v>180830</v>
      </c>
      <c r="BI57" s="6">
        <f>'Monthly Data'!AH101</f>
        <v>253</v>
      </c>
      <c r="BJ57" s="85">
        <f>BH57/BI57/'Monthly Data'!CF101</f>
        <v>23.824769433465086</v>
      </c>
    </row>
    <row r="58" spans="46:67">
      <c r="AU58" t="str">
        <f t="shared" si="65"/>
        <v>May</v>
      </c>
      <c r="AV58" s="6">
        <f>'Monthly Data'!AA102</f>
        <v>229479.27240000002</v>
      </c>
      <c r="AW58" s="6">
        <f>'Monthly Data'!AC102</f>
        <v>10131</v>
      </c>
      <c r="AX58" s="120">
        <f>AV58/AW58/'Monthly Data'!CF102</f>
        <v>0.73068376016124259</v>
      </c>
      <c r="BA58" t="str">
        <f t="shared" si="66"/>
        <v>May</v>
      </c>
      <c r="BB58" s="6">
        <f>'Monthly Data'!AD102</f>
        <v>36944</v>
      </c>
      <c r="BC58" s="6">
        <f>'Monthly Data'!AF102</f>
        <v>368</v>
      </c>
      <c r="BD58" s="85">
        <f>BB58/BC58/'Monthly Data'!CF102</f>
        <v>3.2384291725105192</v>
      </c>
      <c r="BE58" s="6"/>
      <c r="BG58" t="str">
        <f t="shared" si="67"/>
        <v>May</v>
      </c>
      <c r="BH58" s="6">
        <f>'Monthly Data'!AG102</f>
        <v>186856</v>
      </c>
      <c r="BI58" s="6">
        <f>'Monthly Data'!AH102</f>
        <v>253</v>
      </c>
      <c r="BJ58" s="85">
        <f>BH58/BI58/'Monthly Data'!CF102</f>
        <v>23.824556929746269</v>
      </c>
    </row>
    <row r="59" spans="46:67">
      <c r="AU59" t="str">
        <f t="shared" si="65"/>
        <v>Jun</v>
      </c>
      <c r="AV59" s="6">
        <f>'Monthly Data'!AA103</f>
        <v>206807.5668</v>
      </c>
      <c r="AW59" s="6">
        <f>'Monthly Data'!AC103</f>
        <v>10139</v>
      </c>
      <c r="AX59" s="120">
        <f>AV59/AW59/'Monthly Data'!CF103</f>
        <v>0.67990783706479929</v>
      </c>
      <c r="BA59" t="str">
        <f t="shared" si="66"/>
        <v>Jun</v>
      </c>
      <c r="BB59" s="6">
        <f>'Monthly Data'!AD103</f>
        <v>35769</v>
      </c>
      <c r="BC59" s="6">
        <f>'Monthly Data'!AF103</f>
        <v>368</v>
      </c>
      <c r="BD59" s="85">
        <f>BB59/BC59/'Monthly Data'!CF103</f>
        <v>3.2399456521739132</v>
      </c>
      <c r="BE59" s="6"/>
      <c r="BG59" t="str">
        <f t="shared" si="67"/>
        <v>Jun</v>
      </c>
      <c r="BH59" s="6">
        <f>'Monthly Data'!AG103</f>
        <v>180830</v>
      </c>
      <c r="BI59" s="6">
        <f>'Monthly Data'!AH103</f>
        <v>253</v>
      </c>
      <c r="BJ59" s="85">
        <f>BH59/BI59/'Monthly Data'!CF103</f>
        <v>23.824769433465086</v>
      </c>
    </row>
    <row r="60" spans="46:67">
      <c r="AU60" t="str">
        <f t="shared" si="65"/>
        <v>Jul</v>
      </c>
      <c r="AV60" s="6">
        <f>'Monthly Data'!AA104</f>
        <v>223499.66889999999</v>
      </c>
      <c r="AW60" s="6">
        <f>'Monthly Data'!AC104</f>
        <v>10144</v>
      </c>
      <c r="AX60" s="120">
        <f>AV60/AW60/'Monthly Data'!CF104</f>
        <v>0.71073213118194767</v>
      </c>
      <c r="BA60" t="str">
        <f t="shared" si="66"/>
        <v>Jul</v>
      </c>
      <c r="BB60" s="6">
        <f>'Monthly Data'!AD104</f>
        <v>36944</v>
      </c>
      <c r="BC60" s="6">
        <f>'Monthly Data'!AF104</f>
        <v>368</v>
      </c>
      <c r="BD60" s="85">
        <f>BB60/BC60/'Monthly Data'!CF104</f>
        <v>3.2384291725105192</v>
      </c>
      <c r="BE60" s="6"/>
      <c r="BG60" t="str">
        <f t="shared" si="67"/>
        <v>Jul</v>
      </c>
      <c r="BH60" s="6">
        <f>'Monthly Data'!AG104</f>
        <v>186856</v>
      </c>
      <c r="BI60" s="6">
        <f>'Monthly Data'!AH104</f>
        <v>253</v>
      </c>
      <c r="BJ60" s="85">
        <f>BH60/BI60/'Monthly Data'!CF104</f>
        <v>23.824556929746269</v>
      </c>
    </row>
    <row r="61" spans="46:67">
      <c r="AU61" t="str">
        <f t="shared" si="65"/>
        <v>Aug</v>
      </c>
      <c r="AV61" s="6">
        <f>'Monthly Data'!AA105</f>
        <v>251034.97379999998</v>
      </c>
      <c r="AW61" s="6">
        <f>'Monthly Data'!AC105</f>
        <v>10146</v>
      </c>
      <c r="AX61" s="120">
        <f>AV61/AW61/'Monthly Data'!CF105</f>
        <v>0.79813743156368622</v>
      </c>
      <c r="BA61" t="str">
        <f t="shared" si="66"/>
        <v>Aug</v>
      </c>
      <c r="BB61" s="6">
        <f>'Monthly Data'!AD105</f>
        <v>37070</v>
      </c>
      <c r="BC61" s="6">
        <f>'Monthly Data'!AF105</f>
        <v>366</v>
      </c>
      <c r="BD61" s="85">
        <f>BB61/BC61/'Monthly Data'!CF105</f>
        <v>3.2672307421117575</v>
      </c>
      <c r="BE61" s="6"/>
      <c r="BG61" t="str">
        <f t="shared" si="67"/>
        <v>Aug</v>
      </c>
      <c r="BH61" s="6">
        <f>'Monthly Data'!AG105</f>
        <v>186856</v>
      </c>
      <c r="BI61" s="6">
        <f>'Monthly Data'!AH105</f>
        <v>253</v>
      </c>
      <c r="BJ61" s="85">
        <f>BH61/BI61/'Monthly Data'!CF105</f>
        <v>23.824556929746269</v>
      </c>
    </row>
    <row r="62" spans="46:67">
      <c r="AU62" t="str">
        <f t="shared" si="65"/>
        <v>Sep</v>
      </c>
      <c r="AV62" s="6">
        <f>'Monthly Data'!AA106</f>
        <v>285730.07429999998</v>
      </c>
      <c r="AW62" s="6">
        <f>'Monthly Data'!AC106</f>
        <v>10145</v>
      </c>
      <c r="AX62" s="120">
        <f>AV62/AW62/'Monthly Data'!CF106</f>
        <v>0.9388206811237062</v>
      </c>
      <c r="BA62" t="str">
        <f t="shared" si="66"/>
        <v>Sep</v>
      </c>
      <c r="BB62" s="6">
        <f>'Monthly Data'!AD106</f>
        <v>35752</v>
      </c>
      <c r="BC62" s="6">
        <f>'Monthly Data'!AF106</f>
        <v>368</v>
      </c>
      <c r="BD62" s="85">
        <f>BB62/BC62/'Monthly Data'!CF106</f>
        <v>3.2384057971014495</v>
      </c>
      <c r="BE62" s="6"/>
      <c r="BG62" t="str">
        <f t="shared" si="67"/>
        <v>Sep</v>
      </c>
      <c r="BH62" s="6">
        <f>'Monthly Data'!AG106</f>
        <v>180830</v>
      </c>
      <c r="BI62" s="6">
        <f>'Monthly Data'!AH106</f>
        <v>253</v>
      </c>
      <c r="BJ62" s="85">
        <f>BH62/BI62/'Monthly Data'!CF106</f>
        <v>23.824769433465086</v>
      </c>
    </row>
    <row r="63" spans="46:67">
      <c r="AU63" t="str">
        <f t="shared" si="65"/>
        <v>Oct</v>
      </c>
      <c r="AV63" s="6">
        <f>'Monthly Data'!AA107</f>
        <v>320925.6875</v>
      </c>
      <c r="AW63" s="6">
        <f>'Monthly Data'!AC107</f>
        <v>10143</v>
      </c>
      <c r="AX63" s="120">
        <f>AV63/AW63/'Monthly Data'!CF107</f>
        <v>1.0206488743229878</v>
      </c>
      <c r="BA63" t="str">
        <f t="shared" si="66"/>
        <v>Oct</v>
      </c>
      <c r="BB63" s="6">
        <f>'Monthly Data'!AD107</f>
        <v>36944</v>
      </c>
      <c r="BC63" s="6">
        <f>'Monthly Data'!AF107</f>
        <v>367</v>
      </c>
      <c r="BD63" s="85">
        <f>BB63/BC63/'Monthly Data'!CF107</f>
        <v>3.2472532302012831</v>
      </c>
      <c r="BE63" s="6"/>
      <c r="BG63" t="str">
        <f t="shared" si="67"/>
        <v>Oct</v>
      </c>
      <c r="BH63" s="6">
        <f>'Monthly Data'!AG107</f>
        <v>187459</v>
      </c>
      <c r="BI63" s="6">
        <f>'Monthly Data'!AH107</f>
        <v>253</v>
      </c>
      <c r="BJ63" s="85">
        <f>BH63/BI63/'Monthly Data'!CF107</f>
        <v>23.901440775213565</v>
      </c>
    </row>
    <row r="64" spans="46:67">
      <c r="AU64" t="str">
        <f t="shared" si="65"/>
        <v>Nov</v>
      </c>
      <c r="AV64" s="6">
        <f>'Monthly Data'!AA108</f>
        <v>340266.59820000001</v>
      </c>
      <c r="AW64" s="6">
        <f>'Monthly Data'!AC108</f>
        <v>10145</v>
      </c>
      <c r="AX64" s="120">
        <f>AV64/AW64/'Monthly Data'!CF108</f>
        <v>1.1180108368654511</v>
      </c>
      <c r="BA64" t="str">
        <f t="shared" si="66"/>
        <v>Nov</v>
      </c>
      <c r="BB64" s="6">
        <f>'Monthly Data'!AD108</f>
        <v>35705</v>
      </c>
      <c r="BC64" s="6">
        <f>'Monthly Data'!AF108</f>
        <v>367</v>
      </c>
      <c r="BD64" s="85">
        <f>BB64/BC64/'Monthly Data'!CF108</f>
        <v>3.2429609445958221</v>
      </c>
      <c r="BE64" s="6"/>
      <c r="BG64" t="str">
        <f t="shared" si="67"/>
        <v>Nov</v>
      </c>
      <c r="BH64" s="6">
        <f>'Monthly Data'!AG108</f>
        <v>181413</v>
      </c>
      <c r="BI64" s="6">
        <f>'Monthly Data'!AH108</f>
        <v>253</v>
      </c>
      <c r="BJ64" s="85">
        <f>BH64/BI64/'Monthly Data'!CF108</f>
        <v>23.901581027667984</v>
      </c>
      <c r="BN64" t="s">
        <v>352</v>
      </c>
      <c r="BO64" t="s">
        <v>353</v>
      </c>
    </row>
    <row r="65" spans="46:69">
      <c r="AU65" t="str">
        <f t="shared" si="65"/>
        <v>Dec</v>
      </c>
      <c r="AV65" s="6">
        <f>'Monthly Data'!AA109</f>
        <v>370027.13270000002</v>
      </c>
      <c r="AW65" s="6">
        <f>'Monthly Data'!AC109</f>
        <v>10145</v>
      </c>
      <c r="AX65" s="120">
        <f>AV65/AW65/'Monthly Data'!CF109</f>
        <v>1.1765755662252182</v>
      </c>
      <c r="BA65" t="str">
        <f t="shared" si="66"/>
        <v>Dec</v>
      </c>
      <c r="BB65" s="6">
        <f>'Monthly Data'!AD109</f>
        <v>36761</v>
      </c>
      <c r="BC65" s="6">
        <f>'Monthly Data'!AF109</f>
        <v>367</v>
      </c>
      <c r="BD65" s="85">
        <f>BB65/BC65/'Monthly Data'!CF109</f>
        <v>3.2311681462599986</v>
      </c>
      <c r="BE65" s="6"/>
      <c r="BG65" t="str">
        <f t="shared" si="67"/>
        <v>Dec</v>
      </c>
      <c r="BH65" s="6">
        <f>'Monthly Data'!AG109</f>
        <v>186856</v>
      </c>
      <c r="BI65" s="6">
        <f>'Monthly Data'!AH109</f>
        <v>253</v>
      </c>
      <c r="BJ65" s="85">
        <f>BH65/BI65/'Monthly Data'!CF109</f>
        <v>23.824556929746269</v>
      </c>
      <c r="BL65" t="s">
        <v>349</v>
      </c>
      <c r="BN65" s="17">
        <v>3942</v>
      </c>
      <c r="BO65" s="227">
        <v>103</v>
      </c>
      <c r="BP65" s="116"/>
      <c r="BQ65" t="s">
        <v>354</v>
      </c>
    </row>
    <row r="66" spans="46:69">
      <c r="AT66">
        <v>2021</v>
      </c>
      <c r="AU66" t="s">
        <v>50</v>
      </c>
      <c r="AV66" s="6">
        <f>'Monthly Data'!AA110</f>
        <v>353082.47537664312</v>
      </c>
      <c r="AW66" s="6">
        <f>'Monthly Data'!AC110</f>
        <v>10145</v>
      </c>
      <c r="AX66" s="120">
        <f>AV66/AW66/'Monthly Data'!CF110</f>
        <v>1.1226966259452238</v>
      </c>
      <c r="AZ66">
        <v>2021</v>
      </c>
      <c r="BA66" t="s">
        <v>50</v>
      </c>
      <c r="BB66" s="6">
        <f>'Monthly Data'!AD110</f>
        <v>36761.039999999994</v>
      </c>
      <c r="BC66" s="6">
        <f>'Monthly Data'!AF110</f>
        <v>367</v>
      </c>
      <c r="BD66" s="85">
        <f>BB66/BC66/'Monthly Data'!CF110</f>
        <v>3.2311716621253397</v>
      </c>
      <c r="BF66">
        <v>2021</v>
      </c>
      <c r="BG66" t="s">
        <v>50</v>
      </c>
      <c r="BH66" s="6">
        <f>'Monthly Data'!AG110</f>
        <v>186083.58653999967</v>
      </c>
      <c r="BI66" s="6">
        <f>'Monthly Data'!AH110</f>
        <v>250</v>
      </c>
      <c r="BJ66" s="85">
        <f>BH66/BI66/'Monthly Data'!CF110</f>
        <v>24.010785359999957</v>
      </c>
      <c r="BM66" t="str">
        <f t="shared" ref="BM66:BM77" si="68">BG66</f>
        <v>Jan</v>
      </c>
      <c r="BN66" s="19">
        <f>BH66+$BN$65</f>
        <v>190025.58653999967</v>
      </c>
      <c r="BO66" s="19">
        <f>BI66+$BO$65</f>
        <v>353</v>
      </c>
      <c r="BP66" s="7">
        <f>BN66/BO66/'Monthly Data'!CF110</f>
        <v>17.365035779950624</v>
      </c>
    </row>
    <row r="67" spans="46:69">
      <c r="AU67" t="s">
        <v>49</v>
      </c>
      <c r="AV67" s="6">
        <f>'Monthly Data'!AA111</f>
        <v>295429.69246713357</v>
      </c>
      <c r="AW67" s="6">
        <f>'Monthly Data'!AC111</f>
        <v>10159</v>
      </c>
      <c r="AX67" s="120">
        <f>AV67/AW67/'Monthly Data'!CF111</f>
        <v>1.0385924249684781</v>
      </c>
      <c r="BA67" t="s">
        <v>49</v>
      </c>
      <c r="BB67" s="6">
        <f>'Monthly Data'!AD111</f>
        <v>33203.520000000026</v>
      </c>
      <c r="BC67" s="6">
        <f>'Monthly Data'!AF111</f>
        <v>367</v>
      </c>
      <c r="BD67" s="85">
        <f>BB67/BC67/'Monthly Data'!CF111</f>
        <v>3.2311716621253432</v>
      </c>
      <c r="BE67" s="19"/>
      <c r="BG67" t="s">
        <v>49</v>
      </c>
      <c r="BH67" s="6">
        <f>'Monthly Data'!AG111</f>
        <v>168075.49752000018</v>
      </c>
      <c r="BI67" s="6">
        <f>'Monthly Data'!AH111</f>
        <v>250</v>
      </c>
      <c r="BJ67" s="85">
        <f>BH67/BI67/'Monthly Data'!CF111</f>
        <v>24.010785360000025</v>
      </c>
      <c r="BM67" t="str">
        <f t="shared" si="68"/>
        <v>Feb</v>
      </c>
      <c r="BN67" s="19">
        <f>BH67+$BN$65</f>
        <v>172017.49752000018</v>
      </c>
      <c r="BO67" s="19">
        <f t="shared" ref="BO67:BO77" si="69">BI67+$BO$65</f>
        <v>353</v>
      </c>
      <c r="BP67" s="7">
        <f>BN67/BO67/'Monthly Data'!CF111</f>
        <v>17.403631881829238</v>
      </c>
    </row>
    <row r="68" spans="46:69">
      <c r="AU68" t="s">
        <v>48</v>
      </c>
      <c r="AV68" s="6">
        <f>'Monthly Data'!AA112</f>
        <v>291554.69835908263</v>
      </c>
      <c r="AW68" s="6">
        <f>'Monthly Data'!AC112</f>
        <v>10159</v>
      </c>
      <c r="AX68" s="120">
        <f>AV68/AW68/'Monthly Data'!CF112</f>
        <v>0.92577913866008721</v>
      </c>
      <c r="BA68" t="s">
        <v>48</v>
      </c>
      <c r="BB68" s="6">
        <f>'Monthly Data'!AD112</f>
        <v>37192.560000000005</v>
      </c>
      <c r="BC68" s="6">
        <f>'Monthly Data'!AF112</f>
        <v>367</v>
      </c>
      <c r="BD68" s="85">
        <f>BB68/BC68/'Monthly Data'!CF112</f>
        <v>3.2691008174386926</v>
      </c>
      <c r="BG68" t="s">
        <v>48</v>
      </c>
      <c r="BH68" s="6">
        <f>'Monthly Data'!AG112</f>
        <v>186083.58653999967</v>
      </c>
      <c r="BI68" s="6">
        <f>'Monthly Data'!AH112</f>
        <v>250</v>
      </c>
      <c r="BJ68" s="85">
        <f>BH68/BI68/'Monthly Data'!CF112</f>
        <v>24.010785359999957</v>
      </c>
      <c r="BM68" t="str">
        <f t="shared" si="68"/>
        <v>Mar</v>
      </c>
      <c r="BN68" s="19">
        <f>BH68+$BN$65</f>
        <v>190025.58653999967</v>
      </c>
      <c r="BO68" s="19">
        <f t="shared" si="69"/>
        <v>353</v>
      </c>
      <c r="BP68" s="7">
        <f>BN68/BO68/'Monthly Data'!CF112</f>
        <v>17.365035779950624</v>
      </c>
    </row>
    <row r="69" spans="46:69">
      <c r="AU69" t="s">
        <v>47</v>
      </c>
      <c r="AV69" s="6">
        <f>'Monthly Data'!AA113</f>
        <v>246819.20813741483</v>
      </c>
      <c r="AW69" s="6">
        <f>'Monthly Data'!AC113</f>
        <v>10159</v>
      </c>
      <c r="AX69" s="120">
        <f>AV69/AW69/'Monthly Data'!CF113</f>
        <v>0.80985401495362019</v>
      </c>
      <c r="BA69" t="s">
        <v>47</v>
      </c>
      <c r="BB69" s="6">
        <f>'Monthly Data'!AD113</f>
        <v>35575.199999999975</v>
      </c>
      <c r="BC69" s="6">
        <f>'Monthly Data'!AF113</f>
        <v>367</v>
      </c>
      <c r="BD69" s="85">
        <f>BB69/BC69/'Monthly Data'!CF113</f>
        <v>3.2311716621253384</v>
      </c>
      <c r="BG69" t="s">
        <v>47</v>
      </c>
      <c r="BH69" s="6">
        <f>'Monthly Data'!AG113</f>
        <v>180664.11977999963</v>
      </c>
      <c r="BI69" s="6">
        <f>'Monthly Data'!AH113</f>
        <v>250</v>
      </c>
      <c r="BJ69" s="85">
        <f>BH69/BI69/'Monthly Data'!CF113</f>
        <v>24.088549303999951</v>
      </c>
      <c r="BM69" t="str">
        <f t="shared" si="68"/>
        <v>Apr</v>
      </c>
      <c r="BN69" s="19">
        <f>BH69+$BN$65</f>
        <v>184606.11977999963</v>
      </c>
      <c r="BO69" s="19">
        <f t="shared" si="69"/>
        <v>353</v>
      </c>
      <c r="BP69" s="7">
        <f>BN69/BO69/'Monthly Data'!CF113</f>
        <v>17.432117070821494</v>
      </c>
    </row>
    <row r="70" spans="46:69">
      <c r="AU70" t="s">
        <v>36</v>
      </c>
      <c r="AV70" s="6">
        <f>'Monthly Data'!AA114</f>
        <v>224962.43849918325</v>
      </c>
      <c r="AW70" s="6">
        <f>'Monthly Data'!AC114</f>
        <v>10159</v>
      </c>
      <c r="AX70" s="120">
        <f>AV70/AW70/'Monthly Data'!CF114</f>
        <v>0.71432747857194234</v>
      </c>
      <c r="BA70" t="s">
        <v>36</v>
      </c>
      <c r="BB70" s="6">
        <f>'Monthly Data'!AD114</f>
        <v>36761.039999999994</v>
      </c>
      <c r="BC70" s="6">
        <f>'Monthly Data'!AF114</f>
        <v>367</v>
      </c>
      <c r="BD70" s="85">
        <f>BB70/BC70/'Monthly Data'!CF114</f>
        <v>3.2311716621253397</v>
      </c>
      <c r="BG70" t="s">
        <v>36</v>
      </c>
      <c r="BH70" s="6">
        <f>'Monthly Data'!AG114</f>
        <v>186686.25710599966</v>
      </c>
      <c r="BI70" s="6">
        <f>'Monthly Data'!AH114</f>
        <v>250</v>
      </c>
      <c r="BJ70" s="85">
        <f>BH70/BI70/'Monthly Data'!CF114</f>
        <v>24.088549303999955</v>
      </c>
      <c r="BM70" t="str">
        <f t="shared" si="68"/>
        <v>May</v>
      </c>
      <c r="BN70" s="19">
        <f>BH70+$BN$65</f>
        <v>190628.25710599966</v>
      </c>
      <c r="BO70" s="19">
        <f t="shared" si="69"/>
        <v>353</v>
      </c>
      <c r="BP70" s="7">
        <f>BN70/BO70/'Monthly Data'!CF114</f>
        <v>17.4201093946815</v>
      </c>
    </row>
    <row r="71" spans="46:69">
      <c r="AU71" t="s">
        <v>62</v>
      </c>
      <c r="AV71" s="6">
        <f>'Monthly Data'!AA115</f>
        <v>202402.20362729105</v>
      </c>
      <c r="AW71" s="6">
        <f>'Monthly Data'!AC115</f>
        <v>10159</v>
      </c>
      <c r="AX71" s="120">
        <f>AV71/AW71/'Monthly Data'!CF115</f>
        <v>0.66411459010824891</v>
      </c>
      <c r="BA71" t="s">
        <v>62</v>
      </c>
      <c r="BB71" s="6">
        <f>'Monthly Data'!AD115</f>
        <v>35575.199999999975</v>
      </c>
      <c r="BC71" s="6">
        <f>'Monthly Data'!AF115</f>
        <v>367</v>
      </c>
      <c r="BD71" s="85">
        <f>BB71/BC71/'Monthly Data'!CF115</f>
        <v>3.2311716621253384</v>
      </c>
      <c r="BG71" t="s">
        <v>62</v>
      </c>
      <c r="BH71" s="6">
        <f>'Monthly Data'!AG115</f>
        <v>179927.35280999966</v>
      </c>
      <c r="BI71" s="6">
        <f>'Monthly Data'!AH115</f>
        <v>238</v>
      </c>
      <c r="BJ71" s="85">
        <f>BH71/BI71/'Monthly Data'!CF115</f>
        <v>25.199909357142811</v>
      </c>
      <c r="BM71" t="str">
        <f t="shared" si="68"/>
        <v>Jun</v>
      </c>
      <c r="BN71" s="19">
        <f t="shared" ref="BN71:BN77" si="70">BH71+$BN$65</f>
        <v>183869.35280999966</v>
      </c>
      <c r="BO71" s="19">
        <f t="shared" si="69"/>
        <v>341</v>
      </c>
      <c r="BP71" s="7">
        <f>BN71/BO71/'Monthly Data'!CF115</f>
        <v>17.973543774193516</v>
      </c>
    </row>
    <row r="72" spans="46:69">
      <c r="AU72" t="s">
        <v>63</v>
      </c>
      <c r="AV72" s="6">
        <f>'Monthly Data'!AA116</f>
        <v>218561.98085596389</v>
      </c>
      <c r="AW72" s="6">
        <f>'Monthly Data'!AC116</f>
        <v>10159</v>
      </c>
      <c r="AX72" s="120">
        <f>AV72/AW72/'Monthly Data'!CF116</f>
        <v>0.69400398456783563</v>
      </c>
      <c r="BA72" t="s">
        <v>63</v>
      </c>
      <c r="BB72" s="6">
        <f>'Monthly Data'!AD116</f>
        <v>36761.039999999994</v>
      </c>
      <c r="BC72" s="6">
        <f>'Monthly Data'!AF116</f>
        <v>367</v>
      </c>
      <c r="BD72" s="85">
        <f>BB72/BC72/'Monthly Data'!CF116</f>
        <v>3.2311716621253397</v>
      </c>
      <c r="BG72" t="s">
        <v>63</v>
      </c>
      <c r="BH72" s="6">
        <f>'Monthly Data'!AG116</f>
        <v>185389.86286699979</v>
      </c>
      <c r="BI72" s="6">
        <f>'Monthly Data'!AH116</f>
        <v>238</v>
      </c>
      <c r="BJ72" s="85">
        <f>BH72/BI72/'Monthly Data'!CF116</f>
        <v>25.127387214285687</v>
      </c>
      <c r="BM72" t="str">
        <f t="shared" si="68"/>
        <v>Jul</v>
      </c>
      <c r="BN72" s="19">
        <f t="shared" si="70"/>
        <v>189331.86286699979</v>
      </c>
      <c r="BO72" s="19">
        <f t="shared" si="69"/>
        <v>341</v>
      </c>
      <c r="BP72" s="7">
        <f>BN72/BO72/'Monthly Data'!CF116</f>
        <v>17.910496912969425</v>
      </c>
    </row>
    <row r="73" spans="46:69">
      <c r="AU73" t="s">
        <v>64</v>
      </c>
      <c r="AV73" s="6">
        <f>'Monthly Data'!AA117</f>
        <v>245312.72777084704</v>
      </c>
      <c r="AW73" s="6">
        <f>'Monthly Data'!AC117</f>
        <v>10159</v>
      </c>
      <c r="AX73" s="120">
        <f>AV73/AW73/'Monthly Data'!CF117</f>
        <v>0.77894613633818111</v>
      </c>
      <c r="BA73" t="s">
        <v>64</v>
      </c>
      <c r="BB73" s="6">
        <f>'Monthly Data'!AD117</f>
        <v>36761.039999999994</v>
      </c>
      <c r="BC73" s="6">
        <f>'Monthly Data'!AF117</f>
        <v>367</v>
      </c>
      <c r="BD73" s="85">
        <f>BB73/BC73/'Monthly Data'!CF117</f>
        <v>3.2311716621253397</v>
      </c>
      <c r="BG73" t="s">
        <v>64</v>
      </c>
      <c r="BH73" s="6">
        <f>'Monthly Data'!AG117</f>
        <v>184122.00533699978</v>
      </c>
      <c r="BI73" s="6">
        <f>'Monthly Data'!AH117</f>
        <v>238</v>
      </c>
      <c r="BJ73" s="85">
        <f>BH73/BI73/'Monthly Data'!CF117</f>
        <v>24.955544231092407</v>
      </c>
      <c r="BM73" t="str">
        <f t="shared" si="68"/>
        <v>Aug</v>
      </c>
      <c r="BN73" s="19">
        <f t="shared" si="70"/>
        <v>188064.00533699978</v>
      </c>
      <c r="BO73" s="19">
        <f t="shared" si="69"/>
        <v>341</v>
      </c>
      <c r="BP73" s="7">
        <f>BN73/BO73/'Monthly Data'!CF117</f>
        <v>17.790559581591122</v>
      </c>
    </row>
    <row r="74" spans="46:69">
      <c r="AU74" t="s">
        <v>195</v>
      </c>
      <c r="AV74" s="6">
        <f>'Monthly Data'!AA118</f>
        <v>279337.26523366245</v>
      </c>
      <c r="AW74" s="6">
        <f>'Monthly Data'!AC118</f>
        <v>10162</v>
      </c>
      <c r="AX74" s="120">
        <f>AV74/AW74/'Monthly Data'!CF118</f>
        <v>0.91628047377045996</v>
      </c>
      <c r="BA74" t="s">
        <v>195</v>
      </c>
      <c r="BB74" s="6">
        <f>'Monthly Data'!AD118</f>
        <v>35575.199999999975</v>
      </c>
      <c r="BC74" s="6">
        <f>'Monthly Data'!AF118</f>
        <v>367</v>
      </c>
      <c r="BD74" s="85">
        <f>BB74/BC74/'Monthly Data'!CF118</f>
        <v>3.2311716621253384</v>
      </c>
      <c r="BG74" t="s">
        <v>195</v>
      </c>
      <c r="BH74" s="6">
        <f>'Monthly Data'!AG118</f>
        <v>178182.5858099997</v>
      </c>
      <c r="BI74" s="6">
        <f>'Monthly Data'!AH118</f>
        <v>238</v>
      </c>
      <c r="BJ74" s="85">
        <f>BH74/BI74/'Monthly Data'!CF118</f>
        <v>24.955544231092397</v>
      </c>
      <c r="BM74" t="str">
        <f t="shared" si="68"/>
        <v>Sep</v>
      </c>
      <c r="BN74" s="19">
        <f t="shared" si="70"/>
        <v>182124.5858099997</v>
      </c>
      <c r="BO74" s="19">
        <f t="shared" si="69"/>
        <v>341</v>
      </c>
      <c r="BP74" s="7">
        <f>BN74/BO74/'Monthly Data'!CF118</f>
        <v>17.802989815249237</v>
      </c>
    </row>
    <row r="75" spans="46:69">
      <c r="AU75" t="s">
        <v>45</v>
      </c>
      <c r="AV75" s="6">
        <f>'Monthly Data'!AA119</f>
        <v>313989.3528452164</v>
      </c>
      <c r="AW75" s="6">
        <f>'Monthly Data'!AC119</f>
        <v>10167</v>
      </c>
      <c r="AX75" s="120">
        <f>AV75/AW75/'Monthly Data'!CF119</f>
        <v>0.99623180893661778</v>
      </c>
      <c r="BA75" t="s">
        <v>45</v>
      </c>
      <c r="BB75" s="6">
        <f>'Monthly Data'!AD119</f>
        <v>36761.040000000001</v>
      </c>
      <c r="BC75" s="6">
        <f>'Monthly Data'!AF119</f>
        <v>367</v>
      </c>
      <c r="BD75" s="85">
        <f>BB75/BC75/'Monthly Data'!CF119</f>
        <v>3.2311716621253406</v>
      </c>
      <c r="BG75" t="s">
        <v>45</v>
      </c>
      <c r="BH75" s="6">
        <f>'Monthly Data'!AG119</f>
        <v>184122.00533699978</v>
      </c>
      <c r="BI75" s="6">
        <f>'Monthly Data'!AH119</f>
        <v>238</v>
      </c>
      <c r="BJ75" s="85">
        <f>BH75/BI75/'Monthly Data'!CF119</f>
        <v>24.955544231092407</v>
      </c>
      <c r="BM75" t="str">
        <f t="shared" si="68"/>
        <v>Oct</v>
      </c>
      <c r="BN75" s="19">
        <f t="shared" si="70"/>
        <v>188064.00533699978</v>
      </c>
      <c r="BO75" s="19">
        <f t="shared" si="69"/>
        <v>341</v>
      </c>
      <c r="BP75" s="7">
        <f>BN75/BO75/'Monthly Data'!CF119</f>
        <v>17.790559581591122</v>
      </c>
    </row>
    <row r="76" spans="46:69">
      <c r="AU76" t="s">
        <v>44</v>
      </c>
      <c r="AV76" s="6">
        <f>'Monthly Data'!AA120</f>
        <v>334064.27943575452</v>
      </c>
      <c r="AW76" s="6">
        <f>'Monthly Data'!AC120</f>
        <v>10172</v>
      </c>
      <c r="AX76" s="120">
        <f>AV76/AW76/'Monthly Data'!CF120</f>
        <v>1.0947184409350981</v>
      </c>
      <c r="BA76" t="s">
        <v>44</v>
      </c>
      <c r="BB76" s="6">
        <f>'Monthly Data'!AD120</f>
        <v>35528.399999999972</v>
      </c>
      <c r="BC76" s="6">
        <f>'Monthly Data'!AF120</f>
        <v>367</v>
      </c>
      <c r="BD76" s="85">
        <f>BB76/BC76/'Monthly Data'!CF120</f>
        <v>3.2269209809264283</v>
      </c>
      <c r="BG76" t="s">
        <v>44</v>
      </c>
      <c r="BH76" s="6">
        <f>'Monthly Data'!AG120</f>
        <v>178079.02418999971</v>
      </c>
      <c r="BI76" s="6">
        <f>'Monthly Data'!AH120</f>
        <v>238</v>
      </c>
      <c r="BJ76" s="85">
        <f>BH76/BI76/'Monthly Data'!CF120</f>
        <v>24.941039802520965</v>
      </c>
      <c r="BM76" t="str">
        <f t="shared" si="68"/>
        <v>Nov</v>
      </c>
      <c r="BN76" s="19">
        <f t="shared" si="70"/>
        <v>182021.02418999971</v>
      </c>
      <c r="BO76" s="19">
        <f t="shared" si="69"/>
        <v>341</v>
      </c>
      <c r="BP76" s="7">
        <f>BN76/BO76/'Monthly Data'!CF120</f>
        <v>17.792866489736038</v>
      </c>
    </row>
    <row r="77" spans="46:69">
      <c r="AU77" t="s">
        <v>43</v>
      </c>
      <c r="AV77" s="6">
        <f>'Monthly Data'!AA121</f>
        <v>345908.63180116966</v>
      </c>
      <c r="AW77" s="6">
        <f>'Monthly Data'!AC121</f>
        <v>10173</v>
      </c>
      <c r="AX77" s="120">
        <f>AV77/AW77/'Monthly Data'!CF121</f>
        <v>1.0968586416325621</v>
      </c>
      <c r="BA77" t="s">
        <v>43</v>
      </c>
      <c r="BB77" s="6">
        <f>'Monthly Data'!AD121</f>
        <v>36712.68</v>
      </c>
      <c r="BC77" s="6">
        <f>'Monthly Data'!AF121</f>
        <v>366</v>
      </c>
      <c r="BD77" s="85">
        <f>BB77/BC77/'Monthly Data'!CF121</f>
        <v>3.2357377049180331</v>
      </c>
      <c r="BG77" t="s">
        <v>43</v>
      </c>
      <c r="BH77" s="6">
        <f>'Monthly Data'!AG121</f>
        <v>184014.99166299979</v>
      </c>
      <c r="BI77" s="6">
        <f>'Monthly Data'!AH121</f>
        <v>237</v>
      </c>
      <c r="BJ77" s="85">
        <f>BH77/BI77/'Monthly Data'!CF121</f>
        <v>25.046276257383937</v>
      </c>
      <c r="BM77" t="str">
        <f t="shared" si="68"/>
        <v>Dec</v>
      </c>
      <c r="BN77" s="19">
        <f t="shared" si="70"/>
        <v>187956.99166299979</v>
      </c>
      <c r="BO77" s="19">
        <f t="shared" si="69"/>
        <v>340</v>
      </c>
      <c r="BP77" s="7">
        <f>BN77/BO77/'Monthly Data'!CF121</f>
        <v>17.832731656831101</v>
      </c>
    </row>
    <row r="78" spans="46:69">
      <c r="AT78">
        <v>2022</v>
      </c>
      <c r="AU78" t="s">
        <v>50</v>
      </c>
      <c r="AV78" s="6">
        <f>'Monthly Data'!AA122</f>
        <v>329712</v>
      </c>
      <c r="AW78" s="6">
        <f>'Monthly Data'!AC122</f>
        <v>10165</v>
      </c>
      <c r="AX78" s="120">
        <f>AV78/AW78/'Monthly Data'!CF122</f>
        <v>1.0463227710518384</v>
      </c>
      <c r="AZ78">
        <v>2022</v>
      </c>
      <c r="BA78" t="s">
        <v>50</v>
      </c>
      <c r="BB78" s="6">
        <f>'Monthly Data'!AD122</f>
        <v>36640</v>
      </c>
      <c r="BC78" s="6">
        <f>'Monthly Data'!AF122</f>
        <v>366</v>
      </c>
      <c r="BD78" s="85">
        <f>BB78/BC78/'Monthly Data'!CF122</f>
        <v>3.2293319231447208</v>
      </c>
      <c r="BF78">
        <v>2022</v>
      </c>
      <c r="BG78" t="s">
        <v>50</v>
      </c>
      <c r="BH78" s="6">
        <f>'Monthly Data'!AG122</f>
        <v>184015</v>
      </c>
      <c r="BI78" s="6">
        <f>'Monthly Data'!AH122</f>
        <v>239</v>
      </c>
      <c r="BJ78" s="85">
        <f>BH78/BI78/'Monthly Data'!CF122</f>
        <v>24.836685112700771</v>
      </c>
      <c r="BL78" s="275">
        <v>2022</v>
      </c>
      <c r="BM78" t="str">
        <f t="shared" ref="BM78:BM89" si="71">BG78</f>
        <v>Jan</v>
      </c>
      <c r="BN78" s="19">
        <f>BH78+$BN$65</f>
        <v>187957</v>
      </c>
      <c r="BO78" s="19">
        <f t="shared" ref="BO78:BO89" si="72">BI78+$BO$65</f>
        <v>342</v>
      </c>
      <c r="BP78" s="7">
        <f>BN78/BO78/'Monthly Data'!CF122</f>
        <v>17.728447462742878</v>
      </c>
    </row>
    <row r="79" spans="46:69">
      <c r="AU79" t="s">
        <v>49</v>
      </c>
      <c r="AV79" s="6">
        <f>'Monthly Data'!AA123</f>
        <v>275295</v>
      </c>
      <c r="AW79" s="6">
        <f>'Monthly Data'!AC123</f>
        <v>10163</v>
      </c>
      <c r="AX79" s="120">
        <f>AV79/AW79/'Monthly Data'!CF123</f>
        <v>0.96742736256167328</v>
      </c>
      <c r="BA79" t="s">
        <v>49</v>
      </c>
      <c r="BB79" s="6">
        <f>'Monthly Data'!AD123</f>
        <v>32789</v>
      </c>
      <c r="BC79" s="6">
        <f>'Monthly Data'!AF123</f>
        <v>366</v>
      </c>
      <c r="BD79" s="85">
        <f>BB79/BC79/'Monthly Data'!CF123</f>
        <v>3.1995511319281813</v>
      </c>
      <c r="BG79" t="s">
        <v>49</v>
      </c>
      <c r="BH79" s="6">
        <f>'Monthly Data'!AG123</f>
        <v>167743</v>
      </c>
      <c r="BI79" s="6">
        <f>'Monthly Data'!AH123</f>
        <v>241</v>
      </c>
      <c r="BJ79" s="85">
        <f>BH79/BI79/'Monthly Data'!CF123</f>
        <v>24.858180201541195</v>
      </c>
      <c r="BM79" t="str">
        <f t="shared" si="71"/>
        <v>Feb</v>
      </c>
      <c r="BN79" s="19">
        <f>BH79+$BN$65</f>
        <v>171685</v>
      </c>
      <c r="BO79" s="19">
        <f t="shared" si="72"/>
        <v>344</v>
      </c>
      <c r="BP79" s="7">
        <f>BN79/BO79/'Monthly Data'!CF123</f>
        <v>17.824439368770765</v>
      </c>
    </row>
    <row r="80" spans="46:69">
      <c r="AU80" t="s">
        <v>48</v>
      </c>
      <c r="AV80" s="6">
        <f>'Monthly Data'!AA124</f>
        <v>272113</v>
      </c>
      <c r="AW80" s="6">
        <f>'Monthly Data'!AC124</f>
        <v>10163</v>
      </c>
      <c r="AX80" s="120">
        <f>AV80/AW80/'Monthly Data'!CF124</f>
        <v>0.86370547177776436</v>
      </c>
      <c r="BA80" t="s">
        <v>48</v>
      </c>
      <c r="BB80" s="6">
        <f>'Monthly Data'!AD124</f>
        <v>36536</v>
      </c>
      <c r="BC80" s="6">
        <f>'Monthly Data'!AF124</f>
        <v>365</v>
      </c>
      <c r="BD80" s="85">
        <f>BB80/BC80/'Monthly Data'!CF124</f>
        <v>3.2289880689350419</v>
      </c>
      <c r="BG80" t="s">
        <v>48</v>
      </c>
      <c r="BH80" s="6">
        <f>'Monthly Data'!AG124</f>
        <v>184340</v>
      </c>
      <c r="BI80" s="6">
        <f>'Monthly Data'!AH124</f>
        <v>237</v>
      </c>
      <c r="BJ80" s="85">
        <f>BH80/BI80/'Monthly Data'!CF124</f>
        <v>25.09051313461277</v>
      </c>
      <c r="BM80" t="str">
        <f t="shared" si="71"/>
        <v>Mar</v>
      </c>
      <c r="BN80" s="19">
        <f t="shared" ref="BN80:BN89" si="73">BH80+$BN$65</f>
        <v>188282</v>
      </c>
      <c r="BO80" s="19">
        <f t="shared" si="72"/>
        <v>340</v>
      </c>
      <c r="BP80" s="7">
        <f>BN80/BO80/'Monthly Data'!CF124</f>
        <v>17.863567362428842</v>
      </c>
    </row>
    <row r="81" spans="47:68">
      <c r="AU81" t="s">
        <v>47</v>
      </c>
      <c r="AV81" s="6">
        <f>'Monthly Data'!AA125</f>
        <v>230596</v>
      </c>
      <c r="AW81" s="6">
        <f>'Monthly Data'!AC125</f>
        <v>10163</v>
      </c>
      <c r="AX81" s="120">
        <f>AV81/AW81/'Monthly Data'!CF125</f>
        <v>0.75632523205090363</v>
      </c>
      <c r="BA81" t="s">
        <v>47</v>
      </c>
      <c r="BB81" s="6">
        <f>'Monthly Data'!AD125</f>
        <v>35282</v>
      </c>
      <c r="BC81" s="6">
        <f>'Monthly Data'!AF125</f>
        <v>365</v>
      </c>
      <c r="BD81" s="85">
        <f>BB81/BC81/'Monthly Data'!CF125</f>
        <v>3.2221004566210047</v>
      </c>
      <c r="BG81" t="s">
        <v>47</v>
      </c>
      <c r="BH81" s="6">
        <f>'Monthly Data'!AG125</f>
        <v>178083</v>
      </c>
      <c r="BI81" s="6">
        <f>'Monthly Data'!AH125</f>
        <v>236</v>
      </c>
      <c r="BJ81" s="85">
        <f>BH81/BI81/'Monthly Data'!CF125</f>
        <v>25.152966101694915</v>
      </c>
      <c r="BM81" t="str">
        <f t="shared" si="71"/>
        <v>Apr</v>
      </c>
      <c r="BN81" s="19">
        <f t="shared" si="73"/>
        <v>182025</v>
      </c>
      <c r="BO81" s="19">
        <f t="shared" si="72"/>
        <v>339</v>
      </c>
      <c r="BP81" s="7">
        <f>BN81/BO81/'Monthly Data'!CF125</f>
        <v>17.898230088495573</v>
      </c>
    </row>
    <row r="82" spans="47:68">
      <c r="AU82" t="s">
        <v>36</v>
      </c>
      <c r="AV82" s="6">
        <f>'Monthly Data'!AA126</f>
        <v>210207</v>
      </c>
      <c r="AW82" s="6">
        <f>'Monthly Data'!AC126</f>
        <v>10163</v>
      </c>
      <c r="AX82" s="120">
        <f>AV82/AW82/'Monthly Data'!CF126</f>
        <v>0.66721154853310394</v>
      </c>
      <c r="BA82" t="s">
        <v>36</v>
      </c>
      <c r="BB82" s="6">
        <f>'Monthly Data'!AD126</f>
        <v>36458</v>
      </c>
      <c r="BC82" s="6">
        <f>'Monthly Data'!AF126</f>
        <v>365</v>
      </c>
      <c r="BD82" s="85">
        <f>BB82/BC82/'Monthly Data'!CF126</f>
        <v>3.2220945647370747</v>
      </c>
      <c r="BG82" t="s">
        <v>36</v>
      </c>
      <c r="BH82" s="6">
        <f>'Monthly Data'!AG126</f>
        <v>184099</v>
      </c>
      <c r="BI82" s="6">
        <f>'Monthly Data'!AH126</f>
        <v>236</v>
      </c>
      <c r="BJ82" s="85">
        <f>BH82/BI82/'Monthly Data'!CF126</f>
        <v>25.163887370147624</v>
      </c>
      <c r="BM82" t="str">
        <f t="shared" si="71"/>
        <v>May</v>
      </c>
      <c r="BN82" s="19">
        <f t="shared" si="73"/>
        <v>188041</v>
      </c>
      <c r="BO82" s="19">
        <f t="shared" si="72"/>
        <v>339</v>
      </c>
      <c r="BP82" s="7">
        <f>BN82/BO82/'Monthly Data'!CF126</f>
        <v>17.893329527072034</v>
      </c>
    </row>
    <row r="83" spans="47:68">
      <c r="AU83" t="s">
        <v>62</v>
      </c>
      <c r="AV83" s="6">
        <f>'Monthly Data'!AA127</f>
        <v>183935</v>
      </c>
      <c r="AW83" s="6">
        <f>'Monthly Data'!AC127</f>
        <v>10165</v>
      </c>
      <c r="AX83" s="120">
        <f>AV83/AW83/'Monthly Data'!CF127</f>
        <v>0.60316445318904732</v>
      </c>
      <c r="BA83" t="s">
        <v>62</v>
      </c>
      <c r="BB83" s="6">
        <f>'Monthly Data'!AD127</f>
        <v>35282</v>
      </c>
      <c r="BC83" s="6">
        <f>'Monthly Data'!AF127</f>
        <v>364</v>
      </c>
      <c r="BD83" s="85">
        <f>BB83/BC83/'Monthly Data'!CF127</f>
        <v>3.230952380952381</v>
      </c>
      <c r="BG83" t="s">
        <v>62</v>
      </c>
      <c r="BH83" s="6">
        <f>'Monthly Data'!AG127</f>
        <v>178160</v>
      </c>
      <c r="BI83" s="6">
        <f>'Monthly Data'!AH127</f>
        <v>236</v>
      </c>
      <c r="BJ83" s="85">
        <f>BH83/BI83/'Monthly Data'!CF127</f>
        <v>25.163841807909602</v>
      </c>
      <c r="BM83" t="str">
        <f t="shared" si="71"/>
        <v>Jun</v>
      </c>
      <c r="BN83" s="19">
        <f t="shared" si="73"/>
        <v>182102</v>
      </c>
      <c r="BO83" s="19">
        <f t="shared" si="72"/>
        <v>339</v>
      </c>
      <c r="BP83" s="7">
        <f>BN83/BO83/'Monthly Data'!CF127</f>
        <v>17.905801376597836</v>
      </c>
    </row>
    <row r="84" spans="47:68">
      <c r="AU84" t="s">
        <v>63</v>
      </c>
      <c r="AV84" s="6">
        <f>'Monthly Data'!AA128</f>
        <v>195874</v>
      </c>
      <c r="AW84" s="6">
        <f>'Monthly Data'!AC128</f>
        <v>10184</v>
      </c>
      <c r="AX84" s="120">
        <f>AV84/AW84/'Monthly Data'!CF128</f>
        <v>0.62043559790183211</v>
      </c>
      <c r="BA84" t="s">
        <v>63</v>
      </c>
      <c r="BB84" s="6">
        <f>'Monthly Data'!AD128</f>
        <v>36438</v>
      </c>
      <c r="BC84" s="6">
        <f>'Monthly Data'!AF128</f>
        <v>364</v>
      </c>
      <c r="BD84" s="85">
        <f>BB84/BC84/'Monthly Data'!CF128</f>
        <v>3.229174051754697</v>
      </c>
      <c r="BG84" t="s">
        <v>63</v>
      </c>
      <c r="BH84" s="6">
        <f>'Monthly Data'!AG128</f>
        <v>184099</v>
      </c>
      <c r="BI84" s="6">
        <f>'Monthly Data'!AH128</f>
        <v>236</v>
      </c>
      <c r="BJ84" s="85">
        <f>BH84/BI84/'Monthly Data'!CF128</f>
        <v>25.163887370147624</v>
      </c>
      <c r="BM84" t="str">
        <f t="shared" si="71"/>
        <v>Jul</v>
      </c>
      <c r="BN84" s="19">
        <f t="shared" si="73"/>
        <v>188041</v>
      </c>
      <c r="BO84" s="19">
        <f t="shared" si="72"/>
        <v>339</v>
      </c>
      <c r="BP84" s="7">
        <f>BN84/BO84/'Monthly Data'!CF128</f>
        <v>17.893329527072034</v>
      </c>
    </row>
    <row r="85" spans="47:68">
      <c r="AU85" t="s">
        <v>64</v>
      </c>
      <c r="AV85" s="6">
        <f>'Monthly Data'!AA129</f>
        <v>219631</v>
      </c>
      <c r="AW85" s="6">
        <f>'Monthly Data'!AC129</f>
        <v>10184</v>
      </c>
      <c r="AX85" s="120">
        <f>AV85/AW85/'Monthly Data'!CF129</f>
        <v>0.69568646580341087</v>
      </c>
      <c r="BA85" t="s">
        <v>64</v>
      </c>
      <c r="BB85" s="6">
        <f>'Monthly Data'!AD129</f>
        <v>36360</v>
      </c>
      <c r="BC85" s="6">
        <f>'Monthly Data'!AF129</f>
        <v>363</v>
      </c>
      <c r="BD85" s="85">
        <f>BB85/BC85/'Monthly Data'!CF129</f>
        <v>3.2311383631031725</v>
      </c>
      <c r="BG85" t="s">
        <v>64</v>
      </c>
      <c r="BH85" s="6">
        <f>'Monthly Data'!AG129</f>
        <v>183992</v>
      </c>
      <c r="BI85" s="6">
        <f>'Monthly Data'!AH129</f>
        <v>235</v>
      </c>
      <c r="BJ85" s="85">
        <f>BH85/BI85/'Monthly Data'!CF129</f>
        <v>25.256280027453673</v>
      </c>
      <c r="BM85" t="str">
        <f t="shared" si="71"/>
        <v>Aug</v>
      </c>
      <c r="BN85" s="19">
        <f t="shared" si="73"/>
        <v>187934</v>
      </c>
      <c r="BO85" s="19">
        <f t="shared" si="72"/>
        <v>338</v>
      </c>
      <c r="BP85" s="7">
        <f>BN85/BO85/'Monthly Data'!CF129</f>
        <v>17.936056499331933</v>
      </c>
    </row>
    <row r="86" spans="47:68">
      <c r="AU86" t="s">
        <v>195</v>
      </c>
      <c r="AV86" s="6">
        <f>'Monthly Data'!AA130</f>
        <v>250129</v>
      </c>
      <c r="AW86" s="6">
        <f>'Monthly Data'!AC130</f>
        <v>10192</v>
      </c>
      <c r="AX86" s="120">
        <f>AV86/AW86/'Monthly Data'!CF130</f>
        <v>0.81805664573521719</v>
      </c>
      <c r="BA86" t="s">
        <v>195</v>
      </c>
      <c r="BB86" s="6">
        <f>'Monthly Data'!AD130</f>
        <v>35187</v>
      </c>
      <c r="BC86" s="6">
        <f>'Monthly Data'!AF130</f>
        <v>363</v>
      </c>
      <c r="BD86" s="85">
        <f>BB86/BC86/'Monthly Data'!CF130</f>
        <v>3.2311294765840222</v>
      </c>
      <c r="BG86" t="s">
        <v>195</v>
      </c>
      <c r="BH86" s="6">
        <f>'Monthly Data'!AG130</f>
        <v>178056</v>
      </c>
      <c r="BI86" s="6">
        <f>'Monthly Data'!AH130</f>
        <v>235</v>
      </c>
      <c r="BJ86" s="85">
        <f>BH86/BI86/'Monthly Data'!CF130</f>
        <v>25.256170212765955</v>
      </c>
      <c r="BM86" t="str">
        <f t="shared" si="71"/>
        <v>Sep</v>
      </c>
      <c r="BN86" s="19">
        <f t="shared" si="73"/>
        <v>181998</v>
      </c>
      <c r="BO86" s="19">
        <f t="shared" si="72"/>
        <v>338</v>
      </c>
      <c r="BP86" s="7">
        <f>BN86/BO86/'Monthly Data'!CF130</f>
        <v>17.948520710059174</v>
      </c>
    </row>
    <row r="87" spans="47:68">
      <c r="AU87" t="s">
        <v>45</v>
      </c>
      <c r="AV87" s="6">
        <f>'Monthly Data'!AA131</f>
        <v>281484</v>
      </c>
      <c r="AW87" s="6">
        <f>'Monthly Data'!AC131</f>
        <v>10194</v>
      </c>
      <c r="AX87" s="120">
        <f>AV87/AW87/'Monthly Data'!CF131</f>
        <v>0.89073268905807967</v>
      </c>
      <c r="BA87" t="s">
        <v>45</v>
      </c>
      <c r="BB87" s="6">
        <f>'Monthly Data'!AD131</f>
        <v>36360</v>
      </c>
      <c r="BC87" s="6">
        <f>'Monthly Data'!AF131</f>
        <v>363</v>
      </c>
      <c r="BD87" s="85">
        <f>BB87/BC87/'Monthly Data'!CF131</f>
        <v>3.2311383631031725</v>
      </c>
      <c r="BG87" t="s">
        <v>45</v>
      </c>
      <c r="BH87" s="6">
        <f>'Monthly Data'!AG131</f>
        <v>183992</v>
      </c>
      <c r="BI87" s="6">
        <f>'Monthly Data'!AH131</f>
        <v>235</v>
      </c>
      <c r="BJ87" s="85">
        <f>BH87/BI87/'Monthly Data'!CF131</f>
        <v>25.256280027453673</v>
      </c>
      <c r="BM87" t="str">
        <f t="shared" si="71"/>
        <v>Oct</v>
      </c>
      <c r="BN87" s="19">
        <f t="shared" si="73"/>
        <v>187934</v>
      </c>
      <c r="BO87" s="19">
        <f t="shared" si="72"/>
        <v>338</v>
      </c>
      <c r="BP87" s="7">
        <f>BN87/BO87/'Monthly Data'!CF131</f>
        <v>17.936056499331933</v>
      </c>
    </row>
    <row r="88" spans="47:68">
      <c r="AU88" t="s">
        <v>44</v>
      </c>
      <c r="AV88" s="6">
        <f>'Monthly Data'!AA132</f>
        <v>298834</v>
      </c>
      <c r="AW88" s="6">
        <f>'Monthly Data'!AC132</f>
        <v>10193</v>
      </c>
      <c r="AX88" s="120">
        <f>AV88/AW88/'Monthly Data'!CF132</f>
        <v>0.9772523627325943</v>
      </c>
      <c r="BA88" t="s">
        <v>44</v>
      </c>
      <c r="BB88" s="6">
        <f>'Monthly Data'!AD132</f>
        <v>35187</v>
      </c>
      <c r="BC88" s="6">
        <f>'Monthly Data'!AF132</f>
        <v>363</v>
      </c>
      <c r="BD88" s="85">
        <f>BB88/BC88/'Monthly Data'!CF132</f>
        <v>3.2311294765840222</v>
      </c>
      <c r="BG88" t="s">
        <v>44</v>
      </c>
      <c r="BH88" s="6">
        <f>'Monthly Data'!AG132</f>
        <v>178056</v>
      </c>
      <c r="BI88" s="6">
        <f>'Monthly Data'!AH132</f>
        <v>235</v>
      </c>
      <c r="BJ88" s="85">
        <f>BH88/BI88/'Monthly Data'!CF132</f>
        <v>25.256170212765955</v>
      </c>
      <c r="BM88" t="str">
        <f t="shared" si="71"/>
        <v>Nov</v>
      </c>
      <c r="BN88" s="19">
        <f t="shared" si="73"/>
        <v>181998</v>
      </c>
      <c r="BO88" s="19">
        <f t="shared" si="72"/>
        <v>338</v>
      </c>
      <c r="BP88" s="7">
        <f>BN88/BO88/'Monthly Data'!CF132</f>
        <v>17.948520710059174</v>
      </c>
    </row>
    <row r="89" spans="47:68">
      <c r="AU89" t="s">
        <v>43</v>
      </c>
      <c r="AV89" s="6">
        <f>'Monthly Data'!AA133</f>
        <v>308795</v>
      </c>
      <c r="AW89" s="6">
        <f>'Monthly Data'!AC133</f>
        <v>10193</v>
      </c>
      <c r="AX89" s="120">
        <f>AV89/AW89/'Monthly Data'!CF133</f>
        <v>0.97725194076896538</v>
      </c>
      <c r="BA89" t="s">
        <v>43</v>
      </c>
      <c r="BB89" s="6">
        <f>'Monthly Data'!AD133</f>
        <v>36282</v>
      </c>
      <c r="BC89" s="6">
        <f>'Monthly Data'!AF133</f>
        <v>363</v>
      </c>
      <c r="BD89" s="85">
        <f>BB89/BC89/'Monthly Data'!CF133</f>
        <v>3.2242068781658224</v>
      </c>
      <c r="BG89" t="s">
        <v>43</v>
      </c>
      <c r="BH89" s="6">
        <f>'Monthly Data'!AG133</f>
        <v>183992</v>
      </c>
      <c r="BI89" s="6">
        <f>'Monthly Data'!AH133</f>
        <v>235</v>
      </c>
      <c r="BJ89" s="85">
        <f>BH89/BI89/'Monthly Data'!CF133</f>
        <v>25.256280027453673</v>
      </c>
      <c r="BM89" t="str">
        <f t="shared" si="71"/>
        <v>Dec</v>
      </c>
      <c r="BN89" s="19">
        <f t="shared" si="73"/>
        <v>187934</v>
      </c>
      <c r="BO89" s="19">
        <f t="shared" si="72"/>
        <v>338</v>
      </c>
      <c r="BP89" s="7">
        <f>BN89/BO89/'Monthly Data'!CF133</f>
        <v>17.936056499331933</v>
      </c>
    </row>
  </sheetData>
  <mergeCells count="9">
    <mergeCell ref="BM2:BQ2"/>
    <mergeCell ref="BA2:BE2"/>
    <mergeCell ref="BG2:BK2"/>
    <mergeCell ref="B2:I2"/>
    <mergeCell ref="K2:R2"/>
    <mergeCell ref="T2:AA2"/>
    <mergeCell ref="AC2:AJ2"/>
    <mergeCell ref="AL2:AS2"/>
    <mergeCell ref="AU2:AY2"/>
  </mergeCells>
  <phoneticPr fontId="29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0" tint="-0.14999847407452621"/>
  </sheetPr>
  <dimension ref="A2:AG69"/>
  <sheetViews>
    <sheetView topLeftCell="A2" workbookViewId="0">
      <selection activeCell="Y54" sqref="Y54"/>
    </sheetView>
  </sheetViews>
  <sheetFormatPr defaultRowHeight="15"/>
  <cols>
    <col min="1" max="1" width="5.5703125" customWidth="1"/>
    <col min="2" max="2" width="5" bestFit="1" customWidth="1"/>
    <col min="3" max="3" width="10.5703125" bestFit="1" customWidth="1"/>
    <col min="4" max="4" width="9.85546875" customWidth="1"/>
    <col min="5" max="5" width="2" customWidth="1"/>
    <col min="6" max="6" width="5" customWidth="1"/>
    <col min="7" max="7" width="10" bestFit="1" customWidth="1"/>
    <col min="8" max="8" width="9.5703125" bestFit="1" customWidth="1"/>
    <col min="9" max="9" width="1.85546875" customWidth="1"/>
    <col min="10" max="10" width="5" bestFit="1" customWidth="1"/>
    <col min="11" max="11" width="10" bestFit="1" customWidth="1"/>
    <col min="12" max="12" width="10.85546875" customWidth="1"/>
    <col min="13" max="13" width="2" customWidth="1"/>
    <col min="14" max="14" width="5" bestFit="1" customWidth="1"/>
    <col min="15" max="15" width="10" bestFit="1" customWidth="1"/>
    <col min="17" max="17" width="2.7109375" customWidth="1"/>
    <col min="18" max="18" width="5" bestFit="1" customWidth="1"/>
    <col min="19" max="19" width="10" bestFit="1" customWidth="1"/>
    <col min="21" max="21" width="2.85546875" customWidth="1"/>
    <col min="22" max="22" width="5" bestFit="1" customWidth="1"/>
    <col min="23" max="23" width="10" bestFit="1" customWidth="1"/>
    <col min="25" max="25" width="2.5703125" customWidth="1"/>
    <col min="26" max="26" width="5" bestFit="1" customWidth="1"/>
    <col min="27" max="27" width="10" bestFit="1" customWidth="1"/>
    <col min="29" max="29" width="2.140625" customWidth="1"/>
    <col min="30" max="30" width="5" bestFit="1" customWidth="1"/>
    <col min="31" max="31" width="10" bestFit="1" customWidth="1"/>
    <col min="33" max="33" width="11.85546875" customWidth="1"/>
  </cols>
  <sheetData>
    <row r="2" spans="2:33" ht="15" customHeight="1">
      <c r="B2" s="298" t="s">
        <v>25</v>
      </c>
      <c r="C2" s="298"/>
      <c r="D2" s="297" t="s">
        <v>130</v>
      </c>
      <c r="E2" s="22"/>
      <c r="F2" s="298" t="s">
        <v>131</v>
      </c>
      <c r="G2" s="298"/>
      <c r="H2" s="297" t="s">
        <v>130</v>
      </c>
      <c r="I2" s="22"/>
      <c r="J2" s="298" t="s">
        <v>133</v>
      </c>
      <c r="K2" s="298"/>
      <c r="L2" s="297" t="s">
        <v>130</v>
      </c>
      <c r="M2" s="22"/>
      <c r="N2" s="298" t="s">
        <v>57</v>
      </c>
      <c r="O2" s="298"/>
      <c r="P2" s="297" t="s">
        <v>130</v>
      </c>
      <c r="Q2" s="22"/>
      <c r="R2" s="298" t="s">
        <v>58</v>
      </c>
      <c r="S2" s="298"/>
      <c r="T2" s="297" t="s">
        <v>130</v>
      </c>
      <c r="U2" s="22"/>
      <c r="V2" s="298" t="s">
        <v>135</v>
      </c>
      <c r="W2" s="298"/>
      <c r="X2" s="297" t="s">
        <v>130</v>
      </c>
      <c r="Y2" s="22"/>
      <c r="Z2" s="298" t="s">
        <v>134</v>
      </c>
      <c r="AA2" s="298"/>
      <c r="AB2" s="297" t="s">
        <v>130</v>
      </c>
      <c r="AC2" s="22"/>
      <c r="AD2" s="298" t="s">
        <v>71</v>
      </c>
      <c r="AE2" s="298"/>
      <c r="AF2" s="297" t="s">
        <v>130</v>
      </c>
      <c r="AG2" s="39"/>
    </row>
    <row r="3" spans="2:33">
      <c r="B3" s="31" t="s">
        <v>53</v>
      </c>
      <c r="C3" s="31" t="s">
        <v>132</v>
      </c>
      <c r="D3" s="297"/>
      <c r="E3" s="22"/>
      <c r="F3" s="31" t="s">
        <v>53</v>
      </c>
      <c r="G3" s="31" t="s">
        <v>132</v>
      </c>
      <c r="H3" s="297"/>
      <c r="I3" s="22"/>
      <c r="J3" s="31" t="s">
        <v>53</v>
      </c>
      <c r="K3" s="31" t="s">
        <v>132</v>
      </c>
      <c r="L3" s="297"/>
      <c r="M3" s="22"/>
      <c r="N3" s="31" t="s">
        <v>53</v>
      </c>
      <c r="O3" s="31" t="s">
        <v>132</v>
      </c>
      <c r="P3" s="297"/>
      <c r="Q3" s="22"/>
      <c r="R3" s="31" t="s">
        <v>53</v>
      </c>
      <c r="S3" s="31" t="s">
        <v>132</v>
      </c>
      <c r="T3" s="297"/>
      <c r="U3" s="22"/>
      <c r="V3" s="31" t="s">
        <v>53</v>
      </c>
      <c r="W3" s="31" t="s">
        <v>132</v>
      </c>
      <c r="X3" s="297"/>
      <c r="Y3" s="22"/>
      <c r="Z3" s="31" t="s">
        <v>53</v>
      </c>
      <c r="AA3" s="31" t="s">
        <v>132</v>
      </c>
      <c r="AB3" s="297"/>
      <c r="AC3" s="22"/>
      <c r="AD3" s="31" t="s">
        <v>53</v>
      </c>
      <c r="AE3" s="31" t="s">
        <v>132</v>
      </c>
      <c r="AF3" s="297"/>
      <c r="AG3" s="39"/>
    </row>
    <row r="4" spans="2:33">
      <c r="B4" s="22">
        <v>2010</v>
      </c>
      <c r="C4" s="32">
        <v>31552</v>
      </c>
      <c r="D4" s="33"/>
      <c r="E4" s="34"/>
      <c r="F4" s="22">
        <v>2010</v>
      </c>
      <c r="G4" s="32">
        <v>3510.5833333333335</v>
      </c>
      <c r="H4" s="33"/>
      <c r="I4" s="34"/>
      <c r="J4" s="22">
        <v>2010</v>
      </c>
      <c r="K4" s="32">
        <v>392.54166666666669</v>
      </c>
      <c r="L4" s="33"/>
      <c r="M4" s="34"/>
      <c r="N4" s="22">
        <v>2010</v>
      </c>
      <c r="O4" s="32">
        <v>16</v>
      </c>
      <c r="P4" s="33"/>
      <c r="Q4" s="34"/>
      <c r="R4" s="22">
        <v>2010</v>
      </c>
      <c r="S4" s="32">
        <v>3</v>
      </c>
      <c r="T4" s="33"/>
      <c r="U4" s="34"/>
      <c r="V4" s="22">
        <v>2010</v>
      </c>
      <c r="W4" s="32">
        <v>9899.3333333333339</v>
      </c>
      <c r="X4" s="33"/>
      <c r="Y4" s="34"/>
      <c r="Z4" s="22">
        <v>2010</v>
      </c>
      <c r="AA4" s="32">
        <v>497</v>
      </c>
      <c r="AB4" s="33"/>
      <c r="AC4" s="34"/>
      <c r="AD4" s="22">
        <v>2010</v>
      </c>
      <c r="AE4" s="32">
        <v>257</v>
      </c>
      <c r="AF4" s="33"/>
      <c r="AG4" s="33"/>
    </row>
    <row r="5" spans="2:33">
      <c r="B5" s="22">
        <f t="shared" ref="B5:B17" si="0">B4+1</f>
        <v>2011</v>
      </c>
      <c r="C5" s="32">
        <v>31786.666666666668</v>
      </c>
      <c r="D5" s="33">
        <f t="shared" ref="D5:D12" si="1">C5/C4</f>
        <v>1.0074374577417173</v>
      </c>
      <c r="E5" s="34"/>
      <c r="F5" s="22">
        <f t="shared" ref="F5:F17" si="2">F4+1</f>
        <v>2011</v>
      </c>
      <c r="G5" s="32">
        <v>3506.8333333333335</v>
      </c>
      <c r="H5" s="33">
        <f t="shared" ref="H5:H12" si="3">G5/G4</f>
        <v>0.9989318014574976</v>
      </c>
      <c r="I5" s="34"/>
      <c r="J5" s="22">
        <f t="shared" ref="J5:J17" si="4">J4+1</f>
        <v>2011</v>
      </c>
      <c r="K5" s="32">
        <v>408.75</v>
      </c>
      <c r="L5" s="33">
        <f t="shared" ref="L5:L12" si="5">K5/K4</f>
        <v>1.0412907334677848</v>
      </c>
      <c r="M5" s="34"/>
      <c r="N5" s="22">
        <f t="shared" ref="N5:N17" si="6">N4+1</f>
        <v>2011</v>
      </c>
      <c r="O5" s="32">
        <v>13</v>
      </c>
      <c r="P5" s="33">
        <f t="shared" ref="P5:P12" si="7">O5/O4</f>
        <v>0.8125</v>
      </c>
      <c r="Q5" s="34"/>
      <c r="R5" s="22">
        <f t="shared" ref="R5:R17" si="8">R4+1</f>
        <v>2011</v>
      </c>
      <c r="S5" s="32">
        <v>3</v>
      </c>
      <c r="T5" s="33">
        <f t="shared" ref="T5:T12" si="9">S5/S4</f>
        <v>1</v>
      </c>
      <c r="U5" s="34"/>
      <c r="V5" s="22">
        <f t="shared" ref="V5:V17" si="10">V4+1</f>
        <v>2011</v>
      </c>
      <c r="W5" s="32">
        <v>9964.5833333333339</v>
      </c>
      <c r="X5" s="33">
        <f t="shared" ref="X5:X12" si="11">W5/W4</f>
        <v>1.0065913529530608</v>
      </c>
      <c r="Y5" s="34"/>
      <c r="Z5" s="22">
        <f t="shared" ref="Z5:Z17" si="12">Z4+1</f>
        <v>2011</v>
      </c>
      <c r="AA5" s="32">
        <v>497</v>
      </c>
      <c r="AB5" s="33">
        <f t="shared" ref="AB5:AB12" si="13">AA5/AA4</f>
        <v>1</v>
      </c>
      <c r="AC5" s="34"/>
      <c r="AD5" s="22">
        <f t="shared" ref="AD5:AD17" si="14">AD4+1</f>
        <v>2011</v>
      </c>
      <c r="AE5" s="32">
        <v>260</v>
      </c>
      <c r="AF5" s="33">
        <f t="shared" ref="AF5:AF12" si="15">AE5/AE4</f>
        <v>1.0116731517509727</v>
      </c>
      <c r="AG5" s="33"/>
    </row>
    <row r="6" spans="2:33">
      <c r="B6" s="22">
        <f t="shared" si="0"/>
        <v>2012</v>
      </c>
      <c r="C6" s="32">
        <f>AVERAGEIFS('Monthly Data'!G:G,'Monthly Data'!B:B,B6)</f>
        <v>31896.333333333332</v>
      </c>
      <c r="D6" s="33">
        <f t="shared" si="1"/>
        <v>1.0034500838926175</v>
      </c>
      <c r="E6" s="34"/>
      <c r="F6" s="22">
        <f t="shared" si="2"/>
        <v>2012</v>
      </c>
      <c r="G6" s="32">
        <v>3479.6666666666665</v>
      </c>
      <c r="H6" s="33">
        <f t="shared" si="3"/>
        <v>0.99225321990399684</v>
      </c>
      <c r="I6" s="34"/>
      <c r="J6" s="22">
        <f t="shared" si="4"/>
        <v>2012</v>
      </c>
      <c r="K6" s="32">
        <f>AVERAGEIFS('Monthly Data'!DI:DI,'Monthly Data'!B:B,B6)</f>
        <v>428.25</v>
      </c>
      <c r="L6" s="33">
        <f t="shared" si="5"/>
        <v>1.0477064220183485</v>
      </c>
      <c r="M6" s="34"/>
      <c r="N6" s="22">
        <f t="shared" si="6"/>
        <v>2012</v>
      </c>
      <c r="O6" s="32">
        <f>AVERAGEIFS('Monthly Data'!DJ:DJ,'Monthly Data'!B:B,B6)</f>
        <v>13</v>
      </c>
      <c r="P6" s="33">
        <f t="shared" si="7"/>
        <v>1</v>
      </c>
      <c r="Q6" s="34"/>
      <c r="R6" s="22">
        <f t="shared" si="8"/>
        <v>2012</v>
      </c>
      <c r="S6" s="32">
        <v>3</v>
      </c>
      <c r="T6" s="33">
        <f t="shared" si="9"/>
        <v>1</v>
      </c>
      <c r="U6" s="34"/>
      <c r="V6" s="22">
        <f t="shared" si="10"/>
        <v>2012</v>
      </c>
      <c r="W6" s="32">
        <v>10019.333333333334</v>
      </c>
      <c r="X6" s="33">
        <f t="shared" si="11"/>
        <v>1.005494459544219</v>
      </c>
      <c r="Y6" s="34"/>
      <c r="Z6" s="22">
        <f t="shared" si="12"/>
        <v>2012</v>
      </c>
      <c r="AA6" s="32">
        <v>446.75</v>
      </c>
      <c r="AB6" s="33">
        <f t="shared" si="13"/>
        <v>0.89889336016096577</v>
      </c>
      <c r="AC6" s="34"/>
      <c r="AD6" s="22">
        <f t="shared" si="14"/>
        <v>2012</v>
      </c>
      <c r="AE6" s="32">
        <f>AVERAGEIFS('Monthly Data'!AH:AH,'Monthly Data'!B:B,B6)</f>
        <v>263</v>
      </c>
      <c r="AF6" s="33">
        <f t="shared" si="15"/>
        <v>1.0115384615384615</v>
      </c>
      <c r="AG6" s="33"/>
    </row>
    <row r="7" spans="2:33">
      <c r="B7" s="22">
        <f t="shared" si="0"/>
        <v>2013</v>
      </c>
      <c r="C7" s="32">
        <f>AVERAGEIFS('Monthly Data'!G:G,'Monthly Data'!B:B,B7)</f>
        <v>32001.75</v>
      </c>
      <c r="D7" s="33">
        <f t="shared" si="1"/>
        <v>1.0033049775836302</v>
      </c>
      <c r="E7" s="34"/>
      <c r="F7" s="22">
        <f t="shared" si="2"/>
        <v>2013</v>
      </c>
      <c r="G7" s="32">
        <f>AVERAGEIFS('Monthly Data'!DH:DH,'Monthly Data'!B:B,B7)</f>
        <v>3471.5833333333335</v>
      </c>
      <c r="H7" s="33">
        <f t="shared" si="3"/>
        <v>0.99767698055369292</v>
      </c>
      <c r="I7" s="34"/>
      <c r="J7" s="22">
        <f t="shared" si="4"/>
        <v>2013</v>
      </c>
      <c r="K7" s="32">
        <f>AVERAGEIFS('Monthly Data'!DI:DI,'Monthly Data'!B:B,B7)</f>
        <v>428.33333333333331</v>
      </c>
      <c r="L7" s="33">
        <f t="shared" si="5"/>
        <v>1.0001945903872349</v>
      </c>
      <c r="M7" s="34"/>
      <c r="N7" s="22">
        <f t="shared" si="6"/>
        <v>2013</v>
      </c>
      <c r="O7" s="32">
        <f>AVERAGEIFS('Monthly Data'!DJ:DJ,'Monthly Data'!B:B,B7)</f>
        <v>12.5</v>
      </c>
      <c r="P7" s="33">
        <f t="shared" si="7"/>
        <v>0.96153846153846156</v>
      </c>
      <c r="Q7" s="34"/>
      <c r="R7" s="22">
        <f t="shared" si="8"/>
        <v>2013</v>
      </c>
      <c r="S7" s="32">
        <f>AVERAGEIFS('Monthly Data'!DK:DK,'Monthly Data'!B:B,B7)</f>
        <v>3</v>
      </c>
      <c r="T7" s="33">
        <f t="shared" si="9"/>
        <v>1</v>
      </c>
      <c r="U7" s="34"/>
      <c r="V7" s="22">
        <f t="shared" si="10"/>
        <v>2013</v>
      </c>
      <c r="W7" s="32">
        <f>AVERAGEIFS('Monthly Data'!AC:AC,'Monthly Data'!B:B,B7)</f>
        <v>10029.5</v>
      </c>
      <c r="X7" s="33">
        <f t="shared" si="11"/>
        <v>1.0010147049038525</v>
      </c>
      <c r="Y7" s="34"/>
      <c r="Z7" s="22">
        <f t="shared" si="12"/>
        <v>2013</v>
      </c>
      <c r="AA7" s="32">
        <f>AVERAGEIFS('Monthly Data'!AF:AF,'Monthly Data'!B:B,B7)</f>
        <v>427.58333333333331</v>
      </c>
      <c r="AB7" s="33">
        <f t="shared" si="13"/>
        <v>0.95709755642603989</v>
      </c>
      <c r="AC7" s="34"/>
      <c r="AD7" s="22">
        <f t="shared" si="14"/>
        <v>2013</v>
      </c>
      <c r="AE7" s="32">
        <f>AVERAGEIFS('Monthly Data'!AH:AH,'Monthly Data'!B:B,B7)</f>
        <v>262.08333333333331</v>
      </c>
      <c r="AF7" s="33">
        <f t="shared" si="15"/>
        <v>0.99651457541191379</v>
      </c>
      <c r="AG7" s="33"/>
    </row>
    <row r="8" spans="2:33">
      <c r="B8" s="22">
        <f t="shared" si="0"/>
        <v>2014</v>
      </c>
      <c r="C8" s="32">
        <f>AVERAGEIFS('Monthly Data'!DG:DG,'Monthly Data'!B:B,B8)</f>
        <v>32139</v>
      </c>
      <c r="D8" s="33">
        <f t="shared" si="1"/>
        <v>1.0042888279547213</v>
      </c>
      <c r="E8" s="35"/>
      <c r="F8" s="22">
        <f t="shared" si="2"/>
        <v>2014</v>
      </c>
      <c r="G8" s="32">
        <f>AVERAGEIFS('Monthly Data'!DH:DH,'Monthly Data'!B:B,B8)</f>
        <v>3494.5</v>
      </c>
      <c r="H8" s="33">
        <f t="shared" si="3"/>
        <v>1.0066012146234906</v>
      </c>
      <c r="I8" s="35"/>
      <c r="J8" s="22">
        <f t="shared" si="4"/>
        <v>2014</v>
      </c>
      <c r="K8" s="32">
        <f>AVERAGEIFS('Monthly Data'!DI:DI,'Monthly Data'!B:B,B8)</f>
        <v>393.16666666666669</v>
      </c>
      <c r="L8" s="33">
        <f t="shared" si="5"/>
        <v>0.91789883268482497</v>
      </c>
      <c r="M8" s="35"/>
      <c r="N8" s="22">
        <f t="shared" si="6"/>
        <v>2014</v>
      </c>
      <c r="O8" s="32">
        <f>AVERAGEIFS('Monthly Data'!DJ:DJ,'Monthly Data'!B:B,B8)</f>
        <v>12</v>
      </c>
      <c r="P8" s="33">
        <f t="shared" si="7"/>
        <v>0.96</v>
      </c>
      <c r="Q8" s="35"/>
      <c r="R8" s="22">
        <f t="shared" si="8"/>
        <v>2014</v>
      </c>
      <c r="S8" s="32">
        <f>AVERAGEIFS('Monthly Data'!DK:DK,'Monthly Data'!B:B,B8)</f>
        <v>3</v>
      </c>
      <c r="T8" s="33">
        <f t="shared" si="9"/>
        <v>1</v>
      </c>
      <c r="U8" s="35"/>
      <c r="V8" s="22">
        <f t="shared" si="10"/>
        <v>2014</v>
      </c>
      <c r="W8" s="32">
        <f>AVERAGEIFS('Monthly Data'!AC:AC,'Monthly Data'!B:B,B8)</f>
        <v>10050.833333333334</v>
      </c>
      <c r="X8" s="33">
        <f t="shared" si="11"/>
        <v>1.0021270585107267</v>
      </c>
      <c r="Y8" s="35"/>
      <c r="Z8" s="22">
        <f t="shared" si="12"/>
        <v>2014</v>
      </c>
      <c r="AA8" s="32">
        <f>AVERAGEIFS('Monthly Data'!AF:AF,'Monthly Data'!B:B,B8)</f>
        <v>417.91666666666669</v>
      </c>
      <c r="AB8" s="33">
        <f t="shared" si="13"/>
        <v>0.97739232118495434</v>
      </c>
      <c r="AC8" s="35"/>
      <c r="AD8" s="22">
        <f t="shared" si="14"/>
        <v>2014</v>
      </c>
      <c r="AE8" s="32">
        <f>AVERAGEIFS('Monthly Data'!AH:AH,'Monthly Data'!B:B,B8)</f>
        <v>261.91666666666669</v>
      </c>
      <c r="AF8" s="33">
        <f t="shared" si="15"/>
        <v>0.99936406995230542</v>
      </c>
      <c r="AG8" s="33"/>
    </row>
    <row r="9" spans="2:33">
      <c r="B9" s="22">
        <f t="shared" si="0"/>
        <v>2015</v>
      </c>
      <c r="C9" s="32">
        <f>AVERAGEIFS('Monthly Data'!DG:DG,'Monthly Data'!B:B,B9)</f>
        <v>32276.666666666668</v>
      </c>
      <c r="D9" s="33">
        <f t="shared" si="1"/>
        <v>1.0042834769802007</v>
      </c>
      <c r="E9" s="35"/>
      <c r="F9" s="22">
        <f t="shared" si="2"/>
        <v>2015</v>
      </c>
      <c r="G9" s="32">
        <f>AVERAGEIFS('Monthly Data'!DH:DH,'Monthly Data'!B:B,B9)</f>
        <v>3497.0833333333335</v>
      </c>
      <c r="H9" s="33">
        <f t="shared" si="3"/>
        <v>1.0007392569275528</v>
      </c>
      <c r="I9" s="35"/>
      <c r="J9" s="22">
        <f t="shared" si="4"/>
        <v>2015</v>
      </c>
      <c r="K9" s="32">
        <f>AVERAGEIFS('Monthly Data'!DI:DI,'Monthly Data'!B:B,B9)</f>
        <v>376.91666666666669</v>
      </c>
      <c r="L9" s="33">
        <f t="shared" si="5"/>
        <v>0.95866892751165744</v>
      </c>
      <c r="M9" s="35"/>
      <c r="N9" s="22">
        <f t="shared" si="6"/>
        <v>2015</v>
      </c>
      <c r="O9" s="32">
        <f>AVERAGEIFS('Monthly Data'!DJ:DJ,'Monthly Data'!B:B,B9)</f>
        <v>12</v>
      </c>
      <c r="P9" s="33">
        <f t="shared" si="7"/>
        <v>1</v>
      </c>
      <c r="Q9" s="35"/>
      <c r="R9" s="22">
        <f t="shared" si="8"/>
        <v>2015</v>
      </c>
      <c r="S9" s="32">
        <f>AVERAGEIFS('Monthly Data'!DK:DK,'Monthly Data'!B:B,B9)</f>
        <v>3</v>
      </c>
      <c r="T9" s="33">
        <f t="shared" si="9"/>
        <v>1</v>
      </c>
      <c r="U9" s="35"/>
      <c r="V9" s="22">
        <f t="shared" si="10"/>
        <v>2015</v>
      </c>
      <c r="W9" s="32">
        <f>AVERAGEIFS('Monthly Data'!AC:AC,'Monthly Data'!B:B,B9)</f>
        <v>10012.833333333334</v>
      </c>
      <c r="X9" s="33">
        <f t="shared" si="11"/>
        <v>0.99621921897023469</v>
      </c>
      <c r="Y9" s="35"/>
      <c r="Z9" s="22">
        <f t="shared" si="12"/>
        <v>2015</v>
      </c>
      <c r="AA9" s="32">
        <f>AVERAGEIFS('Monthly Data'!AF:AF,'Monthly Data'!B:B,B9)</f>
        <v>412.25</v>
      </c>
      <c r="AB9" s="33">
        <f t="shared" si="13"/>
        <v>0.98644067796610169</v>
      </c>
      <c r="AC9" s="35"/>
      <c r="AD9" s="22">
        <f t="shared" si="14"/>
        <v>2015</v>
      </c>
      <c r="AE9" s="32">
        <f>AVERAGEIFS('Monthly Data'!AH:AH,'Monthly Data'!B:B,B9)</f>
        <v>262.41666666666669</v>
      </c>
      <c r="AF9" s="33">
        <f t="shared" si="15"/>
        <v>1.0019090041361756</v>
      </c>
      <c r="AG9" s="33"/>
    </row>
    <row r="10" spans="2:33">
      <c r="B10" s="22">
        <f t="shared" si="0"/>
        <v>2016</v>
      </c>
      <c r="C10" s="32">
        <f>AVERAGEIFS('Monthly Data'!DG:DG,'Monthly Data'!B:B,B10)</f>
        <v>32434.25</v>
      </c>
      <c r="D10" s="33">
        <f t="shared" si="1"/>
        <v>1.004882267892182</v>
      </c>
      <c r="E10" s="35"/>
      <c r="F10" s="22">
        <f t="shared" si="2"/>
        <v>2016</v>
      </c>
      <c r="G10" s="32">
        <f>AVERAGEIFS('Monthly Data'!DH:DH,'Monthly Data'!B:B,B10)</f>
        <v>3474.75</v>
      </c>
      <c r="H10" s="33">
        <f t="shared" si="3"/>
        <v>0.99361372572381745</v>
      </c>
      <c r="I10" s="35"/>
      <c r="J10" s="22">
        <f t="shared" si="4"/>
        <v>2016</v>
      </c>
      <c r="K10" s="32">
        <f>AVERAGEIFS('Monthly Data'!DI:DI,'Monthly Data'!B:B,B10)</f>
        <v>373</v>
      </c>
      <c r="L10" s="33">
        <f t="shared" si="5"/>
        <v>0.98960866681406146</v>
      </c>
      <c r="M10" s="35"/>
      <c r="N10" s="22">
        <f t="shared" si="6"/>
        <v>2016</v>
      </c>
      <c r="O10" s="32">
        <f>AVERAGEIFS('Monthly Data'!DJ:DJ,'Monthly Data'!B:B,B10)</f>
        <v>11.583333333333334</v>
      </c>
      <c r="P10" s="33">
        <f t="shared" si="7"/>
        <v>0.96527777777777779</v>
      </c>
      <c r="Q10" s="35"/>
      <c r="R10" s="22">
        <f t="shared" si="8"/>
        <v>2016</v>
      </c>
      <c r="S10" s="32">
        <f>AVERAGEIFS('Monthly Data'!DK:DK,'Monthly Data'!B:B,B10)</f>
        <v>3.4166666666666665</v>
      </c>
      <c r="T10" s="33">
        <f t="shared" si="9"/>
        <v>1.1388888888888888</v>
      </c>
      <c r="U10" s="35"/>
      <c r="V10" s="22">
        <f t="shared" si="10"/>
        <v>2016</v>
      </c>
      <c r="W10" s="32">
        <f>AVERAGEIFS('Monthly Data'!AC:AC,'Monthly Data'!B:B,B10)</f>
        <v>10018.083333333334</v>
      </c>
      <c r="X10" s="33">
        <f t="shared" si="11"/>
        <v>1.0005243271135376</v>
      </c>
      <c r="Y10" s="35"/>
      <c r="Z10" s="22">
        <f t="shared" si="12"/>
        <v>2016</v>
      </c>
      <c r="AA10" s="32">
        <f>AVERAGEIFS('Monthly Data'!AF:AF,'Monthly Data'!B:B,B10)</f>
        <v>407.33333333333331</v>
      </c>
      <c r="AB10" s="33">
        <f t="shared" si="13"/>
        <v>0.98807357994744283</v>
      </c>
      <c r="AC10" s="35"/>
      <c r="AD10" s="22">
        <f t="shared" si="14"/>
        <v>2016</v>
      </c>
      <c r="AE10" s="32">
        <f>AVERAGEIFS('Monthly Data'!AH:AH,'Monthly Data'!B:B,B10)</f>
        <v>261.08333333333331</v>
      </c>
      <c r="AF10" s="33">
        <f t="shared" si="15"/>
        <v>0.99491902191171788</v>
      </c>
      <c r="AG10" s="33"/>
    </row>
    <row r="11" spans="2:33">
      <c r="B11" s="22">
        <f t="shared" si="0"/>
        <v>2017</v>
      </c>
      <c r="C11" s="32">
        <f>AVERAGEIFS('Monthly Data'!DG:DG,'Monthly Data'!B:B,B11)</f>
        <v>32604.666666666668</v>
      </c>
      <c r="D11" s="33">
        <f t="shared" si="1"/>
        <v>1.0052542194336749</v>
      </c>
      <c r="E11" s="35"/>
      <c r="F11" s="22">
        <f t="shared" si="2"/>
        <v>2017</v>
      </c>
      <c r="G11" s="32">
        <f>AVERAGEIFS('Monthly Data'!DH:DH,'Monthly Data'!B:B,B11)</f>
        <v>3477.75</v>
      </c>
      <c r="H11" s="33">
        <f t="shared" si="3"/>
        <v>1.000863371465573</v>
      </c>
      <c r="I11" s="35"/>
      <c r="J11" s="22">
        <f t="shared" si="4"/>
        <v>2017</v>
      </c>
      <c r="K11" s="32">
        <f>AVERAGEIFS('Monthly Data'!DI:DI,'Monthly Data'!B:B,B11)</f>
        <v>382.16666666666669</v>
      </c>
      <c r="L11" s="33">
        <f t="shared" si="5"/>
        <v>1.0245755138516532</v>
      </c>
      <c r="M11" s="35"/>
      <c r="N11" s="22">
        <f t="shared" si="6"/>
        <v>2017</v>
      </c>
      <c r="O11" s="32">
        <f>AVERAGEIFS('Monthly Data'!DJ:DJ,'Monthly Data'!B:B,B11)</f>
        <v>11</v>
      </c>
      <c r="P11" s="33">
        <f t="shared" si="7"/>
        <v>0.94964028776978415</v>
      </c>
      <c r="Q11" s="35"/>
      <c r="R11" s="22">
        <f t="shared" si="8"/>
        <v>2017</v>
      </c>
      <c r="S11" s="32">
        <f>AVERAGEIFS('Monthly Data'!DK:DK,'Monthly Data'!B:B,B11)</f>
        <v>4</v>
      </c>
      <c r="T11" s="33">
        <f t="shared" si="9"/>
        <v>1.1707317073170733</v>
      </c>
      <c r="U11" s="35"/>
      <c r="V11" s="22">
        <f t="shared" si="10"/>
        <v>2017</v>
      </c>
      <c r="W11" s="32">
        <f>AVERAGEIFS('Monthly Data'!AC:AC,'Monthly Data'!B:B,B11)</f>
        <v>10042</v>
      </c>
      <c r="X11" s="33">
        <f t="shared" si="11"/>
        <v>1.0023873495429099</v>
      </c>
      <c r="Y11" s="35"/>
      <c r="Z11" s="22">
        <f t="shared" si="12"/>
        <v>2017</v>
      </c>
      <c r="AA11" s="32">
        <f>AVERAGEIFS('Monthly Data'!AF:AF,'Monthly Data'!B:B,B11)</f>
        <v>391.33333333333331</v>
      </c>
      <c r="AB11" s="33">
        <f t="shared" si="13"/>
        <v>0.96072013093289688</v>
      </c>
      <c r="AC11" s="35"/>
      <c r="AD11" s="22">
        <f t="shared" si="14"/>
        <v>2017</v>
      </c>
      <c r="AE11" s="32">
        <f>AVERAGEIFS('Monthly Data'!AH:AH,'Monthly Data'!B:B,B11)</f>
        <v>258.41666666666669</v>
      </c>
      <c r="AF11" s="33">
        <f t="shared" si="15"/>
        <v>0.98978614746249616</v>
      </c>
      <c r="AG11" s="33"/>
    </row>
    <row r="12" spans="2:33">
      <c r="B12" s="22">
        <f t="shared" si="0"/>
        <v>2018</v>
      </c>
      <c r="C12" s="32">
        <f>AVERAGEIFS('Monthly Data'!DG:DG,'Monthly Data'!B:B,B12)</f>
        <v>32755.333333333332</v>
      </c>
      <c r="D12" s="33">
        <f t="shared" si="1"/>
        <v>1.0046210153965689</v>
      </c>
      <c r="E12" s="35"/>
      <c r="F12" s="22">
        <f t="shared" si="2"/>
        <v>2018</v>
      </c>
      <c r="G12" s="32">
        <f>AVERAGEIFS('Monthly Data'!DH:DH,'Monthly Data'!B:B,B12)</f>
        <v>3468.0833333333335</v>
      </c>
      <c r="H12" s="33">
        <f t="shared" si="3"/>
        <v>0.99722042508326747</v>
      </c>
      <c r="I12" s="35"/>
      <c r="J12" s="22">
        <f t="shared" si="4"/>
        <v>2018</v>
      </c>
      <c r="K12" s="32">
        <f>AVERAGEIFS('Monthly Data'!DI:DI,'Monthly Data'!B:B,B12)</f>
        <v>389.41666666666669</v>
      </c>
      <c r="L12" s="33">
        <f t="shared" si="5"/>
        <v>1.0189707806367205</v>
      </c>
      <c r="M12" s="35"/>
      <c r="N12" s="22">
        <f t="shared" si="6"/>
        <v>2018</v>
      </c>
      <c r="O12" s="32">
        <f>AVERAGEIFS('Monthly Data'!DJ:DJ,'Monthly Data'!B:B,B12)</f>
        <v>11</v>
      </c>
      <c r="P12" s="33">
        <f t="shared" si="7"/>
        <v>1</v>
      </c>
      <c r="Q12" s="35"/>
      <c r="R12" s="22">
        <f t="shared" si="8"/>
        <v>2018</v>
      </c>
      <c r="S12" s="32">
        <f>AVERAGEIFS('Monthly Data'!DK:DK,'Monthly Data'!B:B,B12)</f>
        <v>4</v>
      </c>
      <c r="T12" s="33">
        <f t="shared" si="9"/>
        <v>1</v>
      </c>
      <c r="U12" s="35"/>
      <c r="V12" s="22">
        <f t="shared" si="10"/>
        <v>2018</v>
      </c>
      <c r="W12" s="32">
        <f>AVERAGEIFS('Monthly Data'!AC:AC,'Monthly Data'!B:B,B12)</f>
        <v>10067.666666666666</v>
      </c>
      <c r="X12" s="33">
        <f t="shared" si="11"/>
        <v>1.0025559317533028</v>
      </c>
      <c r="Y12" s="35"/>
      <c r="Z12" s="22">
        <f t="shared" si="12"/>
        <v>2018</v>
      </c>
      <c r="AA12" s="32">
        <f>AVERAGEIFS('Monthly Data'!AF:AF,'Monthly Data'!B:B,B12)</f>
        <v>384.5</v>
      </c>
      <c r="AB12" s="33">
        <f t="shared" si="13"/>
        <v>0.98253833049403749</v>
      </c>
      <c r="AC12" s="35"/>
      <c r="AD12" s="22">
        <f t="shared" si="14"/>
        <v>2018</v>
      </c>
      <c r="AE12" s="32">
        <f>AVERAGEIFS('Monthly Data'!AH:AH,'Monthly Data'!B:B,B12)</f>
        <v>256.41666666666669</v>
      </c>
      <c r="AF12" s="33">
        <f t="shared" si="15"/>
        <v>0.99226056110931959</v>
      </c>
      <c r="AG12" s="33"/>
    </row>
    <row r="13" spans="2:33" s="11" customFormat="1">
      <c r="B13" s="22">
        <f t="shared" si="0"/>
        <v>2019</v>
      </c>
      <c r="C13" s="32">
        <f>AVERAGEIFS('Monthly Data'!DG:DG,'Monthly Data'!B:B,B13)</f>
        <v>32861.75</v>
      </c>
      <c r="D13" s="33">
        <f>C13/C12</f>
        <v>1.0032488347953514</v>
      </c>
      <c r="E13" s="35"/>
      <c r="F13" s="22">
        <f t="shared" si="2"/>
        <v>2019</v>
      </c>
      <c r="G13" s="32">
        <f>AVERAGEIFS('Monthly Data'!DH:DH,'Monthly Data'!B:B,B13)</f>
        <v>3485.0833333333335</v>
      </c>
      <c r="H13" s="33">
        <f>G13/G12</f>
        <v>1.0049018429968521</v>
      </c>
      <c r="I13" s="35"/>
      <c r="J13" s="22">
        <f t="shared" si="4"/>
        <v>2019</v>
      </c>
      <c r="K13" s="32">
        <f>AVERAGEIFS('Monthly Data'!DI:DI,'Monthly Data'!B:B,B13)</f>
        <v>372.33333333333331</v>
      </c>
      <c r="L13" s="33">
        <f>K13/K12</f>
        <v>0.95613096511876727</v>
      </c>
      <c r="M13" s="35"/>
      <c r="N13" s="22">
        <f t="shared" si="6"/>
        <v>2019</v>
      </c>
      <c r="O13" s="32">
        <f>AVERAGEIFS('Monthly Data'!DJ:DJ,'Monthly Data'!B:B,B13)</f>
        <v>11</v>
      </c>
      <c r="P13" s="33">
        <f>O13/O12</f>
        <v>1</v>
      </c>
      <c r="Q13" s="35"/>
      <c r="R13" s="22">
        <f t="shared" si="8"/>
        <v>2019</v>
      </c>
      <c r="S13" s="32">
        <f>AVERAGEIFS('Monthly Data'!DK:DK,'Monthly Data'!B:B,B13)</f>
        <v>4</v>
      </c>
      <c r="T13" s="33">
        <f>S13/S12</f>
        <v>1</v>
      </c>
      <c r="U13" s="35"/>
      <c r="V13" s="22">
        <f t="shared" si="10"/>
        <v>2019</v>
      </c>
      <c r="W13" s="32">
        <f>AVERAGEIFS('Monthly Data'!AC:AC,'Monthly Data'!B:B,B13)</f>
        <v>10100.416666666666</v>
      </c>
      <c r="X13" s="33">
        <f>W13/W12</f>
        <v>1.0032529881137635</v>
      </c>
      <c r="Y13" s="35"/>
      <c r="Z13" s="22">
        <f t="shared" si="12"/>
        <v>2019</v>
      </c>
      <c r="AA13" s="32">
        <f>AVERAGEIFS('Monthly Data'!AF:AF,'Monthly Data'!B:B,B13)</f>
        <v>385.16666666666669</v>
      </c>
      <c r="AB13" s="33">
        <f>AA13/AA12</f>
        <v>1.0017338534893803</v>
      </c>
      <c r="AC13" s="35"/>
      <c r="AD13" s="22">
        <f t="shared" si="14"/>
        <v>2019</v>
      </c>
      <c r="AE13" s="32">
        <f>AVERAGEIFS('Monthly Data'!AH:AH,'Monthly Data'!B:B,B13)</f>
        <v>256.58333333333331</v>
      </c>
      <c r="AF13" s="33">
        <f>AE13/AE12</f>
        <v>1.0006499837504061</v>
      </c>
      <c r="AG13" s="33"/>
    </row>
    <row r="14" spans="2:33">
      <c r="B14" s="22">
        <f t="shared" si="0"/>
        <v>2020</v>
      </c>
      <c r="C14" s="32">
        <f>AVERAGEIFS('Monthly Data'!DG:DG,'Monthly Data'!B:B,B14)</f>
        <v>32990.166666666664</v>
      </c>
      <c r="D14" s="33">
        <f t="shared" ref="D14:D16" si="16">C14/C13</f>
        <v>1.0039077853938596</v>
      </c>
      <c r="E14" s="35"/>
      <c r="F14" s="22">
        <f t="shared" si="2"/>
        <v>2020</v>
      </c>
      <c r="G14" s="32">
        <f>AVERAGEIFS('Monthly Data'!DH:DH,'Monthly Data'!B:B,B14)</f>
        <v>3490.4166666666665</v>
      </c>
      <c r="H14" s="33">
        <f t="shared" ref="H14:H16" si="17">G14/G13</f>
        <v>1.0015303316515625</v>
      </c>
      <c r="I14" s="35"/>
      <c r="J14" s="22">
        <f t="shared" si="4"/>
        <v>2020</v>
      </c>
      <c r="K14" s="32">
        <f>AVERAGEIFS('Monthly Data'!DI:DI,'Monthly Data'!B:B,B14)</f>
        <v>368.5</v>
      </c>
      <c r="L14" s="33">
        <f t="shared" ref="L14:L16" si="18">K14/K13</f>
        <v>0.98970456580125343</v>
      </c>
      <c r="M14" s="35"/>
      <c r="N14" s="22">
        <f t="shared" si="6"/>
        <v>2020</v>
      </c>
      <c r="O14" s="32">
        <f>AVERAGEIFS('Monthly Data'!DJ:DJ,'Monthly Data'!B:B,B14)</f>
        <v>10</v>
      </c>
      <c r="P14" s="33">
        <f t="shared" ref="P14" si="19">O14/O13</f>
        <v>0.90909090909090906</v>
      </c>
      <c r="Q14" s="35"/>
      <c r="R14" s="22">
        <f t="shared" si="8"/>
        <v>2020</v>
      </c>
      <c r="S14" s="32">
        <f>AVERAGEIFS('Monthly Data'!DK:DK,'Monthly Data'!B:B,B14)</f>
        <v>4</v>
      </c>
      <c r="T14" s="33">
        <f t="shared" ref="T14:T16" si="20">S14/S13</f>
        <v>1</v>
      </c>
      <c r="U14" s="35"/>
      <c r="V14" s="22">
        <f t="shared" si="10"/>
        <v>2020</v>
      </c>
      <c r="W14" s="32">
        <f>AVERAGEIFS('Monthly Data'!AC:AC,'Monthly Data'!B:B,B14)</f>
        <v>10136.333333333334</v>
      </c>
      <c r="X14" s="33">
        <f t="shared" ref="X14:X16" si="21">W14/W13</f>
        <v>1.0035559589125862</v>
      </c>
      <c r="Y14" s="35"/>
      <c r="Z14" s="22">
        <f t="shared" si="12"/>
        <v>2020</v>
      </c>
      <c r="AA14" s="32">
        <f>AVERAGEIFS('Monthly Data'!AF:AF,'Monthly Data'!B:B,B14)</f>
        <v>370.58333333333331</v>
      </c>
      <c r="AB14" s="33">
        <f t="shared" ref="AB14:AB16" si="22">AA14/AA13</f>
        <v>0.96213760276936378</v>
      </c>
      <c r="AC14" s="35"/>
      <c r="AD14" s="22">
        <f t="shared" si="14"/>
        <v>2020</v>
      </c>
      <c r="AE14" s="32">
        <f>AVERAGEIFS('Monthly Data'!AH:AH,'Monthly Data'!B:B,B14)</f>
        <v>253.25</v>
      </c>
      <c r="AF14" s="33">
        <f t="shared" ref="AF14" si="23">AE14/AE13</f>
        <v>0.98700876908087054</v>
      </c>
      <c r="AG14" s="37"/>
    </row>
    <row r="15" spans="2:33">
      <c r="B15" s="22">
        <f t="shared" si="0"/>
        <v>2021</v>
      </c>
      <c r="C15" s="32">
        <f>AVERAGEIFS('Monthly Data'!DG:DG,'Monthly Data'!B:B,B15)</f>
        <v>33113</v>
      </c>
      <c r="D15" s="33">
        <f t="shared" si="16"/>
        <v>1.00372333169985</v>
      </c>
      <c r="E15" s="35"/>
      <c r="F15" s="22">
        <f t="shared" si="2"/>
        <v>2021</v>
      </c>
      <c r="G15" s="32">
        <f>AVERAGEIFS('Monthly Data'!DH:DH,'Monthly Data'!B:B,B15)</f>
        <v>3459.1666666666665</v>
      </c>
      <c r="H15" s="33">
        <f t="shared" si="17"/>
        <v>0.99104691416975055</v>
      </c>
      <c r="I15" s="35"/>
      <c r="J15" s="22">
        <f t="shared" si="4"/>
        <v>2021</v>
      </c>
      <c r="K15" s="32">
        <f>AVERAGEIFS('Monthly Data'!DI:DI,'Monthly Data'!B:B,B15)</f>
        <v>372.25</v>
      </c>
      <c r="L15" s="33">
        <f t="shared" si="18"/>
        <v>1.0101763907734056</v>
      </c>
      <c r="M15" s="35"/>
      <c r="N15" s="22">
        <f t="shared" si="6"/>
        <v>2021</v>
      </c>
      <c r="O15" s="32">
        <f>AVERAGEIFS('Monthly Data'!DJ:DJ,'Monthly Data'!B:B,B15)</f>
        <v>9</v>
      </c>
      <c r="P15" s="33">
        <f>O15/O14</f>
        <v>0.9</v>
      </c>
      <c r="Q15" s="35"/>
      <c r="R15" s="22">
        <f t="shared" si="8"/>
        <v>2021</v>
      </c>
      <c r="S15" s="32">
        <f>AVERAGEIFS('Monthly Data'!DK:DK,'Monthly Data'!B:B,B15)</f>
        <v>4</v>
      </c>
      <c r="T15" s="33">
        <f t="shared" si="20"/>
        <v>1</v>
      </c>
      <c r="U15" s="35"/>
      <c r="V15" s="22">
        <f t="shared" si="10"/>
        <v>2021</v>
      </c>
      <c r="W15" s="32">
        <f>AVERAGEIFS('Monthly Data'!AC:AC,'Monthly Data'!B:B,B15)</f>
        <v>10161</v>
      </c>
      <c r="X15" s="33">
        <f t="shared" si="21"/>
        <v>1.0024334900851721</v>
      </c>
      <c r="Y15" s="35"/>
      <c r="Z15" s="22">
        <f t="shared" si="12"/>
        <v>2021</v>
      </c>
      <c r="AA15" s="32">
        <f>AVERAGEIFS('Monthly Data'!AF:AF,'Monthly Data'!B:B,B15)</f>
        <v>366.91666666666669</v>
      </c>
      <c r="AB15" s="33">
        <f t="shared" si="22"/>
        <v>0.99010568922869358</v>
      </c>
      <c r="AC15" s="35"/>
      <c r="AD15" s="22">
        <f t="shared" si="14"/>
        <v>2021</v>
      </c>
      <c r="AE15" s="32">
        <f>AVERAGEIFS('Monthly Data'!AH:AH,'Monthly Data'!B:B,B15)</f>
        <v>242.91666666666666</v>
      </c>
      <c r="AF15" s="33">
        <f>AE15/AE14</f>
        <v>0.95919710431062843</v>
      </c>
      <c r="AG15" s="37"/>
    </row>
    <row r="16" spans="2:33">
      <c r="B16" s="22">
        <f t="shared" si="0"/>
        <v>2022</v>
      </c>
      <c r="C16" s="32">
        <f>AVERAGEIFS('Monthly Data'!DG:DG,'Monthly Data'!B:B,B16)</f>
        <v>33273.25</v>
      </c>
      <c r="D16" s="33">
        <f t="shared" si="16"/>
        <v>1.0048394890224384</v>
      </c>
      <c r="E16" s="35"/>
      <c r="F16" s="22">
        <f t="shared" si="2"/>
        <v>2022</v>
      </c>
      <c r="G16" s="32">
        <f>AVERAGEIFS('Monthly Data'!DH:DH,'Monthly Data'!B:B,B16)</f>
        <v>3455.1666666666665</v>
      </c>
      <c r="H16" s="33">
        <f t="shared" si="17"/>
        <v>0.99884365213201642</v>
      </c>
      <c r="I16" s="35"/>
      <c r="J16" s="22">
        <f t="shared" si="4"/>
        <v>2022</v>
      </c>
      <c r="K16" s="32">
        <f>AVERAGEIFS('Monthly Data'!DI:DI,'Monthly Data'!B:B,B16)</f>
        <v>370</v>
      </c>
      <c r="L16" s="33">
        <f t="shared" si="18"/>
        <v>0.99395567494963066</v>
      </c>
      <c r="M16" s="35"/>
      <c r="N16" s="22">
        <f t="shared" si="6"/>
        <v>2022</v>
      </c>
      <c r="O16" s="32">
        <f>AVERAGEIFS('Monthly Data'!DJ:DJ,'Monthly Data'!B:B,B16)</f>
        <v>9</v>
      </c>
      <c r="P16" s="33">
        <f>O16/O15</f>
        <v>1</v>
      </c>
      <c r="Q16" s="35"/>
      <c r="R16" s="22">
        <f t="shared" si="8"/>
        <v>2022</v>
      </c>
      <c r="S16" s="32">
        <f>AVERAGEIFS('Monthly Data'!DK:DK,'Monthly Data'!B:B,B16)</f>
        <v>4</v>
      </c>
      <c r="T16" s="33">
        <f t="shared" si="20"/>
        <v>1</v>
      </c>
      <c r="U16" s="35"/>
      <c r="V16" s="22">
        <f t="shared" si="10"/>
        <v>2022</v>
      </c>
      <c r="W16" s="32">
        <f>AVERAGEIFS('Monthly Data'!AC:AC,'Monthly Data'!B:B,B16)</f>
        <v>10176.833333333334</v>
      </c>
      <c r="X16" s="33">
        <f t="shared" si="21"/>
        <v>1.0015582455795033</v>
      </c>
      <c r="Y16" s="35"/>
      <c r="Z16" s="22">
        <f t="shared" si="12"/>
        <v>2022</v>
      </c>
      <c r="AA16" s="32">
        <f>AVERAGEIFS('Monthly Data'!AF:AF,'Monthly Data'!B:B,B16)</f>
        <v>364.16666666666669</v>
      </c>
      <c r="AB16" s="33">
        <f t="shared" si="22"/>
        <v>0.99250511015216902</v>
      </c>
      <c r="AC16" s="35"/>
      <c r="AD16" s="22">
        <f t="shared" si="14"/>
        <v>2022</v>
      </c>
      <c r="AE16" s="32">
        <f>AVERAGEIFS('Monthly Data'!AH:AH,'Monthly Data'!B:B,B16)</f>
        <v>236.33333333333334</v>
      </c>
      <c r="AF16" s="33">
        <f>AE16/AE15</f>
        <v>0.97289879931389378</v>
      </c>
      <c r="AG16" s="37"/>
    </row>
    <row r="17" spans="1:33">
      <c r="B17" s="35">
        <f t="shared" si="0"/>
        <v>2023</v>
      </c>
      <c r="C17" s="36">
        <f>C16*D17</f>
        <v>33417.610226116791</v>
      </c>
      <c r="D17" s="37">
        <f>GEOMEAN(D8:D16)</f>
        <v>1.0043386271589578</v>
      </c>
      <c r="E17" s="35"/>
      <c r="F17" s="35">
        <f t="shared" si="2"/>
        <v>2023</v>
      </c>
      <c r="G17" s="36">
        <f>G16*H17</f>
        <v>3451.1712920581385</v>
      </c>
      <c r="H17" s="37">
        <f>H16</f>
        <v>0.99884365213201642</v>
      </c>
      <c r="I17" s="35"/>
      <c r="J17" s="35">
        <f t="shared" si="4"/>
        <v>2023</v>
      </c>
      <c r="K17" s="36">
        <f>K16*L17</f>
        <v>364.03007326364758</v>
      </c>
      <c r="L17" s="37">
        <f>GEOMEAN(L8:L16)</f>
        <v>0.9838650628747232</v>
      </c>
      <c r="M17" s="35"/>
      <c r="N17" s="35">
        <f t="shared" si="6"/>
        <v>2023</v>
      </c>
      <c r="O17" s="36">
        <v>8</v>
      </c>
      <c r="P17" s="33">
        <f>O17/O16</f>
        <v>0.88888888888888884</v>
      </c>
      <c r="Q17" s="35"/>
      <c r="R17" s="35">
        <f t="shared" si="8"/>
        <v>2023</v>
      </c>
      <c r="S17" s="36">
        <f>S16*T17</f>
        <v>4</v>
      </c>
      <c r="T17" s="37">
        <f>T16</f>
        <v>1</v>
      </c>
      <c r="U17" s="35"/>
      <c r="V17" s="35">
        <f t="shared" si="10"/>
        <v>2023</v>
      </c>
      <c r="W17" s="36">
        <f>W16*X17</f>
        <v>10193.336726587562</v>
      </c>
      <c r="X17" s="37">
        <f>GEOMEAN(X8:X16)</f>
        <v>1.0016216629194636</v>
      </c>
      <c r="Y17" s="35"/>
      <c r="Z17" s="35">
        <f t="shared" si="12"/>
        <v>2023</v>
      </c>
      <c r="AA17" s="36">
        <f>AA16*AB17</f>
        <v>357.72843293346529</v>
      </c>
      <c r="AB17" s="37">
        <f>GEOMEAN(AB8:AB16)</f>
        <v>0.98232063963422955</v>
      </c>
      <c r="AC17" s="35"/>
      <c r="AD17" s="35">
        <f t="shared" si="14"/>
        <v>2023</v>
      </c>
      <c r="AE17" s="36">
        <f>AE16*AF17+AE20</f>
        <v>336.63316318992327</v>
      </c>
      <c r="AF17" s="37">
        <f>GEOMEAN(AF8:AF16)</f>
        <v>0.9885747384622986</v>
      </c>
      <c r="AG17" s="37"/>
    </row>
    <row r="18" spans="1:33">
      <c r="C18" s="4"/>
      <c r="G18" s="4"/>
      <c r="K18" s="4"/>
      <c r="O18" s="145"/>
      <c r="S18" s="145"/>
      <c r="W18" s="4"/>
      <c r="AA18" s="4"/>
      <c r="AE18" s="4"/>
    </row>
    <row r="19" spans="1:33">
      <c r="B19" s="189"/>
      <c r="C19" s="228"/>
      <c r="D19" s="190"/>
      <c r="E19" s="190"/>
      <c r="F19" s="190"/>
      <c r="G19" s="228"/>
      <c r="H19" s="190"/>
      <c r="I19" s="190"/>
      <c r="J19" s="190"/>
      <c r="K19" s="228"/>
      <c r="L19" s="190"/>
      <c r="M19" s="190"/>
      <c r="N19" s="190"/>
      <c r="O19" s="229"/>
      <c r="P19" s="190"/>
      <c r="Q19" s="190"/>
      <c r="R19" s="190"/>
      <c r="S19" s="229"/>
      <c r="T19" s="190"/>
      <c r="U19" s="190"/>
      <c r="V19" s="190"/>
      <c r="W19" s="228"/>
      <c r="X19" s="190"/>
      <c r="Y19" s="190"/>
      <c r="Z19" s="190"/>
      <c r="AA19" s="228"/>
      <c r="AB19" s="190"/>
      <c r="AC19" s="190"/>
      <c r="AD19" s="190"/>
      <c r="AE19" s="228"/>
      <c r="AF19" s="208"/>
    </row>
    <row r="20" spans="1:33">
      <c r="B20" s="203"/>
      <c r="C20" s="225" t="s">
        <v>355</v>
      </c>
      <c r="D20" s="213"/>
      <c r="E20" s="213"/>
      <c r="F20" s="213"/>
      <c r="G20" s="225"/>
      <c r="H20" s="213"/>
      <c r="I20" s="213"/>
      <c r="J20" s="213"/>
      <c r="K20" s="225"/>
      <c r="L20" s="213"/>
      <c r="M20" s="213"/>
      <c r="N20" s="213"/>
      <c r="O20" s="230"/>
      <c r="P20" s="213"/>
      <c r="Q20" s="213"/>
      <c r="R20" s="213"/>
      <c r="S20" s="230"/>
      <c r="T20" s="213"/>
      <c r="U20" s="213"/>
      <c r="V20" s="213"/>
      <c r="W20" s="225"/>
      <c r="X20" s="213"/>
      <c r="Y20" s="213"/>
      <c r="Z20" s="213"/>
      <c r="AA20" s="225"/>
      <c r="AB20" s="213"/>
      <c r="AC20" s="213"/>
      <c r="AD20" s="213"/>
      <c r="AE20" s="225">
        <v>103</v>
      </c>
      <c r="AF20" s="214"/>
    </row>
    <row r="21" spans="1:33">
      <c r="C21" s="4"/>
      <c r="G21" s="4"/>
      <c r="K21" s="4"/>
      <c r="O21" s="145"/>
      <c r="S21" s="145"/>
      <c r="W21" s="4"/>
      <c r="AA21" s="4"/>
      <c r="AE21" s="4"/>
    </row>
    <row r="22" spans="1:33">
      <c r="A22" t="s">
        <v>281</v>
      </c>
      <c r="C22" s="4"/>
      <c r="G22" s="4"/>
      <c r="K22" s="4"/>
      <c r="O22" s="145"/>
      <c r="S22" s="145"/>
      <c r="W22" s="4"/>
      <c r="AA22" s="4"/>
      <c r="AE22" s="4"/>
    </row>
    <row r="23" spans="1:33">
      <c r="B23" s="11">
        <v>2022</v>
      </c>
      <c r="C23" s="36">
        <f>AVERAGE(C29:C40)</f>
        <v>33273.25</v>
      </c>
      <c r="D23" s="118">
        <f>C23/C15</f>
        <v>1.0048394890224384</v>
      </c>
      <c r="F23" s="11">
        <v>2022</v>
      </c>
      <c r="G23" s="36">
        <f>AVERAGE(G29:G40)</f>
        <v>3455.1666666666665</v>
      </c>
      <c r="H23" s="118">
        <f>G23/G15</f>
        <v>0.99884365213201642</v>
      </c>
      <c r="J23" s="11">
        <v>2022</v>
      </c>
      <c r="K23" s="238">
        <f>AVERAGE(K29:K40)</f>
        <v>370</v>
      </c>
      <c r="L23" s="118">
        <f>K23/K15</f>
        <v>0.99395567494963066</v>
      </c>
      <c r="N23" s="11">
        <v>2022</v>
      </c>
      <c r="O23" s="36">
        <f>AVERAGE(O29:O40)</f>
        <v>9</v>
      </c>
      <c r="P23" s="118">
        <f>O23/O15</f>
        <v>1</v>
      </c>
      <c r="R23" s="11">
        <v>2022</v>
      </c>
      <c r="S23" s="36">
        <f>AVERAGE(S29:S40)</f>
        <v>4</v>
      </c>
      <c r="T23" s="118">
        <f>S23/S15</f>
        <v>1</v>
      </c>
      <c r="V23" s="11">
        <v>2022</v>
      </c>
      <c r="W23" s="36">
        <f>AVERAGE(W29:W40)</f>
        <v>10176.833333333334</v>
      </c>
      <c r="X23" s="118">
        <f>W23/W15</f>
        <v>1.0015582455795033</v>
      </c>
      <c r="Z23" s="11">
        <v>2022</v>
      </c>
      <c r="AA23" s="36">
        <f>AVERAGE(AA29:AA40)</f>
        <v>364.16666666666669</v>
      </c>
      <c r="AB23" s="118">
        <f>AA23/AA15</f>
        <v>0.99250511015216902</v>
      </c>
      <c r="AD23" s="11">
        <v>2022</v>
      </c>
      <c r="AE23" s="36">
        <f>AVERAGE(AE29:AE40)</f>
        <v>236.33333333333334</v>
      </c>
      <c r="AF23" s="118">
        <f>AE23/AE15</f>
        <v>0.97289879931389378</v>
      </c>
    </row>
    <row r="24" spans="1:33">
      <c r="B24" s="11">
        <v>2023</v>
      </c>
      <c r="C24" s="36">
        <f>AVERAGE(C41:C52)</f>
        <v>33417.610000000008</v>
      </c>
      <c r="D24" s="118">
        <f>C24/C23</f>
        <v>1.004338620363205</v>
      </c>
      <c r="F24" s="11">
        <v>2023</v>
      </c>
      <c r="G24" s="36">
        <f>AVERAGE(G41:G52)</f>
        <v>3451.17</v>
      </c>
      <c r="H24" s="118">
        <f>G24/G23</f>
        <v>0.99884327818243213</v>
      </c>
      <c r="J24" s="11">
        <v>2023</v>
      </c>
      <c r="K24" s="238">
        <f>AVERAGE(K41:K52)</f>
        <v>364.03000000000014</v>
      </c>
      <c r="L24" s="118">
        <f>K24/K23</f>
        <v>0.98386486486486524</v>
      </c>
      <c r="N24" s="11">
        <v>2023</v>
      </c>
      <c r="O24" s="36">
        <f>AVERAGE(O41:O52)</f>
        <v>8</v>
      </c>
      <c r="P24" s="118">
        <f>O24/O23</f>
        <v>0.88888888888888884</v>
      </c>
      <c r="R24" s="11">
        <v>2023</v>
      </c>
      <c r="S24" s="36">
        <f>AVERAGE(S41:S52)</f>
        <v>4</v>
      </c>
      <c r="T24" s="118">
        <f>S24/S23</f>
        <v>1</v>
      </c>
      <c r="V24" s="11">
        <v>2023</v>
      </c>
      <c r="W24" s="36">
        <f>AVERAGE(W41:W52)</f>
        <v>10193.340000000002</v>
      </c>
      <c r="X24" s="118">
        <f>W24/W23</f>
        <v>1.0016219845728043</v>
      </c>
      <c r="Z24" s="11">
        <v>2023</v>
      </c>
      <c r="AA24" s="36">
        <f>AVERAGE(AA41:AA52)</f>
        <v>357.73000000000008</v>
      </c>
      <c r="AB24" s="118">
        <f>AA24/AA23</f>
        <v>0.98232494279176219</v>
      </c>
      <c r="AD24" s="11">
        <v>2023</v>
      </c>
      <c r="AE24" s="36">
        <f>AVERAGE(AE41:AE52)</f>
        <v>336.62999999999994</v>
      </c>
      <c r="AF24" s="118">
        <f>AE24/AE23</f>
        <v>1.4243864598025384</v>
      </c>
    </row>
    <row r="25" spans="1:33">
      <c r="C25" s="146" t="str">
        <f>IF(ROUND(C23,1)=ROUND(C16,1),IF(ROUND(C24,1)=ROUND(C17,1),"Match","Check"),"Check")</f>
        <v>Match</v>
      </c>
      <c r="G25" s="146" t="str">
        <f>IF(ROUND(G23,1)=ROUND(G16,1),IF(ROUND(G24,1)=ROUND(G17,1),"Match","Check"),"Check")</f>
        <v>Match</v>
      </c>
      <c r="H25" s="68"/>
      <c r="K25" s="146" t="str">
        <f>IF(ROUND(K23,1)=ROUND(K16,1),IF(ROUND(K24,1)=ROUND(K17,1),"Match","Check"),"Check")</f>
        <v>Match</v>
      </c>
      <c r="L25" s="147"/>
      <c r="O25" s="146" t="str">
        <f>IF(ROUND(O23,1)=ROUND(O16,1),IF(ROUND(O24,1)=ROUND(O17,1),"Match","Check"),"Check")</f>
        <v>Match</v>
      </c>
      <c r="S25" s="146" t="str">
        <f>IF(ROUND(S23,1)=ROUND(S16,1),IF(ROUND(S24,1)=ROUND(S17,1),"Match","Check"),"Check")</f>
        <v>Match</v>
      </c>
      <c r="W25" s="146" t="str">
        <f>IF(ROUND(W23,1)=ROUND(W16,1),IF(ROUND(W24,0)=ROUND(W17,0),"Match","Check"),"Check")</f>
        <v>Match</v>
      </c>
      <c r="AA25" s="146" t="str">
        <f>IF(ROUND(AA23,1)=ROUND(AA16,1),IF(ROUND(AA24,1)=ROUND(AA17,1),"Match","Check"),"Check")</f>
        <v>Match</v>
      </c>
      <c r="AE25" s="146" t="str">
        <f>IF(ROUND(AE23,1)=ROUND(AE16,1),IF(ROUND(AE24,1)=ROUND(AE17,1),"Match","Check"),"Check")</f>
        <v>Match</v>
      </c>
    </row>
    <row r="26" spans="1:33">
      <c r="C26" s="145"/>
      <c r="G26" s="145"/>
      <c r="K26" s="145"/>
      <c r="L26" s="147"/>
      <c r="O26" s="145"/>
      <c r="S26" s="145"/>
      <c r="W26" s="145"/>
      <c r="AA26" s="145"/>
      <c r="AE26" s="145"/>
    </row>
    <row r="27" spans="1:33">
      <c r="S27" s="32"/>
      <c r="W27" s="32"/>
      <c r="AA27" s="32"/>
      <c r="AE27" s="32"/>
    </row>
    <row r="28" spans="1:33">
      <c r="A28" s="234">
        <v>2021</v>
      </c>
      <c r="B28" s="234" t="s">
        <v>43</v>
      </c>
      <c r="C28" s="276">
        <f>'Monthly Data'!DG121</f>
        <v>33174</v>
      </c>
      <c r="D28" s="234"/>
      <c r="E28" s="234"/>
      <c r="F28" s="234" t="s">
        <v>43</v>
      </c>
      <c r="G28" s="276">
        <f>'Monthly Data'!DH121</f>
        <v>3447</v>
      </c>
      <c r="H28" s="277"/>
      <c r="I28" s="234"/>
      <c r="J28" s="234" t="s">
        <v>43</v>
      </c>
      <c r="K28" s="276">
        <f>'Monthly Data'!DI121</f>
        <v>377</v>
      </c>
      <c r="L28" s="277"/>
      <c r="M28" s="234"/>
      <c r="N28" s="234" t="s">
        <v>43</v>
      </c>
      <c r="O28" s="276">
        <f>'Monthly Data'!DJ121</f>
        <v>9</v>
      </c>
      <c r="P28" s="234"/>
      <c r="Q28" s="234"/>
      <c r="R28" s="234" t="s">
        <v>43</v>
      </c>
      <c r="S28" s="276">
        <f>'Monthly Data'!DK121</f>
        <v>4</v>
      </c>
      <c r="T28" s="234"/>
      <c r="U28" s="234"/>
      <c r="V28" s="234" t="s">
        <v>43</v>
      </c>
      <c r="W28" s="276">
        <f>'Monthly Data'!AC121</f>
        <v>10173</v>
      </c>
      <c r="X28" s="234"/>
      <c r="Y28" s="234"/>
      <c r="Z28" s="234" t="s">
        <v>43</v>
      </c>
      <c r="AA28" s="276">
        <f>'Monthly Data'!AF121</f>
        <v>366</v>
      </c>
      <c r="AB28" s="234"/>
      <c r="AC28" s="234"/>
      <c r="AD28" s="234" t="s">
        <v>43</v>
      </c>
      <c r="AE28" s="276">
        <f>'Monthly Data'!AH121</f>
        <v>237</v>
      </c>
      <c r="AF28" s="234"/>
    </row>
    <row r="29" spans="1:33">
      <c r="A29" s="234">
        <v>2022</v>
      </c>
      <c r="B29" s="234" t="s">
        <v>50</v>
      </c>
      <c r="C29" s="276">
        <f>'Monthly Data'!DG122</f>
        <v>33176</v>
      </c>
      <c r="D29" s="278">
        <f>C29/C28</f>
        <v>1.0000602881774885</v>
      </c>
      <c r="E29" s="234"/>
      <c r="F29" s="234" t="s">
        <v>50</v>
      </c>
      <c r="G29" s="276">
        <f>'Monthly Data'!DH122</f>
        <v>3432</v>
      </c>
      <c r="H29" s="278">
        <f>G29/G28</f>
        <v>0.99564838990426463</v>
      </c>
      <c r="I29" s="234"/>
      <c r="J29" s="234" t="s">
        <v>50</v>
      </c>
      <c r="K29" s="276">
        <f>'Monthly Data'!DI122</f>
        <v>379</v>
      </c>
      <c r="L29" s="278">
        <f>K29/K28</f>
        <v>1.0053050397877985</v>
      </c>
      <c r="M29" s="234"/>
      <c r="N29" s="234" t="s">
        <v>50</v>
      </c>
      <c r="O29" s="276">
        <f>'Monthly Data'!DJ122</f>
        <v>9</v>
      </c>
      <c r="P29" s="278">
        <f>O29/O28</f>
        <v>1</v>
      </c>
      <c r="Q29" s="234"/>
      <c r="R29" s="234" t="s">
        <v>50</v>
      </c>
      <c r="S29" s="276">
        <f>'Monthly Data'!DK122</f>
        <v>4</v>
      </c>
      <c r="T29" s="278">
        <f>S29/S28</f>
        <v>1</v>
      </c>
      <c r="U29" s="234"/>
      <c r="V29" s="234" t="s">
        <v>50</v>
      </c>
      <c r="W29" s="276">
        <f>'Monthly Data'!AC122</f>
        <v>10165</v>
      </c>
      <c r="X29" s="278">
        <f>W29/W28</f>
        <v>0.99921360463973263</v>
      </c>
      <c r="Y29" s="234"/>
      <c r="Z29" s="234" t="s">
        <v>50</v>
      </c>
      <c r="AA29" s="276">
        <f>'Monthly Data'!AF122</f>
        <v>366</v>
      </c>
      <c r="AB29" s="278">
        <f>AA29/AA28</f>
        <v>1</v>
      </c>
      <c r="AC29" s="234"/>
      <c r="AD29" s="234" t="s">
        <v>50</v>
      </c>
      <c r="AE29" s="276">
        <f>'Monthly Data'!AH122</f>
        <v>239</v>
      </c>
      <c r="AF29" s="278">
        <f>AE29/AE28</f>
        <v>1.0084388185654007</v>
      </c>
    </row>
    <row r="30" spans="1:33">
      <c r="A30" s="234">
        <v>2022</v>
      </c>
      <c r="B30" s="234" t="s">
        <v>49</v>
      </c>
      <c r="C30" s="276">
        <f>'Monthly Data'!DG123</f>
        <v>33216</v>
      </c>
      <c r="D30" s="278">
        <f t="shared" ref="D30:D40" si="24">C30/C29</f>
        <v>1.0012056908608633</v>
      </c>
      <c r="E30" s="234"/>
      <c r="F30" s="234" t="s">
        <v>49</v>
      </c>
      <c r="G30" s="276">
        <f>'Monthly Data'!DH123</f>
        <v>3439</v>
      </c>
      <c r="H30" s="278">
        <f t="shared" ref="H30:H40" si="25">G30/G29</f>
        <v>1.002039627039627</v>
      </c>
      <c r="I30" s="279"/>
      <c r="J30" s="234" t="s">
        <v>49</v>
      </c>
      <c r="K30" s="276">
        <f>'Monthly Data'!DI123</f>
        <v>378</v>
      </c>
      <c r="L30" s="278">
        <f t="shared" ref="L30:L40" si="26">K30/K29</f>
        <v>0.99736147757255933</v>
      </c>
      <c r="M30" s="234"/>
      <c r="N30" s="234" t="s">
        <v>49</v>
      </c>
      <c r="O30" s="276">
        <f>'Monthly Data'!DJ123</f>
        <v>9</v>
      </c>
      <c r="P30" s="278">
        <f t="shared" ref="P30:P40" si="27">O30/O29</f>
        <v>1</v>
      </c>
      <c r="Q30" s="234"/>
      <c r="R30" s="234" t="s">
        <v>49</v>
      </c>
      <c r="S30" s="276">
        <f>'Monthly Data'!DK123</f>
        <v>4</v>
      </c>
      <c r="T30" s="278">
        <f t="shared" ref="T30:T40" si="28">S30/S29</f>
        <v>1</v>
      </c>
      <c r="U30" s="234"/>
      <c r="V30" s="234" t="s">
        <v>49</v>
      </c>
      <c r="W30" s="276">
        <f>'Monthly Data'!AC123</f>
        <v>10163</v>
      </c>
      <c r="X30" s="278">
        <f t="shared" ref="X30:X40" si="29">W30/W29</f>
        <v>0.99980324643384166</v>
      </c>
      <c r="Y30" s="234"/>
      <c r="Z30" s="234" t="s">
        <v>49</v>
      </c>
      <c r="AA30" s="276">
        <f>'Monthly Data'!AF123</f>
        <v>366</v>
      </c>
      <c r="AB30" s="278">
        <f t="shared" ref="AB30:AB40" si="30">AA30/AA29</f>
        <v>1</v>
      </c>
      <c r="AC30" s="234"/>
      <c r="AD30" s="234" t="s">
        <v>49</v>
      </c>
      <c r="AE30" s="276">
        <f>'Monthly Data'!AH123</f>
        <v>241</v>
      </c>
      <c r="AF30" s="278">
        <f t="shared" ref="AF30:AF40" si="31">AE30/AE29</f>
        <v>1.00836820083682</v>
      </c>
    </row>
    <row r="31" spans="1:33">
      <c r="A31" s="234">
        <v>2022</v>
      </c>
      <c r="B31" s="234" t="s">
        <v>48</v>
      </c>
      <c r="C31" s="276">
        <f>'Monthly Data'!DG124</f>
        <v>33220</v>
      </c>
      <c r="D31" s="278">
        <f t="shared" si="24"/>
        <v>1.0001204238921002</v>
      </c>
      <c r="E31" s="234"/>
      <c r="F31" s="234" t="s">
        <v>48</v>
      </c>
      <c r="G31" s="276">
        <f>'Monthly Data'!DH124</f>
        <v>3441</v>
      </c>
      <c r="H31" s="278">
        <f t="shared" si="25"/>
        <v>1.0005815644082583</v>
      </c>
      <c r="I31" s="234"/>
      <c r="J31" s="234" t="s">
        <v>48</v>
      </c>
      <c r="K31" s="276">
        <f>'Monthly Data'!DI124</f>
        <v>379</v>
      </c>
      <c r="L31" s="278">
        <f t="shared" si="26"/>
        <v>1.0026455026455026</v>
      </c>
      <c r="M31" s="234"/>
      <c r="N31" s="234" t="s">
        <v>48</v>
      </c>
      <c r="O31" s="276">
        <f>'Monthly Data'!DJ124</f>
        <v>9</v>
      </c>
      <c r="P31" s="278">
        <f t="shared" si="27"/>
        <v>1</v>
      </c>
      <c r="Q31" s="234"/>
      <c r="R31" s="234" t="s">
        <v>48</v>
      </c>
      <c r="S31" s="276">
        <f>'Monthly Data'!DK124</f>
        <v>4</v>
      </c>
      <c r="T31" s="278">
        <f t="shared" si="28"/>
        <v>1</v>
      </c>
      <c r="U31" s="234"/>
      <c r="V31" s="234" t="s">
        <v>48</v>
      </c>
      <c r="W31" s="276">
        <f>'Monthly Data'!AC124</f>
        <v>10163</v>
      </c>
      <c r="X31" s="278">
        <f t="shared" si="29"/>
        <v>1</v>
      </c>
      <c r="Y31" s="234"/>
      <c r="Z31" s="234" t="s">
        <v>48</v>
      </c>
      <c r="AA31" s="276">
        <f>'Monthly Data'!AF124</f>
        <v>365</v>
      </c>
      <c r="AB31" s="278">
        <f t="shared" si="30"/>
        <v>0.99726775956284153</v>
      </c>
      <c r="AC31" s="234"/>
      <c r="AD31" s="234" t="s">
        <v>48</v>
      </c>
      <c r="AE31" s="276">
        <f>'Monthly Data'!AH124</f>
        <v>237</v>
      </c>
      <c r="AF31" s="278">
        <f t="shared" si="31"/>
        <v>0.98340248962655596</v>
      </c>
    </row>
    <row r="32" spans="1:33">
      <c r="A32" s="234">
        <v>2022</v>
      </c>
      <c r="B32" s="234" t="s">
        <v>47</v>
      </c>
      <c r="C32" s="276">
        <f>'Monthly Data'!DG125</f>
        <v>33245</v>
      </c>
      <c r="D32" s="278">
        <f t="shared" si="24"/>
        <v>1.0007525586995785</v>
      </c>
      <c r="E32" s="234"/>
      <c r="F32" s="234" t="s">
        <v>47</v>
      </c>
      <c r="G32" s="276">
        <f>'Monthly Data'!DH125</f>
        <v>3463</v>
      </c>
      <c r="H32" s="278">
        <f t="shared" si="25"/>
        <v>1.006393490264458</v>
      </c>
      <c r="I32" s="234"/>
      <c r="J32" s="234" t="s">
        <v>47</v>
      </c>
      <c r="K32" s="276">
        <f>'Monthly Data'!DI125</f>
        <v>368</v>
      </c>
      <c r="L32" s="278">
        <f t="shared" si="26"/>
        <v>0.97097625329815307</v>
      </c>
      <c r="M32" s="234"/>
      <c r="N32" s="234" t="s">
        <v>47</v>
      </c>
      <c r="O32" s="276">
        <f>'Monthly Data'!DJ125</f>
        <v>9</v>
      </c>
      <c r="P32" s="278">
        <f t="shared" si="27"/>
        <v>1</v>
      </c>
      <c r="Q32" s="234"/>
      <c r="R32" s="234" t="s">
        <v>47</v>
      </c>
      <c r="S32" s="276">
        <f>'Monthly Data'!DK125</f>
        <v>4</v>
      </c>
      <c r="T32" s="278">
        <f t="shared" si="28"/>
        <v>1</v>
      </c>
      <c r="U32" s="234"/>
      <c r="V32" s="234" t="s">
        <v>47</v>
      </c>
      <c r="W32" s="276">
        <f>'Monthly Data'!AC125</f>
        <v>10163</v>
      </c>
      <c r="X32" s="278">
        <f t="shared" si="29"/>
        <v>1</v>
      </c>
      <c r="Y32" s="234"/>
      <c r="Z32" s="234" t="s">
        <v>47</v>
      </c>
      <c r="AA32" s="276">
        <f>'Monthly Data'!AF125</f>
        <v>365</v>
      </c>
      <c r="AB32" s="278">
        <f t="shared" si="30"/>
        <v>1</v>
      </c>
      <c r="AC32" s="234"/>
      <c r="AD32" s="234" t="s">
        <v>47</v>
      </c>
      <c r="AE32" s="276">
        <f>'Monthly Data'!AH125</f>
        <v>236</v>
      </c>
      <c r="AF32" s="278">
        <f t="shared" si="31"/>
        <v>0.99578059071729963</v>
      </c>
    </row>
    <row r="33" spans="1:33">
      <c r="A33" s="234">
        <v>2022</v>
      </c>
      <c r="B33" s="234" t="s">
        <v>36</v>
      </c>
      <c r="C33" s="276">
        <f>'Monthly Data'!DG126</f>
        <v>33248</v>
      </c>
      <c r="D33" s="278">
        <f t="shared" si="24"/>
        <v>1.0000902391337043</v>
      </c>
      <c r="E33" s="234"/>
      <c r="F33" s="234" t="s">
        <v>36</v>
      </c>
      <c r="G33" s="276">
        <f>'Monthly Data'!DH126</f>
        <v>3463</v>
      </c>
      <c r="H33" s="278">
        <f t="shared" si="25"/>
        <v>1</v>
      </c>
      <c r="I33" s="234"/>
      <c r="J33" s="234" t="s">
        <v>36</v>
      </c>
      <c r="K33" s="276">
        <f>'Monthly Data'!DI126</f>
        <v>368</v>
      </c>
      <c r="L33" s="278">
        <f t="shared" si="26"/>
        <v>1</v>
      </c>
      <c r="M33" s="234"/>
      <c r="N33" s="234" t="s">
        <v>36</v>
      </c>
      <c r="O33" s="276">
        <f>'Monthly Data'!DJ126</f>
        <v>9</v>
      </c>
      <c r="P33" s="278">
        <f t="shared" si="27"/>
        <v>1</v>
      </c>
      <c r="Q33" s="234"/>
      <c r="R33" s="234" t="s">
        <v>36</v>
      </c>
      <c r="S33" s="276">
        <f>'Monthly Data'!DK126</f>
        <v>4</v>
      </c>
      <c r="T33" s="278">
        <f t="shared" si="28"/>
        <v>1</v>
      </c>
      <c r="U33" s="234"/>
      <c r="V33" s="234" t="s">
        <v>36</v>
      </c>
      <c r="W33" s="276">
        <f>'Monthly Data'!AC126</f>
        <v>10163</v>
      </c>
      <c r="X33" s="278">
        <f t="shared" si="29"/>
        <v>1</v>
      </c>
      <c r="Y33" s="234"/>
      <c r="Z33" s="234" t="s">
        <v>36</v>
      </c>
      <c r="AA33" s="276">
        <f>'Monthly Data'!AF126</f>
        <v>365</v>
      </c>
      <c r="AB33" s="278">
        <f t="shared" si="30"/>
        <v>1</v>
      </c>
      <c r="AC33" s="234"/>
      <c r="AD33" s="234" t="s">
        <v>36</v>
      </c>
      <c r="AE33" s="276">
        <f>'Monthly Data'!AH126</f>
        <v>236</v>
      </c>
      <c r="AF33" s="278">
        <f t="shared" si="31"/>
        <v>1</v>
      </c>
    </row>
    <row r="34" spans="1:33">
      <c r="A34" s="234">
        <v>2022</v>
      </c>
      <c r="B34" s="234" t="s">
        <v>62</v>
      </c>
      <c r="C34" s="276">
        <f>'Monthly Data'!DG127</f>
        <v>33240</v>
      </c>
      <c r="D34" s="278">
        <f t="shared" si="24"/>
        <v>0.99975938402309916</v>
      </c>
      <c r="E34" s="234"/>
      <c r="F34" s="234" t="s">
        <v>62</v>
      </c>
      <c r="G34" s="276">
        <f>'Monthly Data'!DH127</f>
        <v>3463</v>
      </c>
      <c r="H34" s="278">
        <f t="shared" si="25"/>
        <v>1</v>
      </c>
      <c r="I34" s="234"/>
      <c r="J34" s="234" t="s">
        <v>62</v>
      </c>
      <c r="K34" s="276">
        <f>'Monthly Data'!DI127</f>
        <v>365</v>
      </c>
      <c r="L34" s="278">
        <f t="shared" si="26"/>
        <v>0.99184782608695654</v>
      </c>
      <c r="M34" s="234"/>
      <c r="N34" s="234" t="s">
        <v>62</v>
      </c>
      <c r="O34" s="276">
        <f>'Monthly Data'!DJ127</f>
        <v>9</v>
      </c>
      <c r="P34" s="278">
        <f t="shared" si="27"/>
        <v>1</v>
      </c>
      <c r="Q34" s="234"/>
      <c r="R34" s="234" t="s">
        <v>62</v>
      </c>
      <c r="S34" s="276">
        <f>'Monthly Data'!DK127</f>
        <v>4</v>
      </c>
      <c r="T34" s="278">
        <f t="shared" si="28"/>
        <v>1</v>
      </c>
      <c r="U34" s="234"/>
      <c r="V34" s="234" t="s">
        <v>62</v>
      </c>
      <c r="W34" s="276">
        <f>'Monthly Data'!AC127</f>
        <v>10165</v>
      </c>
      <c r="X34" s="278">
        <f t="shared" si="29"/>
        <v>1.0001967922857424</v>
      </c>
      <c r="Y34" s="234"/>
      <c r="Z34" s="234" t="s">
        <v>62</v>
      </c>
      <c r="AA34" s="276">
        <f>'Monthly Data'!AF127</f>
        <v>364</v>
      </c>
      <c r="AB34" s="278">
        <f t="shared" si="30"/>
        <v>0.99726027397260275</v>
      </c>
      <c r="AC34" s="234"/>
      <c r="AD34" s="234" t="s">
        <v>62</v>
      </c>
      <c r="AE34" s="276">
        <f>'Monthly Data'!AH127</f>
        <v>236</v>
      </c>
      <c r="AF34" s="278">
        <f t="shared" si="31"/>
        <v>1</v>
      </c>
    </row>
    <row r="35" spans="1:33">
      <c r="A35" s="234">
        <v>2022</v>
      </c>
      <c r="B35" s="234" t="s">
        <v>63</v>
      </c>
      <c r="C35" s="276">
        <f>'Monthly Data'!DG128</f>
        <v>33240</v>
      </c>
      <c r="D35" s="278">
        <f t="shared" si="24"/>
        <v>1</v>
      </c>
      <c r="E35" s="234"/>
      <c r="F35" s="234" t="s">
        <v>63</v>
      </c>
      <c r="G35" s="276">
        <f>'Monthly Data'!DH128</f>
        <v>3464</v>
      </c>
      <c r="H35" s="278">
        <f t="shared" si="25"/>
        <v>1.0002887669650593</v>
      </c>
      <c r="I35" s="234"/>
      <c r="J35" s="234" t="s">
        <v>63</v>
      </c>
      <c r="K35" s="276">
        <f>'Monthly Data'!DI128</f>
        <v>366</v>
      </c>
      <c r="L35" s="278">
        <f t="shared" si="26"/>
        <v>1.0027397260273974</v>
      </c>
      <c r="M35" s="234"/>
      <c r="N35" s="234" t="s">
        <v>63</v>
      </c>
      <c r="O35" s="276">
        <f>'Monthly Data'!DJ128</f>
        <v>9</v>
      </c>
      <c r="P35" s="278">
        <f t="shared" si="27"/>
        <v>1</v>
      </c>
      <c r="Q35" s="234"/>
      <c r="R35" s="234" t="s">
        <v>63</v>
      </c>
      <c r="S35" s="276">
        <f>'Monthly Data'!DK128</f>
        <v>4</v>
      </c>
      <c r="T35" s="278">
        <f t="shared" si="28"/>
        <v>1</v>
      </c>
      <c r="U35" s="234"/>
      <c r="V35" s="234" t="s">
        <v>63</v>
      </c>
      <c r="W35" s="276">
        <f>'Monthly Data'!AC128</f>
        <v>10184</v>
      </c>
      <c r="X35" s="278">
        <f t="shared" si="29"/>
        <v>1.0018691588785047</v>
      </c>
      <c r="Y35" s="234"/>
      <c r="Z35" s="234" t="s">
        <v>63</v>
      </c>
      <c r="AA35" s="276">
        <f>'Monthly Data'!AF128</f>
        <v>364</v>
      </c>
      <c r="AB35" s="278">
        <f t="shared" si="30"/>
        <v>1</v>
      </c>
      <c r="AC35" s="234"/>
      <c r="AD35" s="234" t="s">
        <v>63</v>
      </c>
      <c r="AE35" s="276">
        <f>'Monthly Data'!AH128</f>
        <v>236</v>
      </c>
      <c r="AF35" s="278">
        <f t="shared" si="31"/>
        <v>1</v>
      </c>
    </row>
    <row r="36" spans="1:33">
      <c r="A36" s="234">
        <v>2022</v>
      </c>
      <c r="B36" s="234" t="s">
        <v>64</v>
      </c>
      <c r="C36" s="276">
        <f>'Monthly Data'!DG129</f>
        <v>33295</v>
      </c>
      <c r="D36" s="278">
        <f t="shared" si="24"/>
        <v>1.0016546329723226</v>
      </c>
      <c r="E36" s="234"/>
      <c r="F36" s="234" t="s">
        <v>64</v>
      </c>
      <c r="G36" s="276">
        <f>'Monthly Data'!DH129</f>
        <v>3463</v>
      </c>
      <c r="H36" s="278">
        <f t="shared" si="25"/>
        <v>0.99971131639722866</v>
      </c>
      <c r="I36" s="234"/>
      <c r="J36" s="234" t="s">
        <v>64</v>
      </c>
      <c r="K36" s="276">
        <f>'Monthly Data'!DI129</f>
        <v>366</v>
      </c>
      <c r="L36" s="278">
        <f t="shared" si="26"/>
        <v>1</v>
      </c>
      <c r="M36" s="234"/>
      <c r="N36" s="234" t="s">
        <v>64</v>
      </c>
      <c r="O36" s="276">
        <f>'Monthly Data'!DJ129</f>
        <v>9</v>
      </c>
      <c r="P36" s="278">
        <f t="shared" si="27"/>
        <v>1</v>
      </c>
      <c r="Q36" s="234"/>
      <c r="R36" s="234" t="s">
        <v>64</v>
      </c>
      <c r="S36" s="276">
        <f>'Monthly Data'!DK129</f>
        <v>4</v>
      </c>
      <c r="T36" s="278">
        <f t="shared" si="28"/>
        <v>1</v>
      </c>
      <c r="U36" s="234"/>
      <c r="V36" s="234" t="s">
        <v>64</v>
      </c>
      <c r="W36" s="276">
        <f>'Monthly Data'!AC129</f>
        <v>10184</v>
      </c>
      <c r="X36" s="278">
        <f t="shared" si="29"/>
        <v>1</v>
      </c>
      <c r="Y36" s="234"/>
      <c r="Z36" s="234" t="s">
        <v>64</v>
      </c>
      <c r="AA36" s="276">
        <f>'Monthly Data'!AF129</f>
        <v>363</v>
      </c>
      <c r="AB36" s="278">
        <f t="shared" si="30"/>
        <v>0.99725274725274726</v>
      </c>
      <c r="AC36" s="234"/>
      <c r="AD36" s="234" t="s">
        <v>64</v>
      </c>
      <c r="AE36" s="276">
        <f>'Monthly Data'!AH129</f>
        <v>235</v>
      </c>
      <c r="AF36" s="278">
        <f t="shared" si="31"/>
        <v>0.99576271186440679</v>
      </c>
    </row>
    <row r="37" spans="1:33">
      <c r="A37" s="234">
        <v>2022</v>
      </c>
      <c r="B37" s="234" t="s">
        <v>195</v>
      </c>
      <c r="C37" s="276">
        <f>'Monthly Data'!DG130</f>
        <v>33314</v>
      </c>
      <c r="D37" s="278">
        <f t="shared" si="24"/>
        <v>1.000570656254693</v>
      </c>
      <c r="E37" s="234"/>
      <c r="F37" s="234" t="s">
        <v>195</v>
      </c>
      <c r="G37" s="276">
        <f>'Monthly Data'!DH130</f>
        <v>3466</v>
      </c>
      <c r="H37" s="278">
        <f t="shared" si="25"/>
        <v>1.0008663008951777</v>
      </c>
      <c r="I37" s="234"/>
      <c r="J37" s="234" t="s">
        <v>195</v>
      </c>
      <c r="K37" s="276">
        <f>'Monthly Data'!DI130</f>
        <v>367</v>
      </c>
      <c r="L37" s="278">
        <f t="shared" si="26"/>
        <v>1.0027322404371584</v>
      </c>
      <c r="M37" s="234"/>
      <c r="N37" s="234" t="s">
        <v>195</v>
      </c>
      <c r="O37" s="276">
        <f>'Monthly Data'!DJ130</f>
        <v>9</v>
      </c>
      <c r="P37" s="278">
        <f t="shared" si="27"/>
        <v>1</v>
      </c>
      <c r="Q37" s="234"/>
      <c r="R37" s="234" t="s">
        <v>195</v>
      </c>
      <c r="S37" s="276">
        <f>'Monthly Data'!DK130</f>
        <v>4</v>
      </c>
      <c r="T37" s="278">
        <f t="shared" si="28"/>
        <v>1</v>
      </c>
      <c r="U37" s="234"/>
      <c r="V37" s="234" t="s">
        <v>195</v>
      </c>
      <c r="W37" s="276">
        <f>'Monthly Data'!AC130</f>
        <v>10192</v>
      </c>
      <c r="X37" s="278">
        <f t="shared" si="29"/>
        <v>1.0007855459544384</v>
      </c>
      <c r="Y37" s="234"/>
      <c r="Z37" s="234" t="s">
        <v>195</v>
      </c>
      <c r="AA37" s="276">
        <f>'Monthly Data'!AF130</f>
        <v>363</v>
      </c>
      <c r="AB37" s="278">
        <f t="shared" si="30"/>
        <v>1</v>
      </c>
      <c r="AC37" s="234"/>
      <c r="AD37" s="234" t="s">
        <v>195</v>
      </c>
      <c r="AE37" s="276">
        <f>'Monthly Data'!AH130</f>
        <v>235</v>
      </c>
      <c r="AF37" s="278">
        <f t="shared" si="31"/>
        <v>1</v>
      </c>
    </row>
    <row r="38" spans="1:33">
      <c r="A38" s="234">
        <v>2022</v>
      </c>
      <c r="B38" s="234" t="s">
        <v>45</v>
      </c>
      <c r="C38" s="276">
        <f>'Monthly Data'!DG131</f>
        <v>33359</v>
      </c>
      <c r="D38" s="278">
        <f t="shared" si="24"/>
        <v>1.0013507834544035</v>
      </c>
      <c r="E38" s="234"/>
      <c r="F38" s="234" t="s">
        <v>45</v>
      </c>
      <c r="G38" s="276">
        <f>'Monthly Data'!DH131</f>
        <v>3455</v>
      </c>
      <c r="H38" s="278">
        <f t="shared" si="25"/>
        <v>0.99682631275245237</v>
      </c>
      <c r="I38" s="234"/>
      <c r="J38" s="234" t="s">
        <v>45</v>
      </c>
      <c r="K38" s="276">
        <f>'Monthly Data'!DI131</f>
        <v>368</v>
      </c>
      <c r="L38" s="278">
        <f t="shared" si="26"/>
        <v>1.0027247956403269</v>
      </c>
      <c r="M38" s="234"/>
      <c r="N38" s="234" t="s">
        <v>45</v>
      </c>
      <c r="O38" s="276">
        <f>'Monthly Data'!DJ131</f>
        <v>9</v>
      </c>
      <c r="P38" s="278">
        <f t="shared" si="27"/>
        <v>1</v>
      </c>
      <c r="Q38" s="234"/>
      <c r="R38" s="234" t="s">
        <v>45</v>
      </c>
      <c r="S38" s="276">
        <f>'Monthly Data'!DK131</f>
        <v>4</v>
      </c>
      <c r="T38" s="278">
        <f t="shared" si="28"/>
        <v>1</v>
      </c>
      <c r="U38" s="234"/>
      <c r="V38" s="234" t="s">
        <v>45</v>
      </c>
      <c r="W38" s="276">
        <f>'Monthly Data'!AC131</f>
        <v>10194</v>
      </c>
      <c r="X38" s="278">
        <f t="shared" si="29"/>
        <v>1.0001962323390894</v>
      </c>
      <c r="Y38" s="234"/>
      <c r="Z38" s="234" t="s">
        <v>45</v>
      </c>
      <c r="AA38" s="276">
        <f>'Monthly Data'!AF131</f>
        <v>363</v>
      </c>
      <c r="AB38" s="278">
        <f t="shared" si="30"/>
        <v>1</v>
      </c>
      <c r="AC38" s="234"/>
      <c r="AD38" s="234" t="s">
        <v>45</v>
      </c>
      <c r="AE38" s="276">
        <f>'Monthly Data'!AH131</f>
        <v>235</v>
      </c>
      <c r="AF38" s="278">
        <f t="shared" si="31"/>
        <v>1</v>
      </c>
    </row>
    <row r="39" spans="1:33">
      <c r="A39" s="234">
        <v>2022</v>
      </c>
      <c r="B39" s="234" t="s">
        <v>44</v>
      </c>
      <c r="C39" s="276">
        <f>'Monthly Data'!DG132</f>
        <v>33358</v>
      </c>
      <c r="D39" s="278">
        <f t="shared" si="24"/>
        <v>0.99997002308222671</v>
      </c>
      <c r="E39" s="234"/>
      <c r="F39" s="234" t="s">
        <v>44</v>
      </c>
      <c r="G39" s="276">
        <f>'Monthly Data'!DH132</f>
        <v>3457</v>
      </c>
      <c r="H39" s="278">
        <f t="shared" si="25"/>
        <v>1.0005788712011578</v>
      </c>
      <c r="I39" s="234"/>
      <c r="J39" s="234" t="s">
        <v>44</v>
      </c>
      <c r="K39" s="276">
        <f>'Monthly Data'!DI132</f>
        <v>368</v>
      </c>
      <c r="L39" s="278">
        <f t="shared" si="26"/>
        <v>1</v>
      </c>
      <c r="M39" s="234"/>
      <c r="N39" s="234" t="s">
        <v>44</v>
      </c>
      <c r="O39" s="276">
        <f>'Monthly Data'!DJ132</f>
        <v>9</v>
      </c>
      <c r="P39" s="278">
        <f t="shared" si="27"/>
        <v>1</v>
      </c>
      <c r="Q39" s="234"/>
      <c r="R39" s="234" t="s">
        <v>44</v>
      </c>
      <c r="S39" s="276">
        <f>'Monthly Data'!DK132</f>
        <v>4</v>
      </c>
      <c r="T39" s="278">
        <f t="shared" si="28"/>
        <v>1</v>
      </c>
      <c r="U39" s="234"/>
      <c r="V39" s="234" t="s">
        <v>44</v>
      </c>
      <c r="W39" s="276">
        <f>'Monthly Data'!AC132</f>
        <v>10193</v>
      </c>
      <c r="X39" s="278">
        <f t="shared" si="29"/>
        <v>0.99990190308024329</v>
      </c>
      <c r="Y39" s="234"/>
      <c r="Z39" s="234" t="s">
        <v>44</v>
      </c>
      <c r="AA39" s="276">
        <f>'Monthly Data'!AF132</f>
        <v>363</v>
      </c>
      <c r="AB39" s="278">
        <f t="shared" si="30"/>
        <v>1</v>
      </c>
      <c r="AC39" s="234"/>
      <c r="AD39" s="234" t="s">
        <v>44</v>
      </c>
      <c r="AE39" s="276">
        <f>'Monthly Data'!AH132</f>
        <v>235</v>
      </c>
      <c r="AF39" s="278">
        <f t="shared" si="31"/>
        <v>1</v>
      </c>
    </row>
    <row r="40" spans="1:33" s="11" customFormat="1">
      <c r="A40" s="234">
        <v>2022</v>
      </c>
      <c r="B40" s="234" t="s">
        <v>43</v>
      </c>
      <c r="C40" s="276">
        <f>'Monthly Data'!DG133</f>
        <v>33368</v>
      </c>
      <c r="D40" s="278">
        <f t="shared" si="24"/>
        <v>1.0002997781641585</v>
      </c>
      <c r="E40" s="234"/>
      <c r="F40" s="234" t="s">
        <v>43</v>
      </c>
      <c r="G40" s="276">
        <f>'Monthly Data'!DH133</f>
        <v>3456</v>
      </c>
      <c r="H40" s="278">
        <f t="shared" si="25"/>
        <v>0.99971073184842352</v>
      </c>
      <c r="I40" s="234"/>
      <c r="J40" s="234" t="s">
        <v>43</v>
      </c>
      <c r="K40" s="276">
        <f>'Monthly Data'!DI133</f>
        <v>368</v>
      </c>
      <c r="L40" s="278">
        <f t="shared" si="26"/>
        <v>1</v>
      </c>
      <c r="M40" s="234"/>
      <c r="N40" s="234" t="s">
        <v>43</v>
      </c>
      <c r="O40" s="276">
        <f>'Monthly Data'!DJ133</f>
        <v>9</v>
      </c>
      <c r="P40" s="278">
        <f t="shared" si="27"/>
        <v>1</v>
      </c>
      <c r="Q40" s="234"/>
      <c r="R40" s="234" t="s">
        <v>43</v>
      </c>
      <c r="S40" s="276">
        <f>'Monthly Data'!DK133</f>
        <v>4</v>
      </c>
      <c r="T40" s="278">
        <f t="shared" si="28"/>
        <v>1</v>
      </c>
      <c r="U40" s="234"/>
      <c r="V40" s="234" t="s">
        <v>43</v>
      </c>
      <c r="W40" s="276">
        <f>'Monthly Data'!AC133</f>
        <v>10193</v>
      </c>
      <c r="X40" s="278">
        <f t="shared" si="29"/>
        <v>1</v>
      </c>
      <c r="Y40" s="234"/>
      <c r="Z40" s="234" t="s">
        <v>43</v>
      </c>
      <c r="AA40" s="276">
        <f>'Monthly Data'!AF133</f>
        <v>363</v>
      </c>
      <c r="AB40" s="278">
        <f t="shared" si="30"/>
        <v>1</v>
      </c>
      <c r="AC40" s="234"/>
      <c r="AD40" s="234" t="s">
        <v>43</v>
      </c>
      <c r="AE40" s="276">
        <f>'Monthly Data'!AH133</f>
        <v>235</v>
      </c>
      <c r="AF40" s="278">
        <f t="shared" si="31"/>
        <v>1</v>
      </c>
      <c r="AG40" s="117"/>
    </row>
    <row r="41" spans="1:33" s="11" customFormat="1">
      <c r="A41" s="11">
        <f t="shared" ref="A41:A52" si="32">A29+1</f>
        <v>2023</v>
      </c>
      <c r="B41" s="11" t="str">
        <f t="shared" ref="B41:B52" si="33">B29</f>
        <v>Jan</v>
      </c>
      <c r="C41" s="144">
        <v>33343.714804829993</v>
      </c>
      <c r="D41" s="278"/>
      <c r="F41" s="11" t="str">
        <f t="shared" ref="F41:F52" si="34">F29</f>
        <v>Jan</v>
      </c>
      <c r="G41" s="144">
        <v>3453.0004475931041</v>
      </c>
      <c r="H41" s="278"/>
      <c r="J41" s="11" t="str">
        <f t="shared" ref="J41:J52" si="35">J29</f>
        <v>Jan</v>
      </c>
      <c r="K41" s="144">
        <v>365.04238964209594</v>
      </c>
      <c r="L41" s="278"/>
      <c r="N41" s="11" t="str">
        <f t="shared" ref="N41:N52" si="36">N29</f>
        <v>Jan</v>
      </c>
      <c r="O41" s="144">
        <v>8</v>
      </c>
      <c r="P41" s="278"/>
      <c r="R41" s="11" t="str">
        <f t="shared" ref="R41:R52" si="37">R29</f>
        <v>Jan</v>
      </c>
      <c r="S41" s="144">
        <v>4</v>
      </c>
      <c r="T41" s="278"/>
      <c r="V41" s="11" t="str">
        <f t="shared" ref="V41:V52" si="38">V29</f>
        <v>Jan</v>
      </c>
      <c r="W41" s="144">
        <v>10186.067197850291</v>
      </c>
      <c r="X41" s="278"/>
      <c r="Z41" s="11" t="str">
        <f t="shared" ref="Z41:Z52" si="39">Z29</f>
        <v>Jan</v>
      </c>
      <c r="AA41" s="144">
        <v>358.96477563500935</v>
      </c>
      <c r="AB41" s="278"/>
      <c r="AD41" s="11" t="str">
        <f t="shared" ref="AD41:AD52" si="40">AD29</f>
        <v>Jan</v>
      </c>
      <c r="AE41" s="144">
        <v>339.58326963913413</v>
      </c>
      <c r="AF41" s="278"/>
      <c r="AG41" s="117"/>
    </row>
    <row r="42" spans="1:33" s="11" customFormat="1">
      <c r="A42" s="11">
        <f t="shared" si="32"/>
        <v>2023</v>
      </c>
      <c r="B42" s="11" t="str">
        <f t="shared" si="33"/>
        <v>Feb</v>
      </c>
      <c r="C42" s="144">
        <f t="shared" ref="C42" si="41">C41*D42</f>
        <v>33357.132281293409</v>
      </c>
      <c r="D42" s="117">
        <f>D16^(1/12)</f>
        <v>1.0004023989690995</v>
      </c>
      <c r="F42" s="11" t="str">
        <f t="shared" si="34"/>
        <v>Feb</v>
      </c>
      <c r="G42" s="144">
        <f t="shared" ref="G42" si="42">G41*H42</f>
        <v>3452.6675319712272</v>
      </c>
      <c r="H42" s="117">
        <f>H16^(1/12)</f>
        <v>0.99990358656857137</v>
      </c>
      <c r="J42" s="11" t="str">
        <f t="shared" si="35"/>
        <v>Feb</v>
      </c>
      <c r="K42" s="144">
        <f>K41*L42</f>
        <v>364.85800871791787</v>
      </c>
      <c r="L42" s="117">
        <f>L16^(1/12)</f>
        <v>0.99949490544273811</v>
      </c>
      <c r="N42" s="11" t="str">
        <f t="shared" si="36"/>
        <v>Feb</v>
      </c>
      <c r="O42" s="144">
        <f t="shared" ref="O42:O52" si="43">O41*P42</f>
        <v>8</v>
      </c>
      <c r="P42" s="117">
        <f>P16^(1/12)</f>
        <v>1</v>
      </c>
      <c r="R42" s="11" t="str">
        <f t="shared" si="37"/>
        <v>Feb</v>
      </c>
      <c r="S42" s="144">
        <f t="shared" ref="S42:S52" si="44">S41*T42</f>
        <v>4</v>
      </c>
      <c r="T42" s="117">
        <f>T16^(1/12)</f>
        <v>1</v>
      </c>
      <c r="V42" s="11" t="str">
        <f t="shared" si="38"/>
        <v>Feb</v>
      </c>
      <c r="W42" s="144">
        <f t="shared" ref="W42:W44" si="45">W41*X42</f>
        <v>10187.388953638421</v>
      </c>
      <c r="X42" s="117">
        <f>X16^(1/12)</f>
        <v>1.0001297611494659</v>
      </c>
      <c r="Z42" s="11" t="str">
        <f t="shared" si="39"/>
        <v>Feb</v>
      </c>
      <c r="AA42" s="144">
        <f t="shared" ref="AA42:AA52" si="46">AA41*AB42</f>
        <v>358.73980164302901</v>
      </c>
      <c r="AB42" s="117">
        <f>AB16^(1/12)</f>
        <v>0.99937327000516318</v>
      </c>
      <c r="AD42" s="11" t="str">
        <f t="shared" si="40"/>
        <v>Feb</v>
      </c>
      <c r="AE42" s="144">
        <f>(AE41-$AE$20)*AF42+$AE$20</f>
        <v>339.04220800945728</v>
      </c>
      <c r="AF42" s="117">
        <f>AF16^(1/12)</f>
        <v>0.99771301820918212</v>
      </c>
      <c r="AG42" s="117"/>
    </row>
    <row r="43" spans="1:33" s="11" customFormat="1">
      <c r="A43" s="11">
        <f t="shared" si="32"/>
        <v>2023</v>
      </c>
      <c r="B43" s="11" t="str">
        <f t="shared" si="33"/>
        <v>Mar</v>
      </c>
      <c r="C43" s="144">
        <f t="shared" ref="C43:C52" si="47">C42*D43</f>
        <v>33370.555156935516</v>
      </c>
      <c r="D43" s="117">
        <f t="shared" ref="D43:D52" si="48">D42</f>
        <v>1.0004023989690995</v>
      </c>
      <c r="F43" s="11" t="str">
        <f t="shared" si="34"/>
        <v>Mar</v>
      </c>
      <c r="G43" s="144">
        <f t="shared" ref="G43:G52" si="49">G42*H43</f>
        <v>3452.3346484468875</v>
      </c>
      <c r="H43" s="117">
        <f t="shared" ref="H43:H52" si="50">H42</f>
        <v>0.99990358656857137</v>
      </c>
      <c r="J43" s="11" t="str">
        <f t="shared" si="35"/>
        <v>Mar</v>
      </c>
      <c r="K43" s="144">
        <f t="shared" ref="K43:K52" si="51">K42*L43</f>
        <v>364.67372092354105</v>
      </c>
      <c r="L43" s="117">
        <f t="shared" ref="L43:L52" si="52">L42</f>
        <v>0.99949490544273811</v>
      </c>
      <c r="N43" s="11" t="str">
        <f t="shared" si="36"/>
        <v>Mar</v>
      </c>
      <c r="O43" s="144">
        <f t="shared" si="43"/>
        <v>8</v>
      </c>
      <c r="P43" s="117">
        <f t="shared" ref="P43:P52" si="53">P42</f>
        <v>1</v>
      </c>
      <c r="R43" s="11" t="str">
        <f t="shared" si="37"/>
        <v>Mar</v>
      </c>
      <c r="S43" s="144">
        <f t="shared" si="44"/>
        <v>4</v>
      </c>
      <c r="T43" s="117">
        <f t="shared" ref="T43:T52" si="54">T42</f>
        <v>1</v>
      </c>
      <c r="V43" s="11" t="str">
        <f t="shared" si="38"/>
        <v>Mar</v>
      </c>
      <c r="W43" s="144">
        <f t="shared" si="45"/>
        <v>10188.710880939103</v>
      </c>
      <c r="X43" s="117">
        <f t="shared" ref="X43:X52" si="55">X42</f>
        <v>1.0001297611494659</v>
      </c>
      <c r="Z43" s="11" t="str">
        <f t="shared" si="39"/>
        <v>Mar</v>
      </c>
      <c r="AA43" s="144">
        <f t="shared" si="46"/>
        <v>358.51496864899752</v>
      </c>
      <c r="AB43" s="117">
        <f t="shared" ref="AB43:AB52" si="56">AB42</f>
        <v>0.99937327000516318</v>
      </c>
      <c r="AD43" s="11" t="str">
        <f t="shared" si="40"/>
        <v>Mar</v>
      </c>
      <c r="AE43" s="144">
        <f t="shared" ref="AE43:AE52" si="57">(AE42-$AE$20)*AF43+$AE$20</f>
        <v>338.5023837778752</v>
      </c>
      <c r="AF43" s="117">
        <f t="shared" ref="AF43:AF52" si="58">AF42</f>
        <v>0.99771301820918212</v>
      </c>
      <c r="AG43" s="117"/>
    </row>
    <row r="44" spans="1:33" s="11" customFormat="1">
      <c r="A44" s="11">
        <f t="shared" si="32"/>
        <v>2023</v>
      </c>
      <c r="B44" s="11" t="str">
        <f t="shared" si="33"/>
        <v>Apr</v>
      </c>
      <c r="C44" s="144">
        <f t="shared" si="47"/>
        <v>33383.983433928945</v>
      </c>
      <c r="D44" s="117">
        <f t="shared" si="48"/>
        <v>1.0004023989690995</v>
      </c>
      <c r="F44" s="11" t="str">
        <f t="shared" si="34"/>
        <v>Apr</v>
      </c>
      <c r="G44" s="144">
        <f t="shared" si="49"/>
        <v>3452.0017970169906</v>
      </c>
      <c r="H44" s="117">
        <f t="shared" si="50"/>
        <v>0.99990358656857137</v>
      </c>
      <c r="J44" s="11" t="str">
        <f t="shared" si="35"/>
        <v>Apr</v>
      </c>
      <c r="K44" s="144">
        <f t="shared" si="51"/>
        <v>364.48952621192615</v>
      </c>
      <c r="L44" s="117">
        <f t="shared" si="52"/>
        <v>0.99949490544273811</v>
      </c>
      <c r="N44" s="11" t="str">
        <f t="shared" si="36"/>
        <v>Apr</v>
      </c>
      <c r="O44" s="144">
        <f t="shared" si="43"/>
        <v>8</v>
      </c>
      <c r="P44" s="117">
        <f t="shared" si="53"/>
        <v>1</v>
      </c>
      <c r="R44" s="11" t="str">
        <f t="shared" si="37"/>
        <v>Apr</v>
      </c>
      <c r="S44" s="144">
        <f t="shared" si="44"/>
        <v>4</v>
      </c>
      <c r="T44" s="117">
        <f t="shared" si="54"/>
        <v>1</v>
      </c>
      <c r="V44" s="11" t="str">
        <f t="shared" si="38"/>
        <v>Apr</v>
      </c>
      <c r="W44" s="144">
        <f t="shared" si="45"/>
        <v>10190.032979774589</v>
      </c>
      <c r="X44" s="117">
        <f t="shared" si="55"/>
        <v>1.0001297611494659</v>
      </c>
      <c r="Z44" s="11" t="str">
        <f t="shared" si="39"/>
        <v>Apr</v>
      </c>
      <c r="AA44" s="144">
        <f t="shared" si="46"/>
        <v>358.29027656454724</v>
      </c>
      <c r="AB44" s="117">
        <f t="shared" si="56"/>
        <v>0.99937327000516318</v>
      </c>
      <c r="AD44" s="11" t="str">
        <f t="shared" si="40"/>
        <v>Apr</v>
      </c>
      <c r="AE44" s="144">
        <f t="shared" si="57"/>
        <v>337.963794114481</v>
      </c>
      <c r="AF44" s="117">
        <f t="shared" si="58"/>
        <v>0.99771301820918212</v>
      </c>
      <c r="AG44" s="117"/>
    </row>
    <row r="45" spans="1:33" s="11" customFormat="1">
      <c r="A45" s="11">
        <f t="shared" si="32"/>
        <v>2023</v>
      </c>
      <c r="B45" s="11" t="str">
        <f t="shared" si="33"/>
        <v>May</v>
      </c>
      <c r="C45" s="144">
        <f t="shared" si="47"/>
        <v>33397.417114447191</v>
      </c>
      <c r="D45" s="117">
        <f t="shared" si="48"/>
        <v>1.0004023989690995</v>
      </c>
      <c r="F45" s="11" t="str">
        <f t="shared" si="34"/>
        <v>May</v>
      </c>
      <c r="G45" s="144">
        <f t="shared" si="49"/>
        <v>3451.6689776784424</v>
      </c>
      <c r="H45" s="117">
        <f t="shared" si="50"/>
        <v>0.99990358656857137</v>
      </c>
      <c r="J45" s="11" t="str">
        <f t="shared" si="35"/>
        <v>May</v>
      </c>
      <c r="K45" s="144">
        <f t="shared" si="51"/>
        <v>364.30542453605756</v>
      </c>
      <c r="L45" s="117">
        <f t="shared" si="52"/>
        <v>0.99949490544273811</v>
      </c>
      <c r="N45" s="11" t="str">
        <f t="shared" si="36"/>
        <v>May</v>
      </c>
      <c r="O45" s="144">
        <f t="shared" si="43"/>
        <v>8</v>
      </c>
      <c r="P45" s="117">
        <f t="shared" si="53"/>
        <v>1</v>
      </c>
      <c r="R45" s="11" t="str">
        <f t="shared" si="37"/>
        <v>May</v>
      </c>
      <c r="S45" s="144">
        <f t="shared" si="44"/>
        <v>4</v>
      </c>
      <c r="T45" s="117">
        <f t="shared" si="54"/>
        <v>1</v>
      </c>
      <c r="V45" s="11" t="str">
        <f t="shared" si="38"/>
        <v>May</v>
      </c>
      <c r="W45" s="144">
        <f t="shared" ref="W45:W52" si="59">W44*X45</f>
        <v>10191.35525016714</v>
      </c>
      <c r="X45" s="117">
        <f t="shared" si="55"/>
        <v>1.0001297611494659</v>
      </c>
      <c r="Z45" s="11" t="str">
        <f t="shared" si="39"/>
        <v>May</v>
      </c>
      <c r="AA45" s="144">
        <f t="shared" si="46"/>
        <v>358.06572530136589</v>
      </c>
      <c r="AB45" s="117">
        <f t="shared" si="56"/>
        <v>0.99937327000516318</v>
      </c>
      <c r="AD45" s="11" t="str">
        <f t="shared" si="40"/>
        <v>May</v>
      </c>
      <c r="AE45" s="144">
        <f t="shared" si="57"/>
        <v>337.4264361958397</v>
      </c>
      <c r="AF45" s="117">
        <f t="shared" si="58"/>
        <v>0.99771301820918212</v>
      </c>
      <c r="AG45" s="117"/>
    </row>
    <row r="46" spans="1:33" s="11" customFormat="1">
      <c r="A46" s="11">
        <f t="shared" si="32"/>
        <v>2023</v>
      </c>
      <c r="B46" s="11" t="str">
        <f t="shared" si="33"/>
        <v>Jun</v>
      </c>
      <c r="C46" s="144">
        <f t="shared" si="47"/>
        <v>33410.856200664632</v>
      </c>
      <c r="D46" s="117">
        <f t="shared" si="48"/>
        <v>1.0004023989690995</v>
      </c>
      <c r="F46" s="11" t="str">
        <f t="shared" si="34"/>
        <v>Jun</v>
      </c>
      <c r="G46" s="144">
        <f t="shared" si="49"/>
        <v>3451.3361904281487</v>
      </c>
      <c r="H46" s="117">
        <f t="shared" si="50"/>
        <v>0.99990358656857137</v>
      </c>
      <c r="J46" s="11" t="str">
        <f t="shared" si="35"/>
        <v>Jun</v>
      </c>
      <c r="K46" s="144">
        <f t="shared" si="51"/>
        <v>364.1214158489434</v>
      </c>
      <c r="L46" s="117">
        <f t="shared" si="52"/>
        <v>0.99949490544273811</v>
      </c>
      <c r="N46" s="11" t="str">
        <f t="shared" si="36"/>
        <v>Jun</v>
      </c>
      <c r="O46" s="144">
        <f t="shared" si="43"/>
        <v>8</v>
      </c>
      <c r="P46" s="117">
        <f t="shared" si="53"/>
        <v>1</v>
      </c>
      <c r="R46" s="11" t="str">
        <f t="shared" si="37"/>
        <v>Jun</v>
      </c>
      <c r="S46" s="144">
        <f t="shared" si="44"/>
        <v>4</v>
      </c>
      <c r="T46" s="117">
        <f t="shared" si="54"/>
        <v>1</v>
      </c>
      <c r="V46" s="11" t="str">
        <f t="shared" si="38"/>
        <v>Jun</v>
      </c>
      <c r="W46" s="144">
        <f t="shared" si="59"/>
        <v>10192.677692139017</v>
      </c>
      <c r="X46" s="117">
        <f t="shared" si="55"/>
        <v>1.0001297611494659</v>
      </c>
      <c r="Z46" s="11" t="str">
        <f t="shared" si="39"/>
        <v>Jun</v>
      </c>
      <c r="AA46" s="144">
        <f t="shared" si="46"/>
        <v>357.84131477119649</v>
      </c>
      <c r="AB46" s="117">
        <f t="shared" si="56"/>
        <v>0.99937327000516318</v>
      </c>
      <c r="AD46" s="11" t="str">
        <f t="shared" si="40"/>
        <v>Jun</v>
      </c>
      <c r="AE46" s="144">
        <f t="shared" si="57"/>
        <v>336.89030720497351</v>
      </c>
      <c r="AF46" s="117">
        <f t="shared" si="58"/>
        <v>0.99771301820918212</v>
      </c>
      <c r="AG46" s="117"/>
    </row>
    <row r="47" spans="1:33" s="11" customFormat="1">
      <c r="A47" s="11">
        <f t="shared" si="32"/>
        <v>2023</v>
      </c>
      <c r="B47" s="11" t="str">
        <f t="shared" si="33"/>
        <v>Jul</v>
      </c>
      <c r="C47" s="144">
        <f t="shared" si="47"/>
        <v>33424.300694756515</v>
      </c>
      <c r="D47" s="117">
        <f t="shared" si="48"/>
        <v>1.0004023989690995</v>
      </c>
      <c r="F47" s="11" t="str">
        <f t="shared" si="34"/>
        <v>Jul</v>
      </c>
      <c r="G47" s="144">
        <f t="shared" si="49"/>
        <v>3451.0034352630155</v>
      </c>
      <c r="H47" s="117">
        <f t="shared" si="50"/>
        <v>0.99990358656857137</v>
      </c>
      <c r="J47" s="11" t="str">
        <f t="shared" si="35"/>
        <v>Jul</v>
      </c>
      <c r="K47" s="144">
        <f t="shared" si="51"/>
        <v>363.9375001036156</v>
      </c>
      <c r="L47" s="117">
        <f t="shared" si="52"/>
        <v>0.99949490544273811</v>
      </c>
      <c r="N47" s="11" t="str">
        <f t="shared" si="36"/>
        <v>Jul</v>
      </c>
      <c r="O47" s="144">
        <f t="shared" si="43"/>
        <v>8</v>
      </c>
      <c r="P47" s="117">
        <f t="shared" si="53"/>
        <v>1</v>
      </c>
      <c r="R47" s="11" t="str">
        <f t="shared" si="37"/>
        <v>Jul</v>
      </c>
      <c r="S47" s="144">
        <f t="shared" si="44"/>
        <v>4</v>
      </c>
      <c r="T47" s="117">
        <f t="shared" si="54"/>
        <v>1</v>
      </c>
      <c r="V47" s="11" t="str">
        <f t="shared" si="38"/>
        <v>Jul</v>
      </c>
      <c r="W47" s="144">
        <f t="shared" si="59"/>
        <v>10194.000305712485</v>
      </c>
      <c r="X47" s="117">
        <f t="shared" si="55"/>
        <v>1.0001297611494659</v>
      </c>
      <c r="Z47" s="11" t="str">
        <f t="shared" si="39"/>
        <v>Jul</v>
      </c>
      <c r="AA47" s="144">
        <f t="shared" si="46"/>
        <v>357.61704488583752</v>
      </c>
      <c r="AB47" s="117">
        <f t="shared" si="56"/>
        <v>0.99937327000516318</v>
      </c>
      <c r="AD47" s="11" t="str">
        <f t="shared" si="40"/>
        <v>Jul</v>
      </c>
      <c r="AE47" s="144">
        <f t="shared" si="57"/>
        <v>336.3554043313469</v>
      </c>
      <c r="AF47" s="117">
        <f t="shared" si="58"/>
        <v>0.99771301820918212</v>
      </c>
      <c r="AG47" s="117"/>
    </row>
    <row r="48" spans="1:33" s="11" customFormat="1">
      <c r="A48" s="11">
        <f t="shared" si="32"/>
        <v>2023</v>
      </c>
      <c r="B48" s="11" t="str">
        <f t="shared" si="33"/>
        <v>Aug</v>
      </c>
      <c r="C48" s="144">
        <f t="shared" si="47"/>
        <v>33437.750598898958</v>
      </c>
      <c r="D48" s="117">
        <f t="shared" si="48"/>
        <v>1.0004023989690995</v>
      </c>
      <c r="F48" s="11" t="str">
        <f t="shared" si="34"/>
        <v>Aug</v>
      </c>
      <c r="G48" s="144">
        <f t="shared" si="49"/>
        <v>3450.67071217995</v>
      </c>
      <c r="H48" s="117">
        <f t="shared" si="50"/>
        <v>0.99990358656857137</v>
      </c>
      <c r="J48" s="11" t="str">
        <f t="shared" si="35"/>
        <v>Aug</v>
      </c>
      <c r="K48" s="144">
        <f t="shared" si="51"/>
        <v>363.75367725312975</v>
      </c>
      <c r="L48" s="117">
        <f t="shared" si="52"/>
        <v>0.99949490544273811</v>
      </c>
      <c r="N48" s="11" t="str">
        <f t="shared" si="36"/>
        <v>Aug</v>
      </c>
      <c r="O48" s="144">
        <f t="shared" si="43"/>
        <v>8</v>
      </c>
      <c r="P48" s="117">
        <f t="shared" si="53"/>
        <v>1</v>
      </c>
      <c r="R48" s="11" t="str">
        <f t="shared" si="37"/>
        <v>Aug</v>
      </c>
      <c r="S48" s="144">
        <f t="shared" si="44"/>
        <v>4</v>
      </c>
      <c r="T48" s="117">
        <f t="shared" si="54"/>
        <v>1</v>
      </c>
      <c r="V48" s="11" t="str">
        <f t="shared" si="38"/>
        <v>Aug</v>
      </c>
      <c r="W48" s="144">
        <f t="shared" si="59"/>
        <v>10195.323090909811</v>
      </c>
      <c r="X48" s="117">
        <f t="shared" si="55"/>
        <v>1.0001297611494659</v>
      </c>
      <c r="Z48" s="11" t="str">
        <f t="shared" si="39"/>
        <v>Aug</v>
      </c>
      <c r="AA48" s="144">
        <f t="shared" si="46"/>
        <v>357.39291555714266</v>
      </c>
      <c r="AB48" s="117">
        <f t="shared" si="56"/>
        <v>0.99937327000516318</v>
      </c>
      <c r="AD48" s="11" t="str">
        <f t="shared" si="40"/>
        <v>Aug</v>
      </c>
      <c r="AE48" s="144">
        <f t="shared" si="57"/>
        <v>335.82172477085214</v>
      </c>
      <c r="AF48" s="117">
        <f t="shared" si="58"/>
        <v>0.99771301820918212</v>
      </c>
      <c r="AG48" s="117"/>
    </row>
    <row r="49" spans="1:33" s="11" customFormat="1">
      <c r="A49" s="11">
        <f t="shared" si="32"/>
        <v>2023</v>
      </c>
      <c r="B49" s="11" t="str">
        <f t="shared" si="33"/>
        <v>Sep</v>
      </c>
      <c r="C49" s="144">
        <f t="shared" si="47"/>
        <v>33451.205915268962</v>
      </c>
      <c r="D49" s="117">
        <f t="shared" si="48"/>
        <v>1.0004023989690995</v>
      </c>
      <c r="F49" s="11" t="str">
        <f t="shared" si="34"/>
        <v>Sep</v>
      </c>
      <c r="G49" s="144">
        <f t="shared" si="49"/>
        <v>3450.3380211758586</v>
      </c>
      <c r="H49" s="117">
        <f t="shared" si="50"/>
        <v>0.99990358656857137</v>
      </c>
      <c r="J49" s="11" t="str">
        <f t="shared" si="35"/>
        <v>Sep</v>
      </c>
      <c r="K49" s="144">
        <f t="shared" si="51"/>
        <v>363.56994725056518</v>
      </c>
      <c r="L49" s="117">
        <f t="shared" si="52"/>
        <v>0.99949490544273811</v>
      </c>
      <c r="N49" s="11" t="str">
        <f t="shared" si="36"/>
        <v>Sep</v>
      </c>
      <c r="O49" s="144">
        <f t="shared" si="43"/>
        <v>8</v>
      </c>
      <c r="P49" s="117">
        <f t="shared" si="53"/>
        <v>1</v>
      </c>
      <c r="R49" s="11" t="str">
        <f t="shared" si="37"/>
        <v>Sep</v>
      </c>
      <c r="S49" s="144">
        <f t="shared" si="44"/>
        <v>4</v>
      </c>
      <c r="T49" s="117">
        <f t="shared" si="54"/>
        <v>1</v>
      </c>
      <c r="V49" s="11" t="str">
        <f t="shared" si="38"/>
        <v>Sep</v>
      </c>
      <c r="W49" s="144">
        <f t="shared" si="59"/>
        <v>10196.646047753264</v>
      </c>
      <c r="X49" s="117">
        <f t="shared" si="55"/>
        <v>1.0001297611494659</v>
      </c>
      <c r="Z49" s="11" t="str">
        <f t="shared" si="39"/>
        <v>Sep</v>
      </c>
      <c r="AA49" s="144">
        <f t="shared" si="46"/>
        <v>357.16892669702082</v>
      </c>
      <c r="AB49" s="117">
        <f t="shared" si="56"/>
        <v>0.99937327000516318</v>
      </c>
      <c r="AD49" s="11" t="str">
        <f t="shared" si="40"/>
        <v>Sep</v>
      </c>
      <c r="AE49" s="144">
        <f t="shared" si="57"/>
        <v>335.28926572579439</v>
      </c>
      <c r="AF49" s="117">
        <f t="shared" si="58"/>
        <v>0.99771301820918212</v>
      </c>
      <c r="AG49" s="117"/>
    </row>
    <row r="50" spans="1:33" s="11" customFormat="1">
      <c r="A50" s="11">
        <f t="shared" si="32"/>
        <v>2023</v>
      </c>
      <c r="B50" s="11" t="str">
        <f t="shared" si="33"/>
        <v>Oct</v>
      </c>
      <c r="C50" s="144">
        <f t="shared" si="47"/>
        <v>33464.666646044403</v>
      </c>
      <c r="D50" s="117">
        <f t="shared" si="48"/>
        <v>1.0004023989690995</v>
      </c>
      <c r="F50" s="11" t="str">
        <f t="shared" si="34"/>
        <v>Oct</v>
      </c>
      <c r="G50" s="144">
        <f t="shared" si="49"/>
        <v>3450.0053622476485</v>
      </c>
      <c r="H50" s="117">
        <f t="shared" si="50"/>
        <v>0.99990358656857137</v>
      </c>
      <c r="J50" s="11" t="str">
        <f t="shared" si="35"/>
        <v>Oct</v>
      </c>
      <c r="K50" s="144">
        <f t="shared" si="51"/>
        <v>363.38631004902493</v>
      </c>
      <c r="L50" s="117">
        <f t="shared" si="52"/>
        <v>0.99949490544273811</v>
      </c>
      <c r="N50" s="11" t="str">
        <f t="shared" si="36"/>
        <v>Oct</v>
      </c>
      <c r="O50" s="144">
        <f t="shared" si="43"/>
        <v>8</v>
      </c>
      <c r="P50" s="117">
        <f t="shared" si="53"/>
        <v>1</v>
      </c>
      <c r="R50" s="11" t="str">
        <f t="shared" si="37"/>
        <v>Oct</v>
      </c>
      <c r="S50" s="144">
        <f t="shared" si="44"/>
        <v>4</v>
      </c>
      <c r="T50" s="117">
        <f t="shared" si="54"/>
        <v>1</v>
      </c>
      <c r="V50" s="11" t="str">
        <f t="shared" si="38"/>
        <v>Oct</v>
      </c>
      <c r="W50" s="144">
        <f t="shared" si="59"/>
        <v>10197.969176265118</v>
      </c>
      <c r="X50" s="117">
        <f t="shared" si="55"/>
        <v>1.0001297611494659</v>
      </c>
      <c r="Z50" s="11" t="str">
        <f t="shared" si="39"/>
        <v>Oct</v>
      </c>
      <c r="AA50" s="144">
        <f t="shared" si="46"/>
        <v>356.94507821743611</v>
      </c>
      <c r="AB50" s="117">
        <f t="shared" si="56"/>
        <v>0.99937327000516318</v>
      </c>
      <c r="AD50" s="11" t="str">
        <f t="shared" si="40"/>
        <v>Oct</v>
      </c>
      <c r="AE50" s="144">
        <f t="shared" si="57"/>
        <v>334.75802440487701</v>
      </c>
      <c r="AF50" s="117">
        <f t="shared" si="58"/>
        <v>0.99771301820918212</v>
      </c>
      <c r="AG50" s="117"/>
    </row>
    <row r="51" spans="1:33" s="11" customFormat="1">
      <c r="A51" s="11">
        <f t="shared" si="32"/>
        <v>2023</v>
      </c>
      <c r="B51" s="11" t="str">
        <f t="shared" si="33"/>
        <v>Nov</v>
      </c>
      <c r="C51" s="144">
        <f t="shared" si="47"/>
        <v>33478.132793404031</v>
      </c>
      <c r="D51" s="117">
        <f t="shared" si="48"/>
        <v>1.0004023989690995</v>
      </c>
      <c r="F51" s="11" t="str">
        <f t="shared" si="34"/>
        <v>Nov</v>
      </c>
      <c r="G51" s="144">
        <f t="shared" si="49"/>
        <v>3449.672735392227</v>
      </c>
      <c r="H51" s="117">
        <f t="shared" si="50"/>
        <v>0.99990358656857137</v>
      </c>
      <c r="J51" s="11" t="str">
        <f t="shared" si="35"/>
        <v>Nov</v>
      </c>
      <c r="K51" s="144">
        <f t="shared" si="51"/>
        <v>363.20276560163569</v>
      </c>
      <c r="L51" s="117">
        <f t="shared" si="52"/>
        <v>0.99949490544273811</v>
      </c>
      <c r="N51" s="11" t="str">
        <f t="shared" si="36"/>
        <v>Nov</v>
      </c>
      <c r="O51" s="144">
        <f t="shared" si="43"/>
        <v>8</v>
      </c>
      <c r="P51" s="117">
        <f t="shared" si="53"/>
        <v>1</v>
      </c>
      <c r="R51" s="11" t="str">
        <f t="shared" si="37"/>
        <v>Nov</v>
      </c>
      <c r="S51" s="144">
        <f t="shared" si="44"/>
        <v>4</v>
      </c>
      <c r="T51" s="117">
        <f t="shared" si="54"/>
        <v>1</v>
      </c>
      <c r="V51" s="11" t="str">
        <f t="shared" si="38"/>
        <v>Nov</v>
      </c>
      <c r="W51" s="144">
        <f t="shared" si="59"/>
        <v>10199.292476467648</v>
      </c>
      <c r="X51" s="117">
        <f t="shared" si="55"/>
        <v>1.0001297611494659</v>
      </c>
      <c r="Z51" s="11" t="str">
        <f t="shared" si="39"/>
        <v>Nov</v>
      </c>
      <c r="AA51" s="144">
        <f t="shared" si="46"/>
        <v>356.72137003040785</v>
      </c>
      <c r="AB51" s="117">
        <f t="shared" si="56"/>
        <v>0.99937327000516318</v>
      </c>
      <c r="AD51" s="11" t="str">
        <f t="shared" si="40"/>
        <v>Nov</v>
      </c>
      <c r="AE51" s="144">
        <f t="shared" si="57"/>
        <v>334.22799802318713</v>
      </c>
      <c r="AF51" s="117">
        <f t="shared" si="58"/>
        <v>0.99771301820918212</v>
      </c>
      <c r="AG51" s="117"/>
    </row>
    <row r="52" spans="1:33" s="11" customFormat="1">
      <c r="A52" s="11">
        <f t="shared" si="32"/>
        <v>2023</v>
      </c>
      <c r="B52" s="11" t="str">
        <f t="shared" si="33"/>
        <v>Dec</v>
      </c>
      <c r="C52" s="144">
        <f t="shared" si="47"/>
        <v>33491.604359527475</v>
      </c>
      <c r="D52" s="117">
        <f t="shared" si="48"/>
        <v>1.0004023989690995</v>
      </c>
      <c r="F52" s="11" t="str">
        <f t="shared" si="34"/>
        <v>Dec</v>
      </c>
      <c r="G52" s="144">
        <f t="shared" si="49"/>
        <v>3449.3401406065018</v>
      </c>
      <c r="H52" s="117">
        <f t="shared" si="50"/>
        <v>0.99990358656857137</v>
      </c>
      <c r="J52" s="11" t="str">
        <f t="shared" si="35"/>
        <v>Dec</v>
      </c>
      <c r="K52" s="144">
        <f t="shared" si="51"/>
        <v>363.01931386154786</v>
      </c>
      <c r="L52" s="117">
        <f t="shared" si="52"/>
        <v>0.99949490544273811</v>
      </c>
      <c r="N52" s="11" t="str">
        <f t="shared" si="36"/>
        <v>Dec</v>
      </c>
      <c r="O52" s="144">
        <f t="shared" si="43"/>
        <v>8</v>
      </c>
      <c r="P52" s="117">
        <f t="shared" si="53"/>
        <v>1</v>
      </c>
      <c r="R52" s="11" t="str">
        <f t="shared" si="37"/>
        <v>Dec</v>
      </c>
      <c r="S52" s="144">
        <f t="shared" si="44"/>
        <v>4</v>
      </c>
      <c r="T52" s="117">
        <f t="shared" si="54"/>
        <v>1</v>
      </c>
      <c r="V52" s="11" t="str">
        <f t="shared" si="38"/>
        <v>Dec</v>
      </c>
      <c r="W52" s="144">
        <f t="shared" si="59"/>
        <v>10200.615948383134</v>
      </c>
      <c r="X52" s="117">
        <f t="shared" si="55"/>
        <v>1.0001297611494659</v>
      </c>
      <c r="Z52" s="11" t="str">
        <f t="shared" si="39"/>
        <v>Dec</v>
      </c>
      <c r="AA52" s="144">
        <f t="shared" si="46"/>
        <v>356.4978020480105</v>
      </c>
      <c r="AB52" s="117">
        <f t="shared" si="56"/>
        <v>0.99937327000516318</v>
      </c>
      <c r="AD52" s="11" t="str">
        <f t="shared" si="40"/>
        <v>Dec</v>
      </c>
      <c r="AE52" s="144">
        <f t="shared" si="57"/>
        <v>333.69918380218081</v>
      </c>
      <c r="AF52" s="117">
        <f t="shared" si="58"/>
        <v>0.99771301820918212</v>
      </c>
      <c r="AG52" s="117"/>
    </row>
    <row r="53" spans="1:33" s="11" customFormat="1">
      <c r="C53" s="69"/>
      <c r="D53" s="117"/>
      <c r="G53" s="69"/>
      <c r="H53" s="117"/>
      <c r="K53" s="69"/>
      <c r="L53" s="117"/>
      <c r="O53" s="69"/>
      <c r="P53" s="117"/>
      <c r="S53" s="69"/>
      <c r="T53" s="117"/>
      <c r="W53" s="69"/>
      <c r="X53" s="117"/>
      <c r="AA53" s="69"/>
      <c r="AB53" s="117"/>
      <c r="AE53" s="69"/>
      <c r="AF53" s="117"/>
      <c r="AG53" s="117"/>
    </row>
    <row r="54" spans="1:33" s="11" customFormat="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 s="117"/>
    </row>
    <row r="55" spans="1:33" s="11" customFormat="1">
      <c r="A55"/>
      <c r="B55"/>
      <c r="C55" s="115" t="s">
        <v>252</v>
      </c>
      <c r="D55"/>
      <c r="E55"/>
      <c r="F55"/>
      <c r="G55" s="115"/>
      <c r="H55"/>
      <c r="I55"/>
      <c r="J55"/>
      <c r="K55" s="115"/>
      <c r="L55"/>
      <c r="M55"/>
      <c r="N55"/>
      <c r="O55" s="115"/>
      <c r="P55"/>
      <c r="Q55"/>
      <c r="R55"/>
      <c r="S55" s="115"/>
      <c r="T55"/>
      <c r="U55"/>
      <c r="V55"/>
      <c r="W55" s="115"/>
      <c r="X55"/>
      <c r="Y55"/>
      <c r="Z55"/>
      <c r="AA55" s="115"/>
      <c r="AB55"/>
      <c r="AC55"/>
      <c r="AD55"/>
      <c r="AE55" s="115"/>
      <c r="AF55"/>
      <c r="AG55" s="117"/>
    </row>
    <row r="56" spans="1:33" s="11" customFormat="1">
      <c r="A56"/>
      <c r="B56"/>
      <c r="C56" s="115" t="s">
        <v>379</v>
      </c>
      <c r="D56"/>
      <c r="E56"/>
      <c r="F56"/>
      <c r="G56" s="115"/>
      <c r="H56"/>
      <c r="I56"/>
      <c r="J56"/>
      <c r="K56" s="115"/>
      <c r="L56"/>
      <c r="M56"/>
      <c r="N56"/>
      <c r="O56" s="115"/>
      <c r="P56"/>
      <c r="Q56"/>
      <c r="R56"/>
      <c r="S56" s="115"/>
      <c r="T56"/>
      <c r="U56"/>
      <c r="V56"/>
      <c r="W56" s="115"/>
      <c r="X56"/>
      <c r="Y56"/>
      <c r="Z56"/>
      <c r="AA56" s="115"/>
      <c r="AB56"/>
      <c r="AC56"/>
      <c r="AD56"/>
      <c r="AE56" s="115"/>
      <c r="AF56"/>
      <c r="AG56" s="117"/>
    </row>
    <row r="57" spans="1:33" s="11" customFormat="1">
      <c r="A57"/>
      <c r="B57"/>
      <c r="C57" s="115"/>
      <c r="D57"/>
      <c r="E57"/>
      <c r="F57"/>
      <c r="G57" s="115"/>
      <c r="H57"/>
      <c r="I57"/>
      <c r="J57"/>
      <c r="K57" s="115"/>
      <c r="L57"/>
      <c r="M57"/>
      <c r="N57"/>
      <c r="O57" s="115"/>
      <c r="P57"/>
      <c r="Q57"/>
      <c r="R57"/>
      <c r="S57" s="115"/>
      <c r="T57"/>
      <c r="U57"/>
      <c r="V57"/>
      <c r="W57" s="115"/>
      <c r="X57"/>
      <c r="Y57"/>
      <c r="Z57"/>
      <c r="AA57" s="115"/>
      <c r="AB57"/>
      <c r="AC57"/>
      <c r="AD57"/>
      <c r="AE57" s="115"/>
      <c r="AF57"/>
      <c r="AG57" s="117"/>
    </row>
    <row r="58" spans="1:33" s="11" customFormat="1">
      <c r="AG58" s="117"/>
    </row>
    <row r="59" spans="1:33" s="11" customFormat="1">
      <c r="AG59" s="117"/>
    </row>
    <row r="60" spans="1:33" s="11" customFormat="1">
      <c r="AG60" s="117"/>
    </row>
    <row r="61" spans="1:33" s="11" customFormat="1">
      <c r="AG61" s="117"/>
    </row>
    <row r="62" spans="1:33" s="11" customFormat="1">
      <c r="AG62" s="117"/>
    </row>
    <row r="63" spans="1:33" s="11" customFormat="1">
      <c r="AG63" s="117"/>
    </row>
    <row r="64" spans="1:33">
      <c r="AG64" s="117"/>
    </row>
    <row r="69" spans="3:31">
      <c r="C69" s="115"/>
      <c r="G69" s="115"/>
      <c r="K69" s="115"/>
      <c r="O69" s="115"/>
      <c r="S69" s="115"/>
      <c r="W69" s="115"/>
      <c r="AA69" s="115"/>
      <c r="AE69" s="115"/>
    </row>
  </sheetData>
  <mergeCells count="16">
    <mergeCell ref="Z2:AA2"/>
    <mergeCell ref="AB2:AB3"/>
    <mergeCell ref="AD2:AE2"/>
    <mergeCell ref="AF2:AF3"/>
    <mergeCell ref="N2:O2"/>
    <mergeCell ref="P2:P3"/>
    <mergeCell ref="R2:S2"/>
    <mergeCell ref="T2:T3"/>
    <mergeCell ref="V2:W2"/>
    <mergeCell ref="X2:X3"/>
    <mergeCell ref="L2:L3"/>
    <mergeCell ref="B2:C2"/>
    <mergeCell ref="D2:D3"/>
    <mergeCell ref="F2:G2"/>
    <mergeCell ref="H2:H3"/>
    <mergeCell ref="J2:K2"/>
  </mergeCells>
  <phoneticPr fontId="29" type="noConversion"/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R117"/>
  <sheetViews>
    <sheetView topLeftCell="A24" workbookViewId="0">
      <selection activeCell="O16" sqref="O16"/>
    </sheetView>
  </sheetViews>
  <sheetFormatPr defaultRowHeight="15"/>
  <cols>
    <col min="2" max="2" width="26" bestFit="1" customWidth="1"/>
    <col min="3" max="3" width="16" customWidth="1"/>
    <col min="4" max="4" width="19" bestFit="1" customWidth="1"/>
    <col min="5" max="5" width="16.85546875" bestFit="1" customWidth="1"/>
    <col min="6" max="7" width="16" bestFit="1" customWidth="1"/>
    <col min="8" max="8" width="16.140625" bestFit="1" customWidth="1"/>
    <col min="9" max="9" width="27.28515625" bestFit="1" customWidth="1"/>
    <col min="10" max="10" width="15.140625" bestFit="1" customWidth="1"/>
    <col min="11" max="11" width="26" bestFit="1" customWidth="1"/>
    <col min="12" max="12" width="12.85546875" customWidth="1"/>
    <col min="13" max="13" width="16.140625" customWidth="1"/>
    <col min="14" max="14" width="13" bestFit="1" customWidth="1"/>
    <col min="15" max="15" width="11" customWidth="1"/>
    <col min="17" max="17" width="10.5703125" bestFit="1" customWidth="1"/>
  </cols>
  <sheetData>
    <row r="2" spans="2:15" ht="15.75">
      <c r="B2" s="10"/>
      <c r="C2" s="155" t="s">
        <v>293</v>
      </c>
      <c r="D2" s="155"/>
      <c r="E2" s="155"/>
      <c r="F2" s="155"/>
      <c r="G2" s="10"/>
      <c r="H2" s="10"/>
      <c r="L2" s="156" t="s">
        <v>344</v>
      </c>
      <c r="M2" s="156"/>
      <c r="N2" s="156"/>
      <c r="O2" s="156"/>
    </row>
    <row r="3" spans="2:15" ht="15.75">
      <c r="B3" s="10"/>
      <c r="C3" s="155">
        <v>2021</v>
      </c>
      <c r="D3" s="155">
        <v>2022</v>
      </c>
      <c r="E3" s="155">
        <v>2023</v>
      </c>
      <c r="F3" s="155" t="s">
        <v>343</v>
      </c>
      <c r="G3" s="10"/>
      <c r="H3" s="10"/>
      <c r="L3" s="156">
        <v>2021</v>
      </c>
      <c r="M3" s="156">
        <v>2022</v>
      </c>
      <c r="N3" s="156">
        <v>2023</v>
      </c>
      <c r="O3" s="156">
        <v>2024</v>
      </c>
    </row>
    <row r="4" spans="2:15">
      <c r="B4" s="10" t="s">
        <v>242</v>
      </c>
      <c r="C4" s="10">
        <v>354.3</v>
      </c>
      <c r="D4" s="10">
        <v>337.8</v>
      </c>
      <c r="E4" s="10">
        <v>217.2</v>
      </c>
      <c r="F4" s="10">
        <v>217.2</v>
      </c>
      <c r="G4" s="157">
        <f>$H$25</f>
        <v>7.5085058446567026E-3</v>
      </c>
      <c r="H4" s="84" t="s">
        <v>294</v>
      </c>
      <c r="J4" s="158"/>
      <c r="K4" t="s">
        <v>242</v>
      </c>
      <c r="L4" s="159">
        <f>C4*$G4*1000000</f>
        <v>2660263.6207618699</v>
      </c>
      <c r="M4" s="159">
        <f t="shared" ref="L4:O10" si="0">D4*$G4*1000000</f>
        <v>2536373.2743250341</v>
      </c>
      <c r="N4" s="159">
        <f t="shared" si="0"/>
        <v>1630847.4694594357</v>
      </c>
      <c r="O4" s="159">
        <f t="shared" si="0"/>
        <v>1630847.4694594357</v>
      </c>
    </row>
    <row r="5" spans="2:15">
      <c r="B5" s="160" t="s">
        <v>295</v>
      </c>
      <c r="C5" s="160">
        <v>40.200000000000003</v>
      </c>
      <c r="D5" s="160">
        <v>28.5</v>
      </c>
      <c r="E5" s="160">
        <v>14.3</v>
      </c>
      <c r="F5" s="160">
        <v>15.3</v>
      </c>
      <c r="G5" s="157">
        <f>$H$25</f>
        <v>7.5085058446567026E-3</v>
      </c>
      <c r="H5" s="84" t="str">
        <f>H4</f>
        <v>% of provincial kWh</v>
      </c>
      <c r="J5" s="84"/>
      <c r="K5" s="161" t="s">
        <v>295</v>
      </c>
      <c r="L5" s="159">
        <f t="shared" si="0"/>
        <v>301841.93495519948</v>
      </c>
      <c r="M5" s="159">
        <f t="shared" si="0"/>
        <v>213992.41657271603</v>
      </c>
      <c r="N5" s="159">
        <f t="shared" si="0"/>
        <v>107371.63357859084</v>
      </c>
      <c r="O5" s="159">
        <f t="shared" si="0"/>
        <v>114880.13942324756</v>
      </c>
    </row>
    <row r="6" spans="2:15">
      <c r="B6" s="10" t="s">
        <v>296</v>
      </c>
      <c r="C6" s="10">
        <v>21.8</v>
      </c>
      <c r="D6" s="10">
        <v>17.3</v>
      </c>
      <c r="E6" s="10">
        <v>34.1</v>
      </c>
      <c r="F6" s="10">
        <v>35.6</v>
      </c>
      <c r="G6" s="157">
        <f>$H$25</f>
        <v>7.5085058446567026E-3</v>
      </c>
      <c r="H6" s="84" t="str">
        <f>H5</f>
        <v>% of provincial kWh</v>
      </c>
      <c r="J6" s="84"/>
      <c r="K6" t="s">
        <v>296</v>
      </c>
      <c r="L6" s="159">
        <f t="shared" si="0"/>
        <v>163685.42741351612</v>
      </c>
      <c r="M6" s="159">
        <f t="shared" si="0"/>
        <v>129897.15111256095</v>
      </c>
      <c r="N6" s="159">
        <f t="shared" si="0"/>
        <v>256040.04930279357</v>
      </c>
      <c r="O6" s="159">
        <f t="shared" si="0"/>
        <v>267302.80806977861</v>
      </c>
    </row>
    <row r="7" spans="2:15">
      <c r="B7" s="160" t="s">
        <v>297</v>
      </c>
      <c r="C7" s="160">
        <v>16.399999999999999</v>
      </c>
      <c r="D7" s="160">
        <v>47.3</v>
      </c>
      <c r="E7" s="160">
        <v>115.2</v>
      </c>
      <c r="F7" s="160">
        <v>115.2</v>
      </c>
      <c r="G7" s="157">
        <f>$H$25</f>
        <v>7.5085058446567026E-3</v>
      </c>
      <c r="H7" s="84" t="str">
        <f>H6</f>
        <v>% of provincial kWh</v>
      </c>
      <c r="J7" t="s">
        <v>324</v>
      </c>
      <c r="K7" s="161" t="s">
        <v>297</v>
      </c>
      <c r="L7" s="159">
        <f t="shared" si="0"/>
        <v>123139.49585236992</v>
      </c>
      <c r="M7" s="159">
        <f t="shared" si="0"/>
        <v>355152.326452262</v>
      </c>
      <c r="N7" s="159">
        <f t="shared" si="0"/>
        <v>864979.87330445217</v>
      </c>
      <c r="O7" s="159">
        <f t="shared" si="0"/>
        <v>864979.87330445217</v>
      </c>
    </row>
    <row r="8" spans="2:15">
      <c r="B8" s="10" t="s">
        <v>298</v>
      </c>
      <c r="C8" s="10">
        <v>0</v>
      </c>
      <c r="D8" s="10">
        <v>0</v>
      </c>
      <c r="E8" s="10">
        <v>325.7</v>
      </c>
      <c r="F8" s="10">
        <v>325.7</v>
      </c>
      <c r="G8" s="157">
        <f>$H$25</f>
        <v>7.5085058446567026E-3</v>
      </c>
      <c r="H8" s="84" t="str">
        <f>H7</f>
        <v>% of provincial kWh</v>
      </c>
      <c r="J8" s="84"/>
      <c r="K8" t="s">
        <v>298</v>
      </c>
      <c r="L8" s="159">
        <f t="shared" si="0"/>
        <v>0</v>
      </c>
      <c r="M8" s="159">
        <f t="shared" si="0"/>
        <v>0</v>
      </c>
      <c r="N8" s="159">
        <f t="shared" si="0"/>
        <v>2445520.3536046878</v>
      </c>
      <c r="O8" s="159">
        <f t="shared" si="0"/>
        <v>2445520.3536046878</v>
      </c>
    </row>
    <row r="9" spans="2:15">
      <c r="B9" s="160" t="s">
        <v>299</v>
      </c>
      <c r="C9" s="160">
        <v>52.4</v>
      </c>
      <c r="D9" s="160">
        <v>52.4</v>
      </c>
      <c r="E9" s="162">
        <v>62.9</v>
      </c>
      <c r="F9" s="160">
        <v>62.9</v>
      </c>
      <c r="G9" s="157">
        <v>0</v>
      </c>
      <c r="H9" s="84"/>
      <c r="J9" s="84"/>
      <c r="K9" s="161" t="s">
        <v>299</v>
      </c>
      <c r="L9" s="159">
        <f t="shared" si="0"/>
        <v>0</v>
      </c>
      <c r="M9" s="159">
        <f t="shared" si="0"/>
        <v>0</v>
      </c>
      <c r="N9" s="159">
        <f t="shared" si="0"/>
        <v>0</v>
      </c>
      <c r="O9" s="159">
        <f t="shared" si="0"/>
        <v>0</v>
      </c>
    </row>
    <row r="10" spans="2:15">
      <c r="B10" s="10" t="s">
        <v>300</v>
      </c>
      <c r="C10" s="10">
        <v>47.6</v>
      </c>
      <c r="D10" s="10">
        <v>50.3</v>
      </c>
      <c r="E10" s="10">
        <v>52.3</v>
      </c>
      <c r="F10" s="10">
        <v>54</v>
      </c>
      <c r="G10" s="157">
        <f>$H$33</f>
        <v>5.6542375151868093E-3</v>
      </c>
      <c r="H10" s="158" t="s">
        <v>301</v>
      </c>
      <c r="J10" s="158"/>
      <c r="K10" t="s">
        <v>300</v>
      </c>
      <c r="L10" s="159">
        <f t="shared" si="0"/>
        <v>269141.70572289213</v>
      </c>
      <c r="M10" s="159">
        <f t="shared" si="0"/>
        <v>284408.14701389649</v>
      </c>
      <c r="N10" s="159">
        <f t="shared" si="0"/>
        <v>295716.6220442701</v>
      </c>
      <c r="O10" s="159">
        <f t="shared" si="0"/>
        <v>305328.82582008769</v>
      </c>
    </row>
    <row r="11" spans="2:15">
      <c r="B11" s="160" t="s">
        <v>302</v>
      </c>
      <c r="C11" s="160">
        <v>10.3</v>
      </c>
      <c r="D11" s="160">
        <v>7.3</v>
      </c>
      <c r="E11" s="160">
        <v>7.3</v>
      </c>
      <c r="F11" s="160">
        <v>7.3</v>
      </c>
      <c r="G11" s="157">
        <v>0</v>
      </c>
      <c r="H11" s="84"/>
      <c r="J11" s="84"/>
      <c r="K11" s="161" t="s">
        <v>302</v>
      </c>
      <c r="L11" s="159">
        <f>C11*$G11*1000000</f>
        <v>0</v>
      </c>
      <c r="M11" s="159">
        <f>D11*$G11*1000000</f>
        <v>0</v>
      </c>
      <c r="N11" s="159">
        <f>F11*$G11*1000000</f>
        <v>0</v>
      </c>
    </row>
    <row r="12" spans="2:15">
      <c r="B12" s="10"/>
      <c r="C12" s="10"/>
      <c r="D12" s="10"/>
      <c r="E12" s="10"/>
      <c r="F12" s="10"/>
      <c r="G12" s="10"/>
      <c r="H12" s="10"/>
      <c r="K12" s="163"/>
      <c r="L12" s="164">
        <f>SUM(L4:L11)</f>
        <v>3518072.1847058479</v>
      </c>
      <c r="M12" s="164">
        <f t="shared" ref="M12:O12" si="1">SUM(M4:M11)</f>
        <v>3519823.3154764702</v>
      </c>
      <c r="N12" s="164">
        <f t="shared" si="1"/>
        <v>5600476.0012942301</v>
      </c>
      <c r="O12" s="164">
        <f t="shared" si="1"/>
        <v>5628859.4696816895</v>
      </c>
    </row>
    <row r="13" spans="2:15">
      <c r="B13" s="10" t="s">
        <v>303</v>
      </c>
      <c r="C13" s="10" t="s">
        <v>304</v>
      </c>
      <c r="D13" s="10"/>
      <c r="E13" s="10"/>
      <c r="F13" s="10"/>
      <c r="G13" s="10"/>
      <c r="H13" s="10"/>
    </row>
    <row r="14" spans="2:15">
      <c r="B14" s="10"/>
      <c r="C14" s="10"/>
      <c r="D14" s="10"/>
      <c r="E14" s="10"/>
      <c r="F14" s="10"/>
      <c r="G14" s="10"/>
      <c r="H14" s="10"/>
    </row>
    <row r="15" spans="2:15">
      <c r="B15" s="165"/>
      <c r="C15" s="166"/>
      <c r="D15" s="166"/>
      <c r="E15" s="166"/>
      <c r="F15" s="166"/>
      <c r="G15" s="166"/>
      <c r="H15" s="167"/>
      <c r="J15" s="189"/>
      <c r="K15" s="190" t="str">
        <f>K4</f>
        <v>Retrofit</v>
      </c>
      <c r="L15" s="191">
        <f>L4/2</f>
        <v>1330131.810380935</v>
      </c>
      <c r="M15" s="191">
        <f>M4/2+L4/2</f>
        <v>2598318.447543452</v>
      </c>
      <c r="N15" s="191">
        <f>N4/2+M4+$L4/2</f>
        <v>4681928.8194356868</v>
      </c>
      <c r="O15" s="192">
        <f>O4/2+SUM($M4:N4)+$L4/2</f>
        <v>6312776.2888951218</v>
      </c>
    </row>
    <row r="16" spans="2:15">
      <c r="B16" s="168"/>
      <c r="C16" s="10" t="s">
        <v>305</v>
      </c>
      <c r="D16" s="10" t="s">
        <v>318</v>
      </c>
      <c r="E16" s="10" t="s">
        <v>319</v>
      </c>
      <c r="F16" s="10"/>
      <c r="G16" s="10"/>
      <c r="H16" s="169"/>
      <c r="J16" s="193"/>
      <c r="K16" t="str">
        <f t="shared" ref="K16:K22" si="2">K5</f>
        <v>Small Business</v>
      </c>
      <c r="L16" s="194">
        <f t="shared" ref="L16:L22" si="3">L5/2</f>
        <v>150920.96747759974</v>
      </c>
      <c r="M16" s="194">
        <f t="shared" ref="M16:M22" si="4">M5/2+L5/2</f>
        <v>257917.17576395776</v>
      </c>
      <c r="N16" s="194">
        <f t="shared" ref="N16:N22" si="5">N5/2+M5+$L5/2</f>
        <v>418599.20083961118</v>
      </c>
      <c r="O16" s="195">
        <f>O5/2+SUM($M5:N5)+$L5/2</f>
        <v>529725.08734053047</v>
      </c>
    </row>
    <row r="17" spans="2:15">
      <c r="B17" s="168" t="s">
        <v>25</v>
      </c>
      <c r="C17" s="170">
        <v>4801697</v>
      </c>
      <c r="D17" s="170">
        <v>33044</v>
      </c>
      <c r="E17" s="171">
        <f>D17/C17</f>
        <v>6.8817336870693841E-3</v>
      </c>
      <c r="F17" s="10"/>
      <c r="G17" s="10"/>
      <c r="H17" s="169"/>
      <c r="J17" s="193"/>
      <c r="K17" t="str">
        <f t="shared" si="2"/>
        <v>Energy Performance Program</v>
      </c>
      <c r="L17" s="194">
        <f>L6/2</f>
        <v>81842.713706758062</v>
      </c>
      <c r="M17" s="194">
        <f>M6/2+L6/2</f>
        <v>146791.28926303855</v>
      </c>
      <c r="N17" s="194">
        <f t="shared" si="5"/>
        <v>339759.88947071577</v>
      </c>
      <c r="O17" s="195">
        <f>O6/2+SUM($M6:N6)+$L6/2</f>
        <v>601431.31815700186</v>
      </c>
    </row>
    <row r="18" spans="2:15">
      <c r="B18" s="168" t="s">
        <v>306</v>
      </c>
      <c r="C18" s="170">
        <v>446066</v>
      </c>
      <c r="D18" s="170">
        <v>3491</v>
      </c>
      <c r="E18" s="171">
        <f>D18/C18</f>
        <v>7.8261961234436152E-3</v>
      </c>
      <c r="F18" s="10"/>
      <c r="G18" s="10"/>
      <c r="H18" s="169"/>
      <c r="J18" s="196" t="s">
        <v>322</v>
      </c>
      <c r="K18" t="str">
        <f t="shared" si="2"/>
        <v>Energy Management</v>
      </c>
      <c r="L18" s="194">
        <f t="shared" si="3"/>
        <v>61569.747926184958</v>
      </c>
      <c r="M18" s="194">
        <f>M7/2+L7/2</f>
        <v>239145.91115231597</v>
      </c>
      <c r="N18" s="194">
        <f t="shared" si="5"/>
        <v>849212.01103067305</v>
      </c>
      <c r="O18" s="195">
        <f>O7/2+SUM($M7:N7)+$L7/2</f>
        <v>1714191.8843351251</v>
      </c>
    </row>
    <row r="19" spans="2:15">
      <c r="B19" s="168" t="s">
        <v>307</v>
      </c>
      <c r="C19" s="170">
        <v>54040</v>
      </c>
      <c r="D19" s="170">
        <v>377</v>
      </c>
      <c r="E19" s="171">
        <f>D19/C19</f>
        <v>6.9763138415988154E-3</v>
      </c>
      <c r="F19" s="10"/>
      <c r="G19" s="10"/>
      <c r="H19" s="169"/>
      <c r="J19" s="197" t="s">
        <v>323</v>
      </c>
      <c r="K19" t="str">
        <f t="shared" si="2"/>
        <v>Customer Solutions</v>
      </c>
      <c r="L19" s="194">
        <f t="shared" si="3"/>
        <v>0</v>
      </c>
      <c r="M19" s="194">
        <f t="shared" si="4"/>
        <v>0</v>
      </c>
      <c r="N19" s="194">
        <f t="shared" si="5"/>
        <v>1222760.1768023439</v>
      </c>
      <c r="O19" s="195">
        <f>O8/2+SUM($M8:N8)+$L8/2</f>
        <v>3668280.530407032</v>
      </c>
    </row>
    <row r="20" spans="2:15">
      <c r="B20" s="168" t="s">
        <v>167</v>
      </c>
      <c r="C20" s="10">
        <v>123</v>
      </c>
      <c r="D20" s="10">
        <v>4</v>
      </c>
      <c r="E20" s="171">
        <f>D20/C20</f>
        <v>3.2520325203252036E-2</v>
      </c>
      <c r="F20" s="10"/>
      <c r="G20" s="10"/>
      <c r="H20" s="169"/>
      <c r="J20" s="193"/>
      <c r="K20" t="str">
        <f t="shared" si="2"/>
        <v>Local Initiatives</v>
      </c>
      <c r="L20" s="194">
        <f t="shared" si="3"/>
        <v>0</v>
      </c>
      <c r="M20" s="194">
        <f t="shared" si="4"/>
        <v>0</v>
      </c>
      <c r="N20" s="194">
        <f t="shared" si="5"/>
        <v>0</v>
      </c>
      <c r="O20" s="195">
        <f>O9/2+SUM($M9:N9)+$L9/2</f>
        <v>0</v>
      </c>
    </row>
    <row r="21" spans="2:15">
      <c r="B21" s="168"/>
      <c r="C21" s="10"/>
      <c r="D21" s="10"/>
      <c r="E21" s="10"/>
      <c r="F21" s="10"/>
      <c r="G21" s="10"/>
      <c r="H21" s="169"/>
      <c r="J21" s="193"/>
      <c r="K21" t="str">
        <f t="shared" si="2"/>
        <v>Energy Affordability Program</v>
      </c>
      <c r="L21" s="194">
        <f t="shared" si="3"/>
        <v>134570.85286144607</v>
      </c>
      <c r="M21" s="194">
        <f t="shared" si="4"/>
        <v>276774.92636839428</v>
      </c>
      <c r="N21" s="194">
        <f t="shared" si="5"/>
        <v>566837.31089747767</v>
      </c>
      <c r="O21" s="195">
        <f>O10/2+SUM($M10:N10)+$L10/2</f>
        <v>867360.03482965648</v>
      </c>
    </row>
    <row r="22" spans="2:15">
      <c r="B22" s="168" t="s">
        <v>308</v>
      </c>
      <c r="C22" s="172">
        <v>2016</v>
      </c>
      <c r="D22" s="172">
        <v>2017</v>
      </c>
      <c r="E22" s="172">
        <v>2018</v>
      </c>
      <c r="F22" s="172">
        <v>2019</v>
      </c>
      <c r="G22" s="172">
        <v>2020</v>
      </c>
      <c r="H22" s="173" t="s">
        <v>309</v>
      </c>
      <c r="I22" s="143"/>
      <c r="J22" s="198"/>
      <c r="K22" t="str">
        <f t="shared" si="2"/>
        <v>First Nations Program</v>
      </c>
      <c r="L22" s="194">
        <f t="shared" si="3"/>
        <v>0</v>
      </c>
      <c r="M22" s="194">
        <f t="shared" si="4"/>
        <v>0</v>
      </c>
      <c r="N22" s="194">
        <f t="shared" si="5"/>
        <v>0</v>
      </c>
      <c r="O22" s="195">
        <f>O11/2+SUM($M11:N11)+$L11/2</f>
        <v>0</v>
      </c>
    </row>
    <row r="23" spans="2:15">
      <c r="B23" s="168" t="s">
        <v>305</v>
      </c>
      <c r="C23" s="174">
        <v>135092458977</v>
      </c>
      <c r="D23" s="174">
        <v>131507457610.90997</v>
      </c>
      <c r="E23" s="174">
        <v>137831974214.90002</v>
      </c>
      <c r="F23" s="174">
        <v>135053462090.45892</v>
      </c>
      <c r="G23" s="174">
        <v>133510137227.58061</v>
      </c>
      <c r="H23" s="175">
        <f>AVERAGE(C23:G23)</f>
        <v>134599098024.16989</v>
      </c>
      <c r="I23" s="164"/>
      <c r="J23" s="199"/>
      <c r="K23" s="163" t="s">
        <v>23</v>
      </c>
      <c r="L23" s="164">
        <f>SUM(L15:L22)</f>
        <v>1759036.0923529239</v>
      </c>
      <c r="M23" s="164">
        <f t="shared" ref="M23:O23" si="6">SUM(M15:M22)</f>
        <v>3518947.7500911583</v>
      </c>
      <c r="N23" s="164">
        <f t="shared" si="6"/>
        <v>8079097.4084765082</v>
      </c>
      <c r="O23" s="175">
        <f t="shared" si="6"/>
        <v>13693765.143964468</v>
      </c>
    </row>
    <row r="24" spans="2:15">
      <c r="B24" s="168" t="s">
        <v>318</v>
      </c>
      <c r="C24" s="176">
        <v>1045130121</v>
      </c>
      <c r="D24" s="176">
        <v>1000844635</v>
      </c>
      <c r="E24" s="176">
        <v>1019735531</v>
      </c>
      <c r="F24" s="176">
        <v>1002580158</v>
      </c>
      <c r="G24" s="176">
        <v>984900126</v>
      </c>
      <c r="H24" s="175">
        <f>AVERAGE(C24:G24)</f>
        <v>1010638114.2</v>
      </c>
      <c r="I24" s="164"/>
      <c r="J24" s="199"/>
      <c r="O24" s="200"/>
    </row>
    <row r="25" spans="2:15">
      <c r="B25" s="168" t="s">
        <v>320</v>
      </c>
      <c r="C25" s="171">
        <f t="shared" ref="C25:G25" si="7">C24/C23</f>
        <v>7.7364060800606E-3</v>
      </c>
      <c r="D25" s="171">
        <f t="shared" si="7"/>
        <v>7.6105542087292928E-3</v>
      </c>
      <c r="E25" s="171">
        <f t="shared" si="7"/>
        <v>7.3983960311711453E-3</v>
      </c>
      <c r="F25" s="171">
        <f t="shared" si="7"/>
        <v>7.4235798363204561E-3</v>
      </c>
      <c r="G25" s="171">
        <f t="shared" si="7"/>
        <v>7.3769688688218853E-3</v>
      </c>
      <c r="H25" s="177">
        <f>H24/H23</f>
        <v>7.5085058446567026E-3</v>
      </c>
      <c r="I25" s="178"/>
      <c r="J25" s="201"/>
      <c r="K25" t="s">
        <v>25</v>
      </c>
      <c r="L25" s="19">
        <f>$K$44*L$15+$K$45*L$16+$K$46*L$17+$K$47*L$18+$K$48*L$19+$K$49*L$20+$K$50*L$21</f>
        <v>134570.85286144607</v>
      </c>
      <c r="M25" s="19">
        <f>$K$44*M$15+$K$45*M$16+$K$46*M$17+$K$47*M$18+$K$48*M$19+$K$49*M$20+$K$50*M$21</f>
        <v>276774.92636839428</v>
      </c>
      <c r="N25" s="19">
        <f t="shared" ref="N25" si="8">$K$44*N$15+$K$45*N$16+$K$46*N$17+$K$47*N$18+$K$48*N$19+$K$49*N$20+$K$50*N$21</f>
        <v>566837.31089747767</v>
      </c>
      <c r="O25" s="202">
        <f>$K$44*O$15+$K$45*O$16+$K$46*O$17+$K$47*O$18+$K$48*O$19+$K$49*O$20+$K$50*O$21</f>
        <v>867360.03482965648</v>
      </c>
    </row>
    <row r="26" spans="2:15">
      <c r="B26" s="168"/>
      <c r="C26" s="10"/>
      <c r="D26" s="10"/>
      <c r="E26" s="10"/>
      <c r="F26" s="10"/>
      <c r="G26" s="10"/>
      <c r="H26" s="179"/>
      <c r="I26" s="163"/>
      <c r="J26" s="196" t="s">
        <v>322</v>
      </c>
      <c r="K26" t="s">
        <v>131</v>
      </c>
      <c r="L26" s="19">
        <f>$L$44*L$15+$L$45*L$16+$L$46*L$17+$L$47*L$18+$L$48*L$19+$L$49*L$20+$L$50*L$21</f>
        <v>328697.98323507537</v>
      </c>
      <c r="M26" s="19">
        <f>$L$44*M$15+$L$45*M$16+$L$46*M$17+$L$47*M$18+$L$48*M$19+$L$49*M$20+$L$50*M$21</f>
        <v>608881.63308136247</v>
      </c>
      <c r="N26" s="19">
        <f t="shared" ref="N26" si="9">$L$44*N$15+$L$45*N$16+$L$46*N$17+$L$47*N$18+$L$48*N$19+$L$49*N$20+$L$50*N$21</f>
        <v>1232919.1852101646</v>
      </c>
      <c r="O26" s="202">
        <f>$L$44*O$15+$L$45*O$16+$L$46*O$17+$L$47*O$18+$L$48*O$19+$L$49*O$20+$L$50*O$21</f>
        <v>1924005.8174052895</v>
      </c>
    </row>
    <row r="27" spans="2:15">
      <c r="B27" s="168" t="s">
        <v>303</v>
      </c>
      <c r="C27" s="10" t="s">
        <v>310</v>
      </c>
      <c r="D27" s="10"/>
      <c r="E27" s="10"/>
      <c r="F27" s="10"/>
      <c r="G27" s="10"/>
      <c r="H27" s="169"/>
      <c r="J27" s="197" t="s">
        <v>323</v>
      </c>
      <c r="K27" t="s">
        <v>133</v>
      </c>
      <c r="L27" s="19">
        <f>$M$44*L$15+$M$45*L$16+$M$46*L$17+$M$47*L$18+$M$48*L$19+$M$49*L$20+$M$50*L$21</f>
        <v>1095098.6833050298</v>
      </c>
      <c r="M27" s="19">
        <f>$M$44*M$15+$M$45*M$16+$M$46*M$17+$M$47*M$18+$M$48*M$19+$M$49*M$20+$M$50*M$21</f>
        <v>2161955.9990018443</v>
      </c>
      <c r="N27" s="19">
        <f t="shared" ref="N27" si="10">$M$44*N$15+$M$45*N$16+$M$46*N$17+$M$47*N$18+$M$48*N$19+$M$49*N$20+$M$50*N$21</f>
        <v>4974283.7572561624</v>
      </c>
      <c r="O27" s="202">
        <f>$M$44*O$15+$M$45*O$16+$M$46*O$17+$M$47*O$18+$M$48*O$19+$M$49*O$20+$M$50*O$21</f>
        <v>8467007.9125092756</v>
      </c>
    </row>
    <row r="28" spans="2:15">
      <c r="B28" s="168"/>
      <c r="C28" s="10"/>
      <c r="D28" s="10"/>
      <c r="E28" s="10"/>
      <c r="F28" s="10"/>
      <c r="G28" s="10"/>
      <c r="H28" s="169"/>
      <c r="J28" s="193"/>
      <c r="K28" t="s">
        <v>27</v>
      </c>
      <c r="L28" s="19">
        <f>$N$44*L$15+$N$45*L$16+$N$46*L$17+$N$47*L$18+$N$48*L$19+$N$49*L$20+$N$50*L$21</f>
        <v>122311.68308299653</v>
      </c>
      <c r="M28" s="19">
        <f>$N$44*M$15+$N$45*M$16+$N$46*M$17+$N$47*M$18+$N$48*M$19+$N$49*M$20+$N$50*M$21</f>
        <v>265374.99919416301</v>
      </c>
      <c r="N28" s="19">
        <f>$N$44*N$15+$N$45*N$16+$N$46*N$17+$N$47*N$18+$N$48*N$19+$N$49*N$20+$N$50*N$21</f>
        <v>681047.75988081924</v>
      </c>
      <c r="O28" s="202">
        <f>$N$44*O$15+$N$45*O$16+$N$46*O$17+$N$47*O$18+$N$48*O$19+$N$49*O$20+$N$50*O$21</f>
        <v>1227674.4938776717</v>
      </c>
    </row>
    <row r="29" spans="2:15">
      <c r="B29" s="165"/>
      <c r="C29" s="166"/>
      <c r="D29" s="166"/>
      <c r="E29" s="166"/>
      <c r="F29" s="166"/>
      <c r="G29" s="166"/>
      <c r="H29" s="167"/>
      <c r="J29" s="193"/>
      <c r="K29" t="s">
        <v>154</v>
      </c>
      <c r="L29" s="19">
        <f>$O$44*L$15+$O$45*L$16+$O$46*L$17+$O$47*L$18+$O$48*L$19+$O$49*L$20+$O$50*L$21</f>
        <v>78356.88986837618</v>
      </c>
      <c r="M29" s="19">
        <f t="shared" ref="M29" si="11">$O$44*M$15+$O$45*M$16+$O$46*M$17+$O$47*M$18+$O$48*M$19+$O$49*M$20+$O$50*M$21</f>
        <v>205960.19244539452</v>
      </c>
      <c r="N29" s="19">
        <f>$O$44*N$15+$O$45*N$16+$O$46*N$17+$O$47*N$18+$O$48*N$19+$O$49*N$20+$O$50*N$21</f>
        <v>624009.39523188455</v>
      </c>
      <c r="O29" s="202">
        <f>$O$44*O$15+$O$45*O$16+$O$46*O$17+$O$47*O$18+$O$48*O$19+$O$49*O$20+$O$50*O$21</f>
        <v>1207716.8853425744</v>
      </c>
    </row>
    <row r="30" spans="2:15">
      <c r="B30" s="168" t="s">
        <v>311</v>
      </c>
      <c r="C30" s="10">
        <f>C22</f>
        <v>2016</v>
      </c>
      <c r="D30" s="10">
        <f>D22</f>
        <v>2017</v>
      </c>
      <c r="E30" s="10">
        <f>E22</f>
        <v>2018</v>
      </c>
      <c r="F30" s="10">
        <f>F22</f>
        <v>2019</v>
      </c>
      <c r="G30" s="10"/>
      <c r="H30" s="169" t="s">
        <v>312</v>
      </c>
      <c r="J30" s="193"/>
      <c r="K30" s="163" t="s">
        <v>23</v>
      </c>
      <c r="L30" s="164">
        <f>SUM(L25:L29)</f>
        <v>1759036.0923529239</v>
      </c>
      <c r="M30" s="164">
        <f t="shared" ref="M30:O30" si="12">SUM(M25:M29)</f>
        <v>3518947.7500911588</v>
      </c>
      <c r="N30" s="164">
        <f t="shared" si="12"/>
        <v>8079097.4084765092</v>
      </c>
      <c r="O30" s="175">
        <f t="shared" si="12"/>
        <v>13693765.143964468</v>
      </c>
    </row>
    <row r="31" spans="2:15" ht="26.25" customHeight="1">
      <c r="B31" s="168" t="s">
        <v>305</v>
      </c>
      <c r="C31" s="180">
        <v>1286980</v>
      </c>
      <c r="D31" s="180">
        <v>1329050</v>
      </c>
      <c r="E31" s="180">
        <v>1358300</v>
      </c>
      <c r="F31" s="180">
        <v>1400400</v>
      </c>
      <c r="G31" s="299" t="s">
        <v>313</v>
      </c>
      <c r="H31" s="181">
        <f>AVERAGE(C31:F31)</f>
        <v>1343682.5</v>
      </c>
      <c r="J31" s="193"/>
      <c r="O31" s="200"/>
    </row>
    <row r="32" spans="2:15">
      <c r="B32" s="168" t="s">
        <v>321</v>
      </c>
      <c r="C32" s="180">
        <v>7330</v>
      </c>
      <c r="D32" s="180">
        <v>7620</v>
      </c>
      <c r="E32" s="180">
        <v>7660</v>
      </c>
      <c r="F32" s="180">
        <v>7780</v>
      </c>
      <c r="G32" s="299"/>
      <c r="H32" s="181">
        <f>AVERAGE(C32:F32)</f>
        <v>7597.5</v>
      </c>
      <c r="J32" s="193"/>
      <c r="K32" t="str">
        <f>K25</f>
        <v>Residential</v>
      </c>
      <c r="L32" s="19">
        <f>$K$44*L$4+$K$45*L$5+$K$46*L$6+$K$47*L$7+$K$48*L$8+$K$49*L$9+$K$50*L$10</f>
        <v>269141.70572289213</v>
      </c>
      <c r="M32" s="19">
        <f>$K$44*M$4+$K$45*M$5+$K$46*M$6+$K$47*M$7+$K$48*M$8+$K$49*M$9+$K$50*M$10</f>
        <v>284408.14701389649</v>
      </c>
      <c r="N32" s="19">
        <f>$K$44*N$4+$K$45*N$5+$K$46*N$6+$K$47*N$7+$K$48*N$8+$K$49*N$9+$K$50*N$10</f>
        <v>295716.6220442701</v>
      </c>
      <c r="O32" s="202">
        <f>$K$44*O$4+$K$45*O$5+$K$46*O$6+$K$47*O$7+$K$48*O$8+$K$49*O$9+$K$50*O$10</f>
        <v>305328.82582008769</v>
      </c>
    </row>
    <row r="33" spans="2:18">
      <c r="B33" s="168"/>
      <c r="C33" s="182">
        <f>C32/C31</f>
        <v>5.6955042036395285E-3</v>
      </c>
      <c r="D33" s="182">
        <f>D32/D31</f>
        <v>5.7334186072758734E-3</v>
      </c>
      <c r="E33" s="182">
        <f>E32/E31</f>
        <v>5.6394021939188688E-3</v>
      </c>
      <c r="F33" s="182">
        <f>F32/F31</f>
        <v>5.5555555555555558E-3</v>
      </c>
      <c r="G33" s="10"/>
      <c r="H33" s="177">
        <f>H32/H31</f>
        <v>5.6542375151868093E-3</v>
      </c>
      <c r="J33" s="193"/>
      <c r="K33" t="str">
        <f t="shared" ref="K33:K36" si="13">K26</f>
        <v>GS &lt; 50</v>
      </c>
      <c r="L33" s="19">
        <f>$L$44*L$4+$L$45*L$5+$L$46*L$6+$L$47*L$7+$L$48*L$8+$L$49*L$9+$L$50*L$10</f>
        <v>657395.96647015074</v>
      </c>
      <c r="M33" s="19">
        <f t="shared" ref="M33:O33" si="14">$L$44*M$4+$L$45*M$5+$L$46*M$6+$L$47*M$7+$L$48*M$8+$L$49*M$9+$L$50*M$10</f>
        <v>560367.29969257431</v>
      </c>
      <c r="N33" s="19">
        <f t="shared" si="14"/>
        <v>687707.80456502968</v>
      </c>
      <c r="O33" s="202">
        <f t="shared" si="14"/>
        <v>694465.45982522075</v>
      </c>
    </row>
    <row r="34" spans="2:18">
      <c r="B34" s="168"/>
      <c r="C34" s="10"/>
      <c r="D34" s="10"/>
      <c r="E34" s="10"/>
      <c r="F34" s="10"/>
      <c r="G34" s="10"/>
      <c r="H34" s="169"/>
      <c r="J34" s="193" t="s">
        <v>324</v>
      </c>
      <c r="K34" t="str">
        <f t="shared" si="13"/>
        <v>GS &gt; 50</v>
      </c>
      <c r="L34" s="19">
        <f>$M$44*L$4+$M$45*L$5+$M$46*L$6+$M$47*L$7+$M$48*L$8+$M$49*L$9+$M$50*L$10</f>
        <v>2190197.3666100595</v>
      </c>
      <c r="M34" s="19">
        <f t="shared" ref="M34:O34" si="15">$M$44*M$4+$M$45*M$5+$M$46*M$6+$M$47*M$7+$M$48*M$8+$M$49*M$9+$M$50*M$10</f>
        <v>2133714.6313936291</v>
      </c>
      <c r="N34" s="19">
        <f t="shared" si="15"/>
        <v>3490940.8851150074</v>
      </c>
      <c r="O34" s="202">
        <f t="shared" si="15"/>
        <v>3494507.4253912196</v>
      </c>
    </row>
    <row r="35" spans="2:18">
      <c r="B35" s="168" t="s">
        <v>303</v>
      </c>
      <c r="C35" s="10" t="s">
        <v>314</v>
      </c>
      <c r="D35" s="10"/>
      <c r="E35" s="10"/>
      <c r="F35" s="10"/>
      <c r="G35" s="10"/>
      <c r="H35" s="169"/>
      <c r="J35" s="193"/>
      <c r="K35" t="str">
        <f t="shared" si="13"/>
        <v>Intermediate</v>
      </c>
      <c r="L35" s="19">
        <f>$N$44*L$4+$N$45*L$5+$N$46*L$6+$N$47*L$7+$N$48*L$8+$N$49*L$9+$N$50*L$10</f>
        <v>244623.36616599307</v>
      </c>
      <c r="M35" s="19">
        <f t="shared" ref="M35:O35" si="16">$N$44*M$4+$N$45*M$5+$N$46*M$6+$N$47*M$7+$N$48*M$8+$N$49*M$9+$N$50*M$10</f>
        <v>286126.63222233299</v>
      </c>
      <c r="N35" s="19">
        <f t="shared" si="16"/>
        <v>545218.88915097946</v>
      </c>
      <c r="O35" s="202">
        <f t="shared" si="16"/>
        <v>548034.57884272572</v>
      </c>
    </row>
    <row r="36" spans="2:18">
      <c r="B36" s="168"/>
      <c r="C36" s="10" t="s">
        <v>315</v>
      </c>
      <c r="D36" s="10"/>
      <c r="E36" s="10"/>
      <c r="F36" s="10"/>
      <c r="G36" s="10"/>
      <c r="H36" s="169"/>
      <c r="J36" s="193"/>
      <c r="K36" t="str">
        <f t="shared" si="13"/>
        <v>Large Use</v>
      </c>
      <c r="L36" s="19">
        <f>$O$44*L$4+$O$45*L$5+$O$46*L$6+$O$47*L$7+$O$48*L$8+$O$49*L$9+$O$50*L$10</f>
        <v>156713.77973675236</v>
      </c>
      <c r="M36" s="19">
        <f>$O$44*M$4+$O$45*M$5+$O$46*M$6+$O$47*M$7+$O$48*M$8+$O$49*M$9+$O$50*M$10</f>
        <v>255206.60515403666</v>
      </c>
      <c r="N36" s="19">
        <f t="shared" ref="N36" si="17">$O$44*N$4+$O$45*N$5+$O$46*N$6+$O$47*N$7+$O$48*N$8+$O$49*N$9+$O$50*N$10</f>
        <v>580891.80041894352</v>
      </c>
      <c r="O36" s="202">
        <f>$O$44*O$4+$O$45*O$5+$O$46*O$6+$O$47*O$7+$O$48*O$8+$O$49*O$9+$O$50*O$10</f>
        <v>586523.17980243603</v>
      </c>
    </row>
    <row r="37" spans="2:18">
      <c r="B37" s="183"/>
      <c r="C37" s="184"/>
      <c r="D37" s="184"/>
      <c r="E37" s="184"/>
      <c r="F37" s="184"/>
      <c r="G37" s="184"/>
      <c r="H37" s="185"/>
      <c r="J37" s="203"/>
      <c r="K37" s="204" t="s">
        <v>23</v>
      </c>
      <c r="L37" s="205">
        <f>SUM(L32:L36)</f>
        <v>3518072.1847058479</v>
      </c>
      <c r="M37" s="205">
        <f t="shared" ref="M37:O37" si="18">SUM(M32:M36)</f>
        <v>3519823.3154764697</v>
      </c>
      <c r="N37" s="205">
        <f t="shared" si="18"/>
        <v>5600476.0012942292</v>
      </c>
      <c r="O37" s="206">
        <f t="shared" si="18"/>
        <v>5628859.4696816895</v>
      </c>
    </row>
    <row r="40" spans="2:18">
      <c r="B40" s="165"/>
      <c r="C40" s="207" t="s">
        <v>293</v>
      </c>
      <c r="D40" s="207"/>
      <c r="E40" s="207"/>
      <c r="F40" s="207"/>
      <c r="G40" s="190"/>
      <c r="H40" s="208"/>
    </row>
    <row r="41" spans="2:18">
      <c r="B41" s="168"/>
      <c r="C41" s="209">
        <v>2021</v>
      </c>
      <c r="D41" s="209">
        <v>2022</v>
      </c>
      <c r="E41" s="209">
        <v>2023</v>
      </c>
      <c r="F41" s="209">
        <v>2024</v>
      </c>
      <c r="G41" s="10" t="s">
        <v>316</v>
      </c>
      <c r="H41" s="200"/>
      <c r="J41" s="189"/>
      <c r="K41" s="166" t="s">
        <v>25</v>
      </c>
      <c r="L41" s="166" t="s">
        <v>317</v>
      </c>
      <c r="M41" s="166" t="s">
        <v>133</v>
      </c>
      <c r="N41" s="166" t="s">
        <v>57</v>
      </c>
      <c r="O41" s="166" t="s">
        <v>58</v>
      </c>
      <c r="P41" s="190"/>
      <c r="Q41" s="190"/>
      <c r="R41" s="208"/>
    </row>
    <row r="42" spans="2:18">
      <c r="B42" s="168" t="s">
        <v>162</v>
      </c>
      <c r="C42" s="210">
        <v>0.5</v>
      </c>
      <c r="D42" s="210">
        <v>1</v>
      </c>
      <c r="E42" s="210">
        <v>0.5</v>
      </c>
      <c r="F42" s="210">
        <v>0</v>
      </c>
      <c r="H42" s="200"/>
      <c r="J42" s="193"/>
      <c r="R42" s="200"/>
    </row>
    <row r="43" spans="2:18">
      <c r="B43" s="168"/>
      <c r="C43" s="155"/>
      <c r="D43" s="155"/>
      <c r="E43" s="155"/>
      <c r="F43" s="155"/>
      <c r="H43" s="200"/>
      <c r="J43" s="193"/>
      <c r="R43" s="200"/>
    </row>
    <row r="44" spans="2:18">
      <c r="B44" s="168" t="s">
        <v>242</v>
      </c>
      <c r="C44" s="170">
        <f t="shared" ref="C44:F50" si="19">C$42*L4</f>
        <v>1330131.810380935</v>
      </c>
      <c r="D44" s="170">
        <f t="shared" si="19"/>
        <v>2536373.2743250341</v>
      </c>
      <c r="E44" s="170">
        <f t="shared" si="19"/>
        <v>815423.73472971783</v>
      </c>
      <c r="F44" s="170">
        <f t="shared" si="19"/>
        <v>0</v>
      </c>
      <c r="G44" s="19">
        <f>SUM(C44:F44)</f>
        <v>4681928.8194356868</v>
      </c>
      <c r="H44" s="200"/>
      <c r="J44" s="193"/>
      <c r="L44" s="215">
        <v>0.14499999999999999</v>
      </c>
      <c r="M44" s="215">
        <v>0.78500000000000003</v>
      </c>
      <c r="N44" s="215">
        <v>6.5000000000000002E-2</v>
      </c>
      <c r="O44" s="215">
        <v>5.0000000000000001E-3</v>
      </c>
      <c r="Q44" s="216">
        <f>SUM(K44:O44)</f>
        <v>1</v>
      </c>
      <c r="R44" s="200"/>
    </row>
    <row r="45" spans="2:18">
      <c r="B45" s="211" t="s">
        <v>295</v>
      </c>
      <c r="C45" s="212">
        <f t="shared" si="19"/>
        <v>150920.96747759974</v>
      </c>
      <c r="D45" s="212">
        <f t="shared" si="19"/>
        <v>213992.41657271603</v>
      </c>
      <c r="E45" s="212">
        <f t="shared" si="19"/>
        <v>53685.816789295422</v>
      </c>
      <c r="F45" s="212">
        <f t="shared" si="19"/>
        <v>0</v>
      </c>
      <c r="G45" s="19">
        <f t="shared" ref="G45:G51" si="20">SUM(C45:F45)</f>
        <v>418599.20083961118</v>
      </c>
      <c r="H45" s="200"/>
      <c r="J45" s="193"/>
      <c r="L45" s="215">
        <v>0.9</v>
      </c>
      <c r="M45" s="215">
        <v>0.1</v>
      </c>
      <c r="N45" s="215"/>
      <c r="O45" s="215"/>
      <c r="Q45" s="216">
        <f t="shared" ref="Q45:Q50" si="21">SUM(K45:O45)</f>
        <v>1</v>
      </c>
      <c r="R45" s="200"/>
    </row>
    <row r="46" spans="2:18">
      <c r="B46" s="168" t="s">
        <v>296</v>
      </c>
      <c r="C46" s="170">
        <f t="shared" si="19"/>
        <v>81842.713706758062</v>
      </c>
      <c r="D46" s="170">
        <f t="shared" si="19"/>
        <v>129897.15111256095</v>
      </c>
      <c r="E46" s="170">
        <f t="shared" si="19"/>
        <v>128020.02465139679</v>
      </c>
      <c r="F46" s="170">
        <f t="shared" si="19"/>
        <v>0</v>
      </c>
      <c r="G46" s="19">
        <f t="shared" si="20"/>
        <v>339759.88947071577</v>
      </c>
      <c r="H46" s="200"/>
      <c r="J46" s="193"/>
      <c r="L46" s="215">
        <v>0</v>
      </c>
      <c r="M46" s="215">
        <v>0.25</v>
      </c>
      <c r="N46" s="215">
        <v>0.25</v>
      </c>
      <c r="O46" s="215">
        <v>0.5</v>
      </c>
      <c r="Q46" s="216">
        <f t="shared" si="21"/>
        <v>1</v>
      </c>
      <c r="R46" s="200"/>
    </row>
    <row r="47" spans="2:18">
      <c r="B47" s="211" t="s">
        <v>297</v>
      </c>
      <c r="C47" s="212">
        <f t="shared" si="19"/>
        <v>61569.747926184958</v>
      </c>
      <c r="D47" s="212">
        <f t="shared" si="19"/>
        <v>355152.326452262</v>
      </c>
      <c r="E47" s="212">
        <f t="shared" si="19"/>
        <v>432489.93665222608</v>
      </c>
      <c r="F47" s="212">
        <f t="shared" si="19"/>
        <v>0</v>
      </c>
      <c r="G47" s="19">
        <f t="shared" si="20"/>
        <v>849212.01103067305</v>
      </c>
      <c r="H47" s="200"/>
      <c r="J47" s="193"/>
      <c r="L47" s="215">
        <f>L46</f>
        <v>0</v>
      </c>
      <c r="M47" s="215">
        <f>M46</f>
        <v>0.25</v>
      </c>
      <c r="N47" s="215">
        <f>N46</f>
        <v>0.25</v>
      </c>
      <c r="O47" s="215">
        <f>O46</f>
        <v>0.5</v>
      </c>
      <c r="Q47" s="216">
        <f t="shared" si="21"/>
        <v>1</v>
      </c>
      <c r="R47" s="200"/>
    </row>
    <row r="48" spans="2:18">
      <c r="B48" s="168" t="s">
        <v>298</v>
      </c>
      <c r="C48" s="170">
        <f t="shared" si="19"/>
        <v>0</v>
      </c>
      <c r="D48" s="170">
        <f t="shared" si="19"/>
        <v>0</v>
      </c>
      <c r="E48" s="170">
        <f t="shared" si="19"/>
        <v>1222760.1768023439</v>
      </c>
      <c r="F48" s="170">
        <f t="shared" si="19"/>
        <v>0</v>
      </c>
      <c r="G48" s="19">
        <f t="shared" si="20"/>
        <v>1222760.1768023439</v>
      </c>
      <c r="H48" s="200"/>
      <c r="J48" s="193"/>
      <c r="L48" s="215">
        <f>L44</f>
        <v>0.14499999999999999</v>
      </c>
      <c r="M48" s="215">
        <f t="shared" ref="M48:O48" si="22">M44</f>
        <v>0.78500000000000003</v>
      </c>
      <c r="N48" s="215">
        <f t="shared" si="22"/>
        <v>6.5000000000000002E-2</v>
      </c>
      <c r="O48" s="215">
        <f t="shared" si="22"/>
        <v>5.0000000000000001E-3</v>
      </c>
      <c r="Q48" s="216">
        <f t="shared" si="21"/>
        <v>1</v>
      </c>
      <c r="R48" s="200"/>
    </row>
    <row r="49" spans="2:18">
      <c r="B49" s="211" t="s">
        <v>299</v>
      </c>
      <c r="C49" s="212">
        <f t="shared" si="19"/>
        <v>0</v>
      </c>
      <c r="D49" s="212">
        <f t="shared" si="19"/>
        <v>0</v>
      </c>
      <c r="E49" s="212">
        <f t="shared" si="19"/>
        <v>0</v>
      </c>
      <c r="F49" s="212">
        <f t="shared" si="19"/>
        <v>0</v>
      </c>
      <c r="G49" s="19">
        <f t="shared" si="20"/>
        <v>0</v>
      </c>
      <c r="H49" s="200"/>
      <c r="J49" s="193"/>
      <c r="Q49" s="216"/>
      <c r="R49" s="200"/>
    </row>
    <row r="50" spans="2:18">
      <c r="B50" s="168" t="s">
        <v>300</v>
      </c>
      <c r="C50" s="170">
        <f t="shared" si="19"/>
        <v>134570.85286144607</v>
      </c>
      <c r="D50" s="170">
        <f t="shared" si="19"/>
        <v>284408.14701389649</v>
      </c>
      <c r="E50" s="170">
        <f t="shared" si="19"/>
        <v>147858.31102213505</v>
      </c>
      <c r="F50" s="170">
        <f t="shared" si="19"/>
        <v>0</v>
      </c>
      <c r="G50" s="19">
        <f t="shared" si="20"/>
        <v>566837.31089747767</v>
      </c>
      <c r="H50" s="200"/>
      <c r="J50" s="193"/>
      <c r="K50" s="217">
        <v>1</v>
      </c>
      <c r="Q50" s="216">
        <f t="shared" si="21"/>
        <v>1</v>
      </c>
      <c r="R50" s="200"/>
    </row>
    <row r="51" spans="2:18">
      <c r="B51" s="211" t="s">
        <v>302</v>
      </c>
      <c r="C51" s="212">
        <f>C$42*L11</f>
        <v>0</v>
      </c>
      <c r="D51" s="212">
        <f>D$42*M11</f>
        <v>0</v>
      </c>
      <c r="E51" s="212">
        <f>E$42*N11</f>
        <v>0</v>
      </c>
      <c r="F51" s="212">
        <f>F$42*N11</f>
        <v>0</v>
      </c>
      <c r="G51" s="19">
        <f t="shared" si="20"/>
        <v>0</v>
      </c>
      <c r="H51" s="200"/>
      <c r="J51" s="193"/>
      <c r="R51" s="200"/>
    </row>
    <row r="52" spans="2:18">
      <c r="B52" s="193"/>
      <c r="H52" s="200"/>
      <c r="J52" s="203"/>
      <c r="K52" s="213"/>
      <c r="L52" s="213"/>
      <c r="M52" s="213"/>
      <c r="N52" s="213"/>
      <c r="O52" s="213"/>
      <c r="P52" s="213"/>
      <c r="Q52" s="213"/>
      <c r="R52" s="214"/>
    </row>
    <row r="53" spans="2:18">
      <c r="B53" s="193"/>
      <c r="C53" s="19">
        <f>SUM(C44:C51)</f>
        <v>1759036.0923529239</v>
      </c>
      <c r="D53" s="19">
        <f>SUM(D44:D51)</f>
        <v>3519823.3154764702</v>
      </c>
      <c r="E53" s="19">
        <f>SUM(E44:E51)</f>
        <v>2800238.0006471151</v>
      </c>
      <c r="G53" s="19">
        <f>SUM(G44:G51)</f>
        <v>8079097.4084765082</v>
      </c>
      <c r="H53" s="200"/>
      <c r="J53" s="193"/>
      <c r="R53" s="200"/>
    </row>
    <row r="54" spans="2:18">
      <c r="B54" s="203"/>
      <c r="C54" s="213"/>
      <c r="D54" s="213"/>
      <c r="E54" s="213"/>
      <c r="F54" s="213"/>
      <c r="G54" s="213"/>
      <c r="H54" s="214"/>
      <c r="J54" s="193"/>
      <c r="R54" s="200"/>
    </row>
    <row r="55" spans="2:18">
      <c r="J55" s="193"/>
      <c r="K55" t="str">
        <f>K41</f>
        <v>Residential</v>
      </c>
      <c r="L55" t="str">
        <f>L41</f>
        <v>GS&lt; 50</v>
      </c>
      <c r="M55" t="str">
        <f>M41</f>
        <v>GS &gt; 50</v>
      </c>
      <c r="N55" t="str">
        <f>N41</f>
        <v>Int</v>
      </c>
      <c r="O55" t="str">
        <f>O41</f>
        <v>LU</v>
      </c>
      <c r="R55" s="200"/>
    </row>
    <row r="56" spans="2:18">
      <c r="I56" t="str">
        <f>B44</f>
        <v>Retrofit</v>
      </c>
      <c r="J56" s="193"/>
      <c r="K56" s="19">
        <f>K44*$G44</f>
        <v>0</v>
      </c>
      <c r="L56" s="19">
        <f>L44*$G44</f>
        <v>678879.67881817452</v>
      </c>
      <c r="M56" s="19">
        <f>M44*$G44</f>
        <v>3675314.1232570144</v>
      </c>
      <c r="N56" s="19">
        <f>N44*$G44</f>
        <v>304325.37326331966</v>
      </c>
      <c r="O56" s="19">
        <f>O44*$G44</f>
        <v>23409.644097178436</v>
      </c>
      <c r="Q56" s="19">
        <f>SUM(K56:O56)</f>
        <v>4681928.8194356868</v>
      </c>
      <c r="R56" s="200"/>
    </row>
    <row r="57" spans="2:18">
      <c r="I57" t="str">
        <f t="shared" ref="I57:I62" si="23">B45</f>
        <v>Small Business</v>
      </c>
      <c r="J57" s="193"/>
      <c r="K57" s="19">
        <f t="shared" ref="K57:M62" si="24">K45*$G45</f>
        <v>0</v>
      </c>
      <c r="L57" s="19">
        <f t="shared" si="24"/>
        <v>376739.28075565008</v>
      </c>
      <c r="M57" s="19">
        <f t="shared" si="24"/>
        <v>41859.920083961122</v>
      </c>
      <c r="N57" s="19">
        <f t="shared" ref="N57:O57" si="25">N45*$G45</f>
        <v>0</v>
      </c>
      <c r="O57" s="19">
        <f t="shared" si="25"/>
        <v>0</v>
      </c>
      <c r="Q57" s="19">
        <f t="shared" ref="Q57:Q64" si="26">SUM(K57:O57)</f>
        <v>418599.20083961118</v>
      </c>
      <c r="R57" s="200"/>
    </row>
    <row r="58" spans="2:18">
      <c r="I58" t="str">
        <f t="shared" si="23"/>
        <v>Energy Performance Program</v>
      </c>
      <c r="J58" s="193"/>
      <c r="K58" s="19">
        <f t="shared" si="24"/>
        <v>0</v>
      </c>
      <c r="L58" s="19">
        <f t="shared" si="24"/>
        <v>0</v>
      </c>
      <c r="M58" s="19">
        <f t="shared" si="24"/>
        <v>84939.972367678944</v>
      </c>
      <c r="N58" s="19">
        <f t="shared" ref="N58:O58" si="27">N46*$G46</f>
        <v>84939.972367678944</v>
      </c>
      <c r="O58" s="19">
        <f t="shared" si="27"/>
        <v>169879.94473535789</v>
      </c>
      <c r="Q58" s="19">
        <f t="shared" si="26"/>
        <v>339759.88947071577</v>
      </c>
      <c r="R58" s="200"/>
    </row>
    <row r="59" spans="2:18">
      <c r="I59" t="str">
        <f t="shared" si="23"/>
        <v>Energy Management</v>
      </c>
      <c r="J59" s="193"/>
      <c r="K59" s="19">
        <f t="shared" si="24"/>
        <v>0</v>
      </c>
      <c r="L59" s="19">
        <f t="shared" si="24"/>
        <v>0</v>
      </c>
      <c r="M59" s="19">
        <f t="shared" si="24"/>
        <v>212303.00275766826</v>
      </c>
      <c r="N59" s="19">
        <f t="shared" ref="N59:O59" si="28">N47*$G47</f>
        <v>212303.00275766826</v>
      </c>
      <c r="O59" s="19">
        <f t="shared" si="28"/>
        <v>424606.00551533652</v>
      </c>
      <c r="Q59" s="19">
        <f t="shared" si="26"/>
        <v>849212.01103067305</v>
      </c>
      <c r="R59" s="200"/>
    </row>
    <row r="60" spans="2:18">
      <c r="I60" t="str">
        <f t="shared" si="23"/>
        <v>Customer Solutions</v>
      </c>
      <c r="J60" s="193"/>
      <c r="K60" s="19">
        <f t="shared" si="24"/>
        <v>0</v>
      </c>
      <c r="L60" s="19">
        <f t="shared" si="24"/>
        <v>177300.22563633986</v>
      </c>
      <c r="M60" s="19">
        <f t="shared" si="24"/>
        <v>959866.73878984002</v>
      </c>
      <c r="N60" s="19">
        <f t="shared" ref="N60:O60" si="29">N48*$G48</f>
        <v>79479.411492152358</v>
      </c>
      <c r="O60" s="19">
        <f t="shared" si="29"/>
        <v>6113.80088401172</v>
      </c>
      <c r="Q60" s="19">
        <f t="shared" si="26"/>
        <v>1222760.1768023439</v>
      </c>
      <c r="R60" s="200"/>
    </row>
    <row r="61" spans="2:18">
      <c r="I61" t="str">
        <f t="shared" si="23"/>
        <v>Local Initiatives</v>
      </c>
      <c r="J61" s="193"/>
      <c r="K61" s="19">
        <f t="shared" si="24"/>
        <v>0</v>
      </c>
      <c r="L61" s="19">
        <f t="shared" si="24"/>
        <v>0</v>
      </c>
      <c r="M61" s="19">
        <f t="shared" si="24"/>
        <v>0</v>
      </c>
      <c r="N61" s="19">
        <f t="shared" ref="N61:O61" si="30">N49*$G49</f>
        <v>0</v>
      </c>
      <c r="O61" s="19">
        <f t="shared" si="30"/>
        <v>0</v>
      </c>
      <c r="Q61" s="19">
        <f t="shared" si="26"/>
        <v>0</v>
      </c>
      <c r="R61" s="200"/>
    </row>
    <row r="62" spans="2:18">
      <c r="I62" t="str">
        <f t="shared" si="23"/>
        <v>Energy Affordability Program</v>
      </c>
      <c r="J62" s="193"/>
      <c r="K62" s="19">
        <f t="shared" si="24"/>
        <v>566837.31089747767</v>
      </c>
      <c r="L62" s="19">
        <f t="shared" si="24"/>
        <v>0</v>
      </c>
      <c r="M62" s="19">
        <f t="shared" si="24"/>
        <v>0</v>
      </c>
      <c r="N62" s="19">
        <f t="shared" ref="N62:O62" si="31">N50*$G50</f>
        <v>0</v>
      </c>
      <c r="O62" s="19">
        <f t="shared" si="31"/>
        <v>0</v>
      </c>
      <c r="Q62" s="19">
        <f t="shared" si="26"/>
        <v>566837.31089747767</v>
      </c>
      <c r="R62" s="200"/>
    </row>
    <row r="63" spans="2:18">
      <c r="J63" s="193"/>
      <c r="K63" s="19"/>
      <c r="L63" s="19"/>
      <c r="M63" s="19"/>
      <c r="R63" s="200"/>
    </row>
    <row r="64" spans="2:18">
      <c r="J64" s="193"/>
      <c r="K64" s="19">
        <f>SUM(K56:K62)</f>
        <v>566837.31089747767</v>
      </c>
      <c r="L64" s="19">
        <f>SUM(L56:L62)</f>
        <v>1232919.1852101646</v>
      </c>
      <c r="M64" s="19">
        <f>SUM(M56:M62)</f>
        <v>4974283.7572561624</v>
      </c>
      <c r="N64" s="19">
        <f t="shared" ref="N64:O64" si="32">SUM(N56:N62)</f>
        <v>681047.75988081924</v>
      </c>
      <c r="O64" s="19">
        <f t="shared" si="32"/>
        <v>624009.39523188455</v>
      </c>
      <c r="Q64" s="19">
        <f t="shared" si="26"/>
        <v>8079097.4084765092</v>
      </c>
      <c r="R64" s="200"/>
    </row>
    <row r="65" spans="2:18">
      <c r="J65" s="203"/>
      <c r="K65" s="218"/>
      <c r="L65" s="218"/>
      <c r="M65" s="218"/>
      <c r="N65" s="213"/>
      <c r="O65" s="213"/>
      <c r="P65" s="213"/>
      <c r="Q65" s="213"/>
      <c r="R65" s="214"/>
    </row>
    <row r="66" spans="2:18">
      <c r="K66" s="19"/>
      <c r="L66" s="19"/>
      <c r="M66" s="19"/>
    </row>
    <row r="70" spans="2:18">
      <c r="B70" s="189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208"/>
    </row>
    <row r="71" spans="2:18">
      <c r="B71" s="168"/>
      <c r="E71" s="88" t="s">
        <v>25</v>
      </c>
      <c r="F71" s="88" t="s">
        <v>24</v>
      </c>
      <c r="G71" s="88" t="s">
        <v>26</v>
      </c>
      <c r="H71" s="88" t="s">
        <v>57</v>
      </c>
      <c r="I71" s="88" t="s">
        <v>72</v>
      </c>
      <c r="J71" s="88" t="s">
        <v>73</v>
      </c>
      <c r="K71" s="88" t="s">
        <v>71</v>
      </c>
      <c r="L71" s="88" t="s">
        <v>58</v>
      </c>
      <c r="M71" s="226"/>
    </row>
    <row r="72" spans="2:18">
      <c r="B72" s="193" t="s">
        <v>347</v>
      </c>
      <c r="C72">
        <v>2022</v>
      </c>
      <c r="D72">
        <v>2022</v>
      </c>
      <c r="E72">
        <v>0</v>
      </c>
      <c r="F72" s="136">
        <v>0</v>
      </c>
      <c r="G72" s="136">
        <v>0</v>
      </c>
      <c r="H72" s="136">
        <v>4621840.8959999997</v>
      </c>
      <c r="I72">
        <v>0</v>
      </c>
      <c r="J72">
        <v>0</v>
      </c>
      <c r="K72">
        <v>0</v>
      </c>
      <c r="L72">
        <v>0</v>
      </c>
      <c r="M72" s="200"/>
    </row>
    <row r="73" spans="2:18">
      <c r="B73" s="193" t="s">
        <v>348</v>
      </c>
      <c r="C73" s="10">
        <v>2022</v>
      </c>
      <c r="D73" s="10">
        <v>2023</v>
      </c>
      <c r="E73">
        <f>E72</f>
        <v>0</v>
      </c>
      <c r="F73" s="136">
        <f t="shared" ref="F73:L73" si="33">F72</f>
        <v>0</v>
      </c>
      <c r="G73" s="136">
        <f t="shared" si="33"/>
        <v>0</v>
      </c>
      <c r="H73" s="136">
        <f t="shared" si="33"/>
        <v>4621840.8959999997</v>
      </c>
      <c r="I73">
        <f t="shared" si="33"/>
        <v>0</v>
      </c>
      <c r="J73">
        <f t="shared" si="33"/>
        <v>0</v>
      </c>
      <c r="K73">
        <f t="shared" si="33"/>
        <v>0</v>
      </c>
      <c r="L73">
        <f t="shared" si="33"/>
        <v>0</v>
      </c>
      <c r="M73" s="200"/>
    </row>
    <row r="74" spans="2:18">
      <c r="B74" s="203"/>
      <c r="C74" s="225"/>
      <c r="D74" s="225"/>
      <c r="E74" s="213"/>
      <c r="F74" s="213"/>
      <c r="G74" s="213"/>
      <c r="H74" s="213"/>
      <c r="I74" s="213"/>
      <c r="J74" s="213"/>
      <c r="K74" s="213"/>
      <c r="L74" s="213"/>
      <c r="M74" s="214"/>
    </row>
    <row r="75" spans="2:18">
      <c r="C75" s="4"/>
      <c r="D75" s="4"/>
    </row>
    <row r="76" spans="2:18">
      <c r="C76" s="4"/>
      <c r="D76" s="4"/>
    </row>
    <row r="77" spans="2:18">
      <c r="C77" s="4"/>
      <c r="D77" s="4"/>
    </row>
    <row r="78" spans="2:18">
      <c r="C78" s="4"/>
      <c r="D78" s="4"/>
    </row>
    <row r="79" spans="2:18">
      <c r="C79" s="4"/>
      <c r="D79" s="4"/>
      <c r="E79" s="6"/>
      <c r="F79" s="76"/>
    </row>
    <row r="80" spans="2:18">
      <c r="C80" s="4"/>
      <c r="D80" s="4"/>
      <c r="E80" s="6"/>
      <c r="F80" s="76"/>
    </row>
    <row r="81" spans="3:6">
      <c r="C81" s="4"/>
      <c r="D81" s="4"/>
      <c r="E81" s="6"/>
      <c r="F81" s="76"/>
    </row>
    <row r="82" spans="3:6">
      <c r="C82" s="4"/>
      <c r="D82" s="4"/>
      <c r="E82" s="6"/>
      <c r="F82" s="76"/>
    </row>
    <row r="83" spans="3:6">
      <c r="C83" s="4"/>
      <c r="D83" s="4"/>
      <c r="E83" s="6"/>
      <c r="F83" s="76"/>
    </row>
    <row r="84" spans="3:6">
      <c r="C84" s="4"/>
      <c r="D84" s="4"/>
      <c r="E84" s="6"/>
      <c r="F84" s="76"/>
    </row>
    <row r="85" spans="3:6">
      <c r="E85" s="6"/>
      <c r="F85" s="76"/>
    </row>
    <row r="86" spans="3:6">
      <c r="E86" s="6"/>
      <c r="F86" s="76"/>
    </row>
    <row r="87" spans="3:6">
      <c r="E87" s="6"/>
      <c r="F87" s="76"/>
    </row>
    <row r="88" spans="3:6">
      <c r="D88" s="6"/>
      <c r="E88" s="6"/>
      <c r="F88" s="76"/>
    </row>
    <row r="89" spans="3:6">
      <c r="D89" s="6"/>
      <c r="E89" s="6"/>
      <c r="F89" s="76"/>
    </row>
    <row r="90" spans="3:6">
      <c r="D90" s="6"/>
      <c r="E90" s="6"/>
      <c r="F90" s="76"/>
    </row>
    <row r="91" spans="3:6">
      <c r="D91" s="6"/>
      <c r="E91" s="6"/>
      <c r="F91" s="76"/>
    </row>
    <row r="92" spans="3:6">
      <c r="D92" s="6"/>
      <c r="E92" s="6"/>
      <c r="F92" s="76"/>
    </row>
    <row r="93" spans="3:6">
      <c r="D93" s="6"/>
      <c r="E93" s="6"/>
      <c r="F93" s="76"/>
    </row>
    <row r="107" spans="11:14">
      <c r="K107" s="19"/>
      <c r="L107" s="19"/>
      <c r="M107" s="19"/>
      <c r="N107" s="19"/>
    </row>
    <row r="108" spans="11:14">
      <c r="K108" s="19"/>
      <c r="L108" s="19"/>
      <c r="M108" s="19"/>
      <c r="N108" s="19"/>
    </row>
    <row r="109" spans="11:14">
      <c r="K109" s="19"/>
      <c r="L109" s="19"/>
      <c r="M109" s="19"/>
      <c r="N109" s="19"/>
    </row>
    <row r="110" spans="11:14">
      <c r="K110" s="19"/>
      <c r="L110" s="19"/>
      <c r="M110" s="19"/>
      <c r="N110" s="19"/>
    </row>
    <row r="111" spans="11:14">
      <c r="K111" s="19"/>
      <c r="L111" s="19"/>
      <c r="M111" s="19"/>
      <c r="N111" s="19"/>
    </row>
    <row r="112" spans="11:14">
      <c r="K112" s="19"/>
      <c r="L112" s="19"/>
      <c r="M112" s="19"/>
      <c r="N112" s="19"/>
    </row>
    <row r="113" spans="11:14">
      <c r="K113" s="19"/>
      <c r="L113" s="19"/>
      <c r="M113" s="19"/>
      <c r="N113" s="19"/>
    </row>
    <row r="114" spans="11:14">
      <c r="K114" s="19"/>
      <c r="L114" s="19"/>
      <c r="M114" s="19"/>
    </row>
    <row r="115" spans="11:14">
      <c r="K115" s="19"/>
      <c r="L115" s="19"/>
      <c r="M115" s="19"/>
      <c r="N115" s="19"/>
    </row>
    <row r="116" spans="11:14">
      <c r="K116" s="19"/>
      <c r="L116" s="19"/>
      <c r="M116" s="19"/>
    </row>
    <row r="117" spans="11:14">
      <c r="K117" s="19"/>
      <c r="L117" s="19"/>
      <c r="M117" s="19"/>
    </row>
  </sheetData>
  <mergeCells count="1">
    <mergeCell ref="G31:G3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N28"/>
  <sheetViews>
    <sheetView workbookViewId="0">
      <selection activeCell="F25" sqref="F25"/>
    </sheetView>
  </sheetViews>
  <sheetFormatPr defaultRowHeight="15"/>
  <cols>
    <col min="2" max="2" width="13.5703125" bestFit="1" customWidth="1"/>
    <col min="3" max="3" width="12.85546875" customWidth="1"/>
    <col min="4" max="4" width="11.5703125" bestFit="1" customWidth="1"/>
    <col min="5" max="9" width="11.42578125" customWidth="1"/>
    <col min="10" max="10" width="12.140625" customWidth="1"/>
    <col min="11" max="11" width="11.7109375" customWidth="1"/>
    <col min="12" max="12" width="13.28515625" bestFit="1" customWidth="1"/>
    <col min="13" max="13" width="12.5703125" customWidth="1"/>
    <col min="14" max="14" width="9.5703125" bestFit="1" customWidth="1"/>
  </cols>
  <sheetData>
    <row r="1" spans="2:14" ht="15.75" thickBot="1"/>
    <row r="2" spans="2:14">
      <c r="B2" s="303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2:14">
      <c r="B3" s="300" t="s">
        <v>357</v>
      </c>
      <c r="C3" s="301"/>
      <c r="D3" s="301"/>
      <c r="E3" s="301"/>
      <c r="F3" s="301"/>
      <c r="G3" s="301"/>
      <c r="H3" s="301"/>
      <c r="I3" s="301"/>
      <c r="J3" s="301"/>
      <c r="K3" s="301"/>
      <c r="L3" s="302"/>
    </row>
    <row r="4" spans="2:14" ht="25.5">
      <c r="B4" s="308" t="s">
        <v>233</v>
      </c>
      <c r="C4" s="309">
        <v>2021</v>
      </c>
      <c r="D4" s="309"/>
      <c r="E4" s="309"/>
      <c r="F4" s="313">
        <v>2022</v>
      </c>
      <c r="G4" s="314"/>
      <c r="H4" s="315"/>
      <c r="I4" s="310">
        <v>2023</v>
      </c>
      <c r="J4" s="311"/>
      <c r="K4" s="312"/>
      <c r="L4" s="260" t="s">
        <v>169</v>
      </c>
    </row>
    <row r="5" spans="2:14" ht="30">
      <c r="B5" s="308"/>
      <c r="C5" s="247" t="s">
        <v>70</v>
      </c>
      <c r="D5" s="248" t="s">
        <v>234</v>
      </c>
      <c r="E5" s="247" t="s">
        <v>235</v>
      </c>
      <c r="F5" s="247" t="s">
        <v>70</v>
      </c>
      <c r="G5" s="248" t="s">
        <v>234</v>
      </c>
      <c r="H5" s="247" t="s">
        <v>235</v>
      </c>
      <c r="I5" s="247" t="s">
        <v>70</v>
      </c>
      <c r="J5" s="248" t="s">
        <v>234</v>
      </c>
      <c r="K5" s="247" t="s">
        <v>235</v>
      </c>
      <c r="L5" s="261" t="s">
        <v>70</v>
      </c>
    </row>
    <row r="6" spans="2:14">
      <c r="B6" s="246"/>
      <c r="C6" s="249" t="s">
        <v>141</v>
      </c>
      <c r="D6" s="249" t="s">
        <v>142</v>
      </c>
      <c r="E6" s="249" t="s">
        <v>236</v>
      </c>
      <c r="F6" s="249" t="s">
        <v>144</v>
      </c>
      <c r="G6" s="249" t="s">
        <v>161</v>
      </c>
      <c r="H6" s="249" t="s">
        <v>376</v>
      </c>
      <c r="I6" s="249" t="s">
        <v>229</v>
      </c>
      <c r="J6" s="249" t="s">
        <v>255</v>
      </c>
      <c r="K6" s="249" t="s">
        <v>377</v>
      </c>
      <c r="L6" s="262" t="s">
        <v>378</v>
      </c>
    </row>
    <row r="7" spans="2:14">
      <c r="B7" s="250" t="s">
        <v>25</v>
      </c>
      <c r="C7" s="251">
        <f>'CDM Forecast'!L32+'Historic CDM'!C98</f>
        <v>269141.70572289213</v>
      </c>
      <c r="D7" s="252">
        <v>0</v>
      </c>
      <c r="E7" s="253">
        <f t="shared" ref="E7:E15" si="0">C7*D7</f>
        <v>0</v>
      </c>
      <c r="F7" s="251">
        <f>'CDM Forecast'!M32+'CDM Forecast'!E72</f>
        <v>284408.14701389649</v>
      </c>
      <c r="G7" s="274">
        <v>0.5</v>
      </c>
      <c r="H7" s="251">
        <f>F7*G7</f>
        <v>142204.07350694825</v>
      </c>
      <c r="I7" s="251">
        <f>'CDM Forecast'!N32</f>
        <v>295716.6220442701</v>
      </c>
      <c r="J7" s="100">
        <v>0.5</v>
      </c>
      <c r="K7" s="254">
        <f>I7*J7</f>
        <v>147858.31102213505</v>
      </c>
      <c r="L7" s="263">
        <f>E7+H7+K7</f>
        <v>290062.38452908327</v>
      </c>
    </row>
    <row r="8" spans="2:14">
      <c r="B8" s="255" t="s">
        <v>131</v>
      </c>
      <c r="C8" s="251">
        <f>'CDM Forecast'!L33+'Historic CDM'!D98</f>
        <v>669309.60111506272</v>
      </c>
      <c r="D8" s="252">
        <v>0</v>
      </c>
      <c r="E8" s="253">
        <f t="shared" si="0"/>
        <v>0</v>
      </c>
      <c r="F8" s="251">
        <f>'CDM Forecast'!M33+'CDM Forecast'!F72</f>
        <v>560367.29969257431</v>
      </c>
      <c r="G8" s="274">
        <f>G7</f>
        <v>0.5</v>
      </c>
      <c r="H8" s="251">
        <f t="shared" ref="H8:H14" si="1">F8*G8</f>
        <v>280183.64984628715</v>
      </c>
      <c r="I8" s="251">
        <f>'CDM Forecast'!N33</f>
        <v>687707.80456502968</v>
      </c>
      <c r="J8" s="100">
        <v>0.5</v>
      </c>
      <c r="K8" s="254">
        <f t="shared" ref="K8:K14" si="2">I8*J8</f>
        <v>343853.90228251484</v>
      </c>
      <c r="L8" s="263">
        <f t="shared" ref="L8:L14" si="3">E8+H8+K8</f>
        <v>624037.55212880205</v>
      </c>
    </row>
    <row r="9" spans="2:14">
      <c r="B9" s="250" t="s">
        <v>133</v>
      </c>
      <c r="C9" s="251">
        <f>'CDM Forecast'!L34+'Historic CDM'!E98</f>
        <v>2774584.8488652594</v>
      </c>
      <c r="D9" s="252">
        <v>0</v>
      </c>
      <c r="E9" s="253">
        <f t="shared" si="0"/>
        <v>0</v>
      </c>
      <c r="F9" s="251">
        <f>'CDM Forecast'!M34+'CDM Forecast'!G72</f>
        <v>2133714.6313936291</v>
      </c>
      <c r="G9" s="274">
        <f t="shared" ref="G9:G14" si="4">G8</f>
        <v>0.5</v>
      </c>
      <c r="H9" s="251">
        <f t="shared" si="1"/>
        <v>1066857.3156968146</v>
      </c>
      <c r="I9" s="251">
        <f>'CDM Forecast'!N34</f>
        <v>3490940.8851150074</v>
      </c>
      <c r="J9" s="100">
        <v>0.5</v>
      </c>
      <c r="K9" s="254">
        <f t="shared" si="2"/>
        <v>1745470.4425575037</v>
      </c>
      <c r="L9" s="263">
        <f t="shared" si="3"/>
        <v>2812327.7582543185</v>
      </c>
    </row>
    <row r="10" spans="2:14">
      <c r="B10" s="255" t="s">
        <v>27</v>
      </c>
      <c r="C10" s="251">
        <f>'CDM Forecast'!L35+'Historic CDM'!F98</f>
        <v>244623.36616599307</v>
      </c>
      <c r="D10" s="252">
        <v>0</v>
      </c>
      <c r="E10" s="253">
        <f t="shared" si="0"/>
        <v>0</v>
      </c>
      <c r="F10" s="251">
        <f>'CDM Forecast'!M35+'CDM Forecast'!H73</f>
        <v>4907967.5282223327</v>
      </c>
      <c r="G10" s="274">
        <f t="shared" si="4"/>
        <v>0.5</v>
      </c>
      <c r="H10" s="251">
        <f t="shared" si="1"/>
        <v>2453983.7641111664</v>
      </c>
      <c r="I10" s="251">
        <f>'CDM Forecast'!N35</f>
        <v>545218.88915097946</v>
      </c>
      <c r="J10" s="100">
        <v>0.5</v>
      </c>
      <c r="K10" s="254">
        <f t="shared" si="2"/>
        <v>272609.44457548973</v>
      </c>
      <c r="L10" s="263">
        <f t="shared" si="3"/>
        <v>2726593.2086866563</v>
      </c>
    </row>
    <row r="11" spans="2:14">
      <c r="B11" s="255" t="s">
        <v>167</v>
      </c>
      <c r="C11" s="251">
        <f>'CDM Forecast'!L36+'Historic CDM'!J98</f>
        <v>2209827.1456887522</v>
      </c>
      <c r="D11" s="252">
        <v>0</v>
      </c>
      <c r="E11" s="253">
        <f t="shared" si="0"/>
        <v>0</v>
      </c>
      <c r="F11" s="251">
        <f>'CDM Forecast'!M36+'CDM Forecast'!J73</f>
        <v>255206.60515403666</v>
      </c>
      <c r="G11" s="274">
        <f t="shared" si="4"/>
        <v>0.5</v>
      </c>
      <c r="H11" s="251">
        <f t="shared" si="1"/>
        <v>127603.30257701833</v>
      </c>
      <c r="I11" s="251">
        <f>'CDM Forecast'!N36</f>
        <v>580891.80041894352</v>
      </c>
      <c r="J11" s="100">
        <v>0.5</v>
      </c>
      <c r="K11" s="254">
        <f t="shared" si="2"/>
        <v>290445.90020947176</v>
      </c>
      <c r="L11" s="263">
        <f t="shared" si="3"/>
        <v>418049.20278649009</v>
      </c>
      <c r="N11" s="116"/>
    </row>
    <row r="12" spans="2:14">
      <c r="B12" s="255" t="s">
        <v>149</v>
      </c>
      <c r="C12" s="251"/>
      <c r="D12" s="252">
        <v>0</v>
      </c>
      <c r="E12" s="253">
        <f t="shared" si="0"/>
        <v>0</v>
      </c>
      <c r="F12" s="251"/>
      <c r="G12" s="274">
        <f t="shared" si="4"/>
        <v>0.5</v>
      </c>
      <c r="H12" s="251">
        <f t="shared" si="1"/>
        <v>0</v>
      </c>
      <c r="I12" s="251"/>
      <c r="J12" s="100">
        <v>0.5</v>
      </c>
      <c r="K12" s="254">
        <f t="shared" si="2"/>
        <v>0</v>
      </c>
      <c r="L12" s="263">
        <f t="shared" si="3"/>
        <v>0</v>
      </c>
    </row>
    <row r="13" spans="2:14">
      <c r="B13" s="255" t="s">
        <v>153</v>
      </c>
      <c r="C13" s="251"/>
      <c r="D13" s="252">
        <v>0</v>
      </c>
      <c r="E13" s="253">
        <f t="shared" si="0"/>
        <v>0</v>
      </c>
      <c r="F13" s="251"/>
      <c r="G13" s="274">
        <f t="shared" si="4"/>
        <v>0.5</v>
      </c>
      <c r="H13" s="251">
        <f t="shared" si="1"/>
        <v>0</v>
      </c>
      <c r="I13" s="251"/>
      <c r="J13" s="100">
        <v>0.5</v>
      </c>
      <c r="K13" s="254">
        <f t="shared" si="2"/>
        <v>0</v>
      </c>
      <c r="L13" s="263">
        <f t="shared" si="3"/>
        <v>0</v>
      </c>
    </row>
    <row r="14" spans="2:14">
      <c r="B14" s="255" t="s">
        <v>71</v>
      </c>
      <c r="C14" s="251"/>
      <c r="D14" s="252">
        <v>0</v>
      </c>
      <c r="E14" s="253">
        <f t="shared" si="0"/>
        <v>0</v>
      </c>
      <c r="F14" s="251"/>
      <c r="G14" s="274">
        <f t="shared" si="4"/>
        <v>0.5</v>
      </c>
      <c r="H14" s="251">
        <f t="shared" si="1"/>
        <v>0</v>
      </c>
      <c r="I14" s="251"/>
      <c r="J14" s="100">
        <v>0.5</v>
      </c>
      <c r="K14" s="254">
        <f t="shared" si="2"/>
        <v>0</v>
      </c>
      <c r="L14" s="263">
        <f t="shared" si="3"/>
        <v>0</v>
      </c>
    </row>
    <row r="15" spans="2:14" ht="15.75" thickBot="1">
      <c r="B15" s="256" t="s">
        <v>237</v>
      </c>
      <c r="C15" s="257">
        <f>SUM(C7:C14)</f>
        <v>6167486.6675579594</v>
      </c>
      <c r="D15" s="101">
        <v>0</v>
      </c>
      <c r="E15" s="258">
        <f t="shared" si="0"/>
        <v>0</v>
      </c>
      <c r="F15" s="258">
        <f>SUM(F7:F14)</f>
        <v>8141664.2114764694</v>
      </c>
      <c r="G15" s="258"/>
      <c r="H15" s="257">
        <f>SUM(H7:H14)</f>
        <v>4070832.1057382347</v>
      </c>
      <c r="I15" s="258">
        <f>SUM(I7:I14)</f>
        <v>5600476.0012942292</v>
      </c>
      <c r="J15" s="102">
        <v>0.5</v>
      </c>
      <c r="K15" s="259">
        <f>I15*J15</f>
        <v>2800238.0006471146</v>
      </c>
      <c r="L15" s="264">
        <f t="shared" ref="L15" si="5">E15+F15+K15</f>
        <v>10941902.212123584</v>
      </c>
    </row>
    <row r="16" spans="2:14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</row>
    <row r="17" spans="2:7" ht="15.75" thickBot="1"/>
    <row r="18" spans="2:7">
      <c r="B18" s="321"/>
      <c r="C18" s="322"/>
      <c r="D18" s="322"/>
      <c r="E18" s="322"/>
      <c r="F18" s="322"/>
      <c r="G18" s="323"/>
    </row>
    <row r="19" spans="2:7">
      <c r="B19" s="316" t="s">
        <v>290</v>
      </c>
      <c r="C19" s="317"/>
      <c r="D19" s="317"/>
      <c r="E19" s="317"/>
      <c r="F19" s="317"/>
      <c r="G19" s="318"/>
    </row>
    <row r="20" spans="2:7" ht="15" customHeight="1">
      <c r="B20" s="103" t="s">
        <v>233</v>
      </c>
      <c r="C20" s="306" t="s">
        <v>291</v>
      </c>
      <c r="D20" s="307"/>
      <c r="E20" s="104"/>
      <c r="F20" s="319" t="s">
        <v>292</v>
      </c>
      <c r="G20" s="320"/>
    </row>
    <row r="21" spans="2:7" ht="45">
      <c r="B21" s="96"/>
      <c r="C21" s="105" t="s">
        <v>238</v>
      </c>
      <c r="D21" s="105" t="s">
        <v>162</v>
      </c>
      <c r="E21" s="105" t="s">
        <v>239</v>
      </c>
      <c r="F21" s="105" t="s">
        <v>238</v>
      </c>
      <c r="G21" s="106" t="s">
        <v>162</v>
      </c>
    </row>
    <row r="22" spans="2:7">
      <c r="B22" s="96"/>
      <c r="C22" s="105" t="s">
        <v>141</v>
      </c>
      <c r="D22" s="105" t="s">
        <v>142</v>
      </c>
      <c r="E22" s="105" t="s">
        <v>158</v>
      </c>
      <c r="F22" s="105" t="s">
        <v>144</v>
      </c>
      <c r="G22" s="106" t="s">
        <v>240</v>
      </c>
    </row>
    <row r="23" spans="2:7">
      <c r="B23" s="96" t="s">
        <v>133</v>
      </c>
      <c r="C23" s="107">
        <f ca="1">'Normalized Annual Summary'!AA16</f>
        <v>190815052.78498736</v>
      </c>
      <c r="D23" s="108">
        <f>L9</f>
        <v>2812327.7582543185</v>
      </c>
      <c r="E23" s="109">
        <f t="shared" ref="E23:E28" ca="1" si="6">D23/C23</f>
        <v>1.4738500538651332E-2</v>
      </c>
      <c r="F23" s="107">
        <f ca="1">'kW Forecast'!D30</f>
        <v>532610.19715811952</v>
      </c>
      <c r="G23" s="110">
        <f ca="1">F23*E23</f>
        <v>7849.8756777061362</v>
      </c>
    </row>
    <row r="24" spans="2:7">
      <c r="B24" s="111" t="s">
        <v>27</v>
      </c>
      <c r="C24" s="112">
        <f ca="1">'Normalized Annual Summary'!AJ16</f>
        <v>116919180.05677593</v>
      </c>
      <c r="D24" s="108">
        <f>L10</f>
        <v>2726593.2086866563</v>
      </c>
      <c r="E24" s="109">
        <f t="shared" ca="1" si="6"/>
        <v>2.3320324410097841E-2</v>
      </c>
      <c r="F24" s="112">
        <f ca="1">'kW Forecast'!J30</f>
        <v>227249.94113692359</v>
      </c>
      <c r="G24" s="110">
        <f ca="1">F24*E24</f>
        <v>5299.5423494886963</v>
      </c>
    </row>
    <row r="25" spans="2:7">
      <c r="B25" s="111" t="s">
        <v>167</v>
      </c>
      <c r="C25" s="112">
        <f>'Normalized Annual Summary'!AS16</f>
        <v>280631367.87012482</v>
      </c>
      <c r="D25" s="108">
        <f>L11</f>
        <v>418049.20278649009</v>
      </c>
      <c r="E25" s="109">
        <f t="shared" si="6"/>
        <v>1.4896738235618827E-3</v>
      </c>
      <c r="F25" s="112">
        <f>'kW Forecast'!P30</f>
        <v>472274.48981284042</v>
      </c>
      <c r="G25" s="110">
        <f>F25*E25</f>
        <v>703.53494501023135</v>
      </c>
    </row>
    <row r="26" spans="2:7">
      <c r="B26" s="111" t="s">
        <v>149</v>
      </c>
      <c r="C26" s="112">
        <f>'Normalized Annual Summary'!AY16</f>
        <v>3061561.7829879471</v>
      </c>
      <c r="D26" s="108">
        <f>L12</f>
        <v>0</v>
      </c>
      <c r="E26" s="109">
        <f t="shared" si="6"/>
        <v>0</v>
      </c>
      <c r="F26" s="112">
        <f>'kW Forecast'!V30</f>
        <v>8430.0804711743476</v>
      </c>
      <c r="G26" s="110">
        <f>F26*E26</f>
        <v>0</v>
      </c>
    </row>
    <row r="27" spans="2:7">
      <c r="B27" s="111" t="s">
        <v>153</v>
      </c>
      <c r="C27" s="112">
        <f>'Normalized Annual Summary'!BE16</f>
        <v>421220.07259579725</v>
      </c>
      <c r="D27" s="108">
        <f>L13</f>
        <v>0</v>
      </c>
      <c r="E27" s="109">
        <f t="shared" si="6"/>
        <v>0</v>
      </c>
      <c r="F27" s="112">
        <f>'kW Forecast'!AB30</f>
        <v>1152.266834347349</v>
      </c>
      <c r="G27" s="110">
        <f>F27*E27</f>
        <v>0</v>
      </c>
    </row>
    <row r="28" spans="2:7" ht="15.75" thickBot="1">
      <c r="B28" s="150" t="s">
        <v>237</v>
      </c>
      <c r="C28" s="151">
        <f ca="1">SUM(C23:C27)</f>
        <v>591848382.56747186</v>
      </c>
      <c r="D28" s="151">
        <f>SUM(D23:D27)</f>
        <v>5956970.1697274651</v>
      </c>
      <c r="E28" s="152">
        <f t="shared" ca="1" si="6"/>
        <v>1.0065027370499503E-2</v>
      </c>
      <c r="F28" s="153">
        <f ca="1">SUM(F23:F27)</f>
        <v>1241716.9754134051</v>
      </c>
      <c r="G28" s="154">
        <f ca="1">SUM(G23:G27)</f>
        <v>13852.952972205063</v>
      </c>
    </row>
  </sheetData>
  <mergeCells count="10">
    <mergeCell ref="B3:L3"/>
    <mergeCell ref="B2:L2"/>
    <mergeCell ref="C20:D20"/>
    <mergeCell ref="B4:B5"/>
    <mergeCell ref="C4:E4"/>
    <mergeCell ref="I4:K4"/>
    <mergeCell ref="F4:H4"/>
    <mergeCell ref="B19:G19"/>
    <mergeCell ref="F20:G20"/>
    <mergeCell ref="B18:G1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131"/>
  <sheetViews>
    <sheetView topLeftCell="A103" workbookViewId="0">
      <selection activeCell="V130" sqref="V130"/>
    </sheetView>
  </sheetViews>
  <sheetFormatPr defaultRowHeight="15"/>
  <cols>
    <col min="1" max="1" width="15" customWidth="1"/>
    <col min="3" max="3" width="12.5703125" customWidth="1"/>
    <col min="4" max="4" width="12.42578125" customWidth="1"/>
    <col min="5" max="5" width="13.42578125" bestFit="1" customWidth="1"/>
    <col min="6" max="6" width="13.28515625" bestFit="1" customWidth="1"/>
    <col min="7" max="7" width="9.28515625" bestFit="1" customWidth="1"/>
    <col min="8" max="8" width="10.5703125" bestFit="1" customWidth="1"/>
    <col min="9" max="9" width="9.28515625" bestFit="1" customWidth="1"/>
    <col min="10" max="10" width="13.28515625" bestFit="1" customWidth="1"/>
    <col min="14" max="14" width="11.5703125" bestFit="1" customWidth="1"/>
    <col min="15" max="15" width="11" bestFit="1" customWidth="1"/>
    <col min="17" max="17" width="11.5703125" bestFit="1" customWidth="1"/>
    <col min="18" max="18" width="12.28515625" bestFit="1" customWidth="1"/>
    <col min="19" max="21" width="12.28515625" customWidth="1"/>
    <col min="22" max="22" width="11.28515625" bestFit="1" customWidth="1"/>
  </cols>
  <sheetData>
    <row r="1" spans="1:22">
      <c r="F1" t="s">
        <v>70</v>
      </c>
      <c r="Q1" t="s">
        <v>245</v>
      </c>
    </row>
    <row r="2" spans="1:22">
      <c r="C2" t="s">
        <v>25</v>
      </c>
      <c r="D2" t="s">
        <v>24</v>
      </c>
      <c r="E2" t="s">
        <v>26</v>
      </c>
      <c r="F2" t="s">
        <v>57</v>
      </c>
      <c r="G2" t="s">
        <v>72</v>
      </c>
      <c r="H2" t="s">
        <v>73</v>
      </c>
      <c r="I2" t="s">
        <v>71</v>
      </c>
      <c r="J2" t="s">
        <v>58</v>
      </c>
      <c r="O2" t="str">
        <f>C2</f>
        <v>Residential</v>
      </c>
      <c r="P2" t="str">
        <f>D2</f>
        <v>GS&lt;50</v>
      </c>
      <c r="Q2" t="str">
        <f t="shared" ref="Q2:V2" si="0">E2</f>
        <v>GS&gt;50</v>
      </c>
      <c r="R2" t="str">
        <f t="shared" si="0"/>
        <v>Int</v>
      </c>
      <c r="S2" t="str">
        <f t="shared" si="0"/>
        <v>Sen Light</v>
      </c>
      <c r="T2" t="str">
        <f t="shared" si="0"/>
        <v>St. Light</v>
      </c>
      <c r="U2" t="str">
        <f t="shared" si="0"/>
        <v>USL</v>
      </c>
      <c r="V2" t="str">
        <f t="shared" si="0"/>
        <v>LU</v>
      </c>
    </row>
    <row r="3" spans="1:22">
      <c r="A3">
        <v>2011</v>
      </c>
      <c r="B3">
        <v>2011</v>
      </c>
      <c r="C3" s="6">
        <v>1282243.5572396822</v>
      </c>
      <c r="D3" s="6">
        <v>312688.50307737658</v>
      </c>
      <c r="E3" s="6">
        <v>3792445.9469887372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N3" s="19">
        <f t="shared" ref="N3:N80" si="1">SUM(C3:J3)</f>
        <v>5387378.0073057963</v>
      </c>
      <c r="Q3" s="6">
        <v>0</v>
      </c>
      <c r="R3" s="6">
        <v>0</v>
      </c>
      <c r="S3" s="6"/>
      <c r="T3" s="6"/>
      <c r="U3" s="6"/>
      <c r="V3" s="6">
        <v>0</v>
      </c>
    </row>
    <row r="4" spans="1:22">
      <c r="A4">
        <v>2011</v>
      </c>
      <c r="B4">
        <v>2012</v>
      </c>
      <c r="C4" s="6">
        <v>1282243.5572396822</v>
      </c>
      <c r="D4" s="6">
        <v>312205.78706551454</v>
      </c>
      <c r="E4" s="6">
        <v>3677812.9069887372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N4" s="19">
        <f t="shared" si="1"/>
        <v>5272262.251293934</v>
      </c>
      <c r="Q4" s="6">
        <v>0</v>
      </c>
      <c r="R4" s="6">
        <v>0</v>
      </c>
      <c r="S4" s="6"/>
      <c r="T4" s="6"/>
      <c r="U4" s="6"/>
      <c r="V4" s="6">
        <v>0</v>
      </c>
    </row>
    <row r="5" spans="1:22">
      <c r="A5">
        <v>2011</v>
      </c>
      <c r="B5">
        <v>2013</v>
      </c>
      <c r="C5" s="6">
        <v>1282243.5572396822</v>
      </c>
      <c r="D5" s="6">
        <v>312205.78706551454</v>
      </c>
      <c r="E5" s="6">
        <v>3677812.9069887372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N5" s="19">
        <f t="shared" si="1"/>
        <v>5272262.251293934</v>
      </c>
      <c r="Q5" s="6">
        <v>0</v>
      </c>
      <c r="R5" s="6">
        <v>0</v>
      </c>
      <c r="S5" s="6"/>
      <c r="T5" s="6"/>
      <c r="U5" s="6"/>
      <c r="V5" s="6">
        <v>0</v>
      </c>
    </row>
    <row r="6" spans="1:22">
      <c r="A6">
        <v>2011</v>
      </c>
      <c r="B6">
        <v>2014</v>
      </c>
      <c r="C6" s="6">
        <v>1279162.7931032982</v>
      </c>
      <c r="D6" s="6">
        <v>278163.510760904</v>
      </c>
      <c r="E6" s="6">
        <v>3677589.0724957124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N6" s="19">
        <f t="shared" si="1"/>
        <v>5234915.3763599144</v>
      </c>
      <c r="Q6" s="6">
        <v>0</v>
      </c>
      <c r="R6" s="6">
        <v>0</v>
      </c>
      <c r="S6" s="6"/>
      <c r="T6" s="6"/>
      <c r="U6" s="6"/>
      <c r="V6" s="6">
        <v>0</v>
      </c>
    </row>
    <row r="7" spans="1:22">
      <c r="A7">
        <v>2011</v>
      </c>
      <c r="B7">
        <v>2015</v>
      </c>
      <c r="C7" s="6">
        <v>1163987.7461079699</v>
      </c>
      <c r="D7" s="6">
        <v>277569.02303328173</v>
      </c>
      <c r="E7" s="6">
        <v>3677589.0724957124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N7" s="19">
        <f t="shared" si="1"/>
        <v>5119145.8416369641</v>
      </c>
      <c r="Q7" s="6">
        <v>0</v>
      </c>
      <c r="R7" s="6">
        <v>0</v>
      </c>
      <c r="S7" s="6"/>
      <c r="T7" s="6"/>
      <c r="U7" s="6"/>
      <c r="V7" s="6">
        <v>0</v>
      </c>
    </row>
    <row r="8" spans="1:22">
      <c r="A8">
        <v>2011</v>
      </c>
      <c r="B8">
        <v>2016</v>
      </c>
      <c r="C8" s="6">
        <v>933515.15695242677</v>
      </c>
      <c r="D8" s="6">
        <v>277336.08819697925</v>
      </c>
      <c r="E8" s="6">
        <v>3677589.0724957124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N8" s="19">
        <f t="shared" si="1"/>
        <v>4888440.3176451186</v>
      </c>
      <c r="Q8" s="6">
        <v>0</v>
      </c>
      <c r="R8" s="6">
        <v>0</v>
      </c>
      <c r="S8" s="6"/>
      <c r="T8" s="6"/>
      <c r="U8" s="6"/>
      <c r="V8" s="6">
        <v>0</v>
      </c>
    </row>
    <row r="9" spans="1:22">
      <c r="A9">
        <v>2011</v>
      </c>
      <c r="B9">
        <v>2017</v>
      </c>
      <c r="C9" s="6">
        <v>866486.53932546556</v>
      </c>
      <c r="D9" s="6">
        <v>81681.623395047602</v>
      </c>
      <c r="E9" s="6">
        <v>3669528.5485753459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N9" s="19">
        <f t="shared" si="1"/>
        <v>4617696.711295859</v>
      </c>
      <c r="Q9" s="6">
        <v>0</v>
      </c>
      <c r="R9" s="6">
        <v>0</v>
      </c>
      <c r="S9" s="6"/>
      <c r="T9" s="6"/>
      <c r="U9" s="6"/>
      <c r="V9" s="6">
        <v>0</v>
      </c>
    </row>
    <row r="10" spans="1:22">
      <c r="A10">
        <v>2011</v>
      </c>
      <c r="B10">
        <v>2018</v>
      </c>
      <c r="C10" s="6">
        <v>865548.6999130788</v>
      </c>
      <c r="D10" s="6">
        <v>69707.871263110501</v>
      </c>
      <c r="E10" s="6">
        <v>3572650.0085987635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N10" s="19">
        <f t="shared" si="1"/>
        <v>4507906.5797749525</v>
      </c>
      <c r="Q10" s="6">
        <v>0</v>
      </c>
      <c r="R10" s="6">
        <v>0</v>
      </c>
      <c r="S10" s="6"/>
      <c r="T10" s="6"/>
      <c r="U10" s="6"/>
      <c r="V10" s="6">
        <v>0</v>
      </c>
    </row>
    <row r="11" spans="1:22">
      <c r="A11">
        <v>2011</v>
      </c>
      <c r="B11">
        <v>2019</v>
      </c>
      <c r="C11" s="6">
        <v>920248.05901266926</v>
      </c>
      <c r="D11" s="6">
        <v>56981.674364402948</v>
      </c>
      <c r="E11" s="6">
        <v>3469683.5064183115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N11" s="19">
        <f t="shared" si="1"/>
        <v>4446913.239795384</v>
      </c>
      <c r="Q11" s="6">
        <v>0</v>
      </c>
      <c r="R11" s="6">
        <v>0</v>
      </c>
      <c r="S11" s="6"/>
      <c r="T11" s="6"/>
      <c r="U11" s="6"/>
      <c r="V11" s="6">
        <v>0</v>
      </c>
    </row>
    <row r="12" spans="1:22">
      <c r="A12">
        <v>2011</v>
      </c>
      <c r="B12">
        <v>2020</v>
      </c>
      <c r="C12" s="6">
        <v>750036.78490823449</v>
      </c>
      <c r="D12" s="6">
        <v>56981.674364402948</v>
      </c>
      <c r="E12" s="6">
        <v>3469683.5064183115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N12" s="19">
        <f t="shared" si="1"/>
        <v>4276701.965690949</v>
      </c>
      <c r="Q12" s="6">
        <v>0</v>
      </c>
      <c r="R12" s="6">
        <v>0</v>
      </c>
      <c r="S12" s="6"/>
      <c r="T12" s="6"/>
      <c r="U12" s="6"/>
      <c r="V12" s="6">
        <v>0</v>
      </c>
    </row>
    <row r="13" spans="1:22">
      <c r="A13">
        <v>2011</v>
      </c>
      <c r="B13">
        <v>2021</v>
      </c>
      <c r="C13" s="6">
        <v>693175.43618609349</v>
      </c>
      <c r="D13" s="6">
        <v>52020.688795012175</v>
      </c>
      <c r="E13" s="6">
        <v>3469265.352051185</v>
      </c>
      <c r="F13" s="6"/>
      <c r="G13" s="6"/>
      <c r="H13" s="6">
        <v>0</v>
      </c>
      <c r="I13" s="6">
        <v>0</v>
      </c>
      <c r="J13" s="6">
        <v>0</v>
      </c>
      <c r="N13" s="19">
        <f t="shared" si="1"/>
        <v>4214461.4770322908</v>
      </c>
      <c r="Q13" s="6">
        <v>0</v>
      </c>
      <c r="R13" s="6">
        <v>0</v>
      </c>
      <c r="S13" s="6"/>
      <c r="T13" s="6"/>
      <c r="U13" s="6"/>
      <c r="V13" s="6">
        <v>0</v>
      </c>
    </row>
    <row r="14" spans="1:22">
      <c r="A14">
        <v>2011</v>
      </c>
      <c r="B14">
        <v>2022</v>
      </c>
      <c r="C14" s="6">
        <v>688698.89734127827</v>
      </c>
      <c r="D14" s="6">
        <v>52020.688795012175</v>
      </c>
      <c r="E14" s="6">
        <v>3469265.352051185</v>
      </c>
      <c r="F14" s="6"/>
      <c r="G14" s="6"/>
      <c r="H14" s="6"/>
      <c r="I14" s="6"/>
      <c r="J14" s="6"/>
      <c r="N14" s="19">
        <f t="shared" si="1"/>
        <v>4209984.9381874753</v>
      </c>
      <c r="Q14" s="6">
        <v>0</v>
      </c>
      <c r="R14" s="6">
        <v>0</v>
      </c>
      <c r="S14" s="6"/>
      <c r="T14" s="6"/>
      <c r="U14" s="6"/>
      <c r="V14" s="6"/>
    </row>
    <row r="15" spans="1:22">
      <c r="A15">
        <v>2011</v>
      </c>
      <c r="B15">
        <v>2023</v>
      </c>
      <c r="C15" s="6">
        <v>688698.89734127827</v>
      </c>
      <c r="D15" s="6">
        <v>4093.8941512360548</v>
      </c>
      <c r="E15" s="6">
        <v>3159247.4611612437</v>
      </c>
      <c r="F15" s="6"/>
      <c r="G15" s="6"/>
      <c r="H15" s="6"/>
      <c r="I15" s="6"/>
      <c r="J15" s="6"/>
      <c r="N15" s="19">
        <f t="shared" si="1"/>
        <v>3852040.252653758</v>
      </c>
      <c r="Q15" s="6">
        <v>0</v>
      </c>
      <c r="R15" s="6">
        <v>0</v>
      </c>
      <c r="S15" s="6"/>
      <c r="T15" s="6"/>
      <c r="U15" s="6"/>
      <c r="V15" s="6"/>
    </row>
    <row r="16" spans="1:22">
      <c r="C16" s="6"/>
      <c r="D16" s="6"/>
      <c r="E16" s="6"/>
      <c r="F16" s="6"/>
      <c r="G16" s="6"/>
      <c r="H16" s="6"/>
      <c r="I16" s="6"/>
      <c r="J16" s="6"/>
      <c r="N16" s="19"/>
      <c r="Q16" s="6"/>
      <c r="R16" s="6"/>
      <c r="S16" s="6"/>
      <c r="T16" s="6"/>
      <c r="U16" s="6"/>
      <c r="V16" s="6"/>
    </row>
    <row r="17" spans="1:22">
      <c r="A17">
        <v>2012</v>
      </c>
      <c r="B17">
        <v>2012</v>
      </c>
      <c r="C17" s="6">
        <v>732923.64384871337</v>
      </c>
      <c r="D17" s="6">
        <v>1107427.5154253901</v>
      </c>
      <c r="E17" s="6">
        <v>2443160.1902361307</v>
      </c>
      <c r="F17" s="6">
        <v>8280</v>
      </c>
      <c r="G17" s="6">
        <v>0</v>
      </c>
      <c r="H17" s="6">
        <v>0</v>
      </c>
      <c r="I17" s="6">
        <v>0</v>
      </c>
      <c r="J17" s="6">
        <v>0</v>
      </c>
      <c r="N17" s="19">
        <f t="shared" si="1"/>
        <v>4291791.3495102338</v>
      </c>
      <c r="Q17" s="6">
        <v>108.97066472616197</v>
      </c>
      <c r="R17" s="6">
        <v>-1190.324989128012</v>
      </c>
      <c r="S17" s="6"/>
      <c r="T17" s="6"/>
      <c r="U17" s="6"/>
      <c r="V17" s="6">
        <v>1081.3543244018499</v>
      </c>
    </row>
    <row r="18" spans="1:22">
      <c r="A18">
        <v>2012</v>
      </c>
      <c r="B18">
        <v>2013</v>
      </c>
      <c r="C18" s="6">
        <v>732923.64383345458</v>
      </c>
      <c r="D18" s="6">
        <v>1102845.0332974603</v>
      </c>
      <c r="E18" s="6">
        <v>2384282.5840522749</v>
      </c>
      <c r="F18" s="6">
        <v>8280</v>
      </c>
      <c r="G18" s="6">
        <v>0</v>
      </c>
      <c r="H18" s="6">
        <v>0</v>
      </c>
      <c r="I18" s="6">
        <v>0</v>
      </c>
      <c r="J18" s="6">
        <v>0</v>
      </c>
      <c r="N18" s="19">
        <f t="shared" si="1"/>
        <v>4228331.2611831892</v>
      </c>
      <c r="Q18" s="6">
        <v>108.97066472616197</v>
      </c>
      <c r="R18" s="6">
        <v>-1190.324989128012</v>
      </c>
      <c r="S18" s="6"/>
      <c r="T18" s="6"/>
      <c r="U18" s="6"/>
      <c r="V18" s="6">
        <v>1081.3543244018499</v>
      </c>
    </row>
    <row r="19" spans="1:22">
      <c r="A19">
        <v>2012</v>
      </c>
      <c r="B19">
        <v>2014</v>
      </c>
      <c r="C19" s="6">
        <v>732862.04382745456</v>
      </c>
      <c r="D19" s="6">
        <v>1102594.4670519915</v>
      </c>
      <c r="E19" s="6">
        <v>2383437.9740522746</v>
      </c>
      <c r="F19" s="6">
        <v>8280</v>
      </c>
      <c r="G19" s="6">
        <v>0</v>
      </c>
      <c r="H19" s="6">
        <v>0</v>
      </c>
      <c r="I19" s="6">
        <v>0</v>
      </c>
      <c r="J19" s="6">
        <v>0</v>
      </c>
      <c r="N19" s="19">
        <f t="shared" si="1"/>
        <v>4227174.4849317204</v>
      </c>
      <c r="Q19" s="6">
        <v>108.97066472616197</v>
      </c>
      <c r="R19" s="6">
        <v>-1190.324989128012</v>
      </c>
      <c r="S19" s="6"/>
      <c r="T19" s="6"/>
      <c r="U19" s="6"/>
      <c r="V19" s="6">
        <v>1081.3543244018499</v>
      </c>
    </row>
    <row r="20" spans="1:22">
      <c r="A20">
        <v>2012</v>
      </c>
      <c r="B20">
        <v>2015</v>
      </c>
      <c r="C20" s="6">
        <v>731025.87227115489</v>
      </c>
      <c r="D20" s="6">
        <v>899774.33106922288</v>
      </c>
      <c r="E20" s="6">
        <v>2365134.029966143</v>
      </c>
      <c r="F20" s="6">
        <v>8280</v>
      </c>
      <c r="G20" s="6">
        <v>0</v>
      </c>
      <c r="H20" s="6">
        <v>0</v>
      </c>
      <c r="I20" s="6">
        <v>0</v>
      </c>
      <c r="J20" s="6">
        <v>0</v>
      </c>
      <c r="N20" s="19">
        <f t="shared" si="1"/>
        <v>4004214.2333065206</v>
      </c>
      <c r="Q20" s="6">
        <v>108.97066472616197</v>
      </c>
      <c r="R20" s="6">
        <v>-1190.324989128012</v>
      </c>
      <c r="S20" s="6"/>
      <c r="T20" s="6"/>
      <c r="U20" s="6"/>
      <c r="V20" s="6">
        <v>1081.3543244018499</v>
      </c>
    </row>
    <row r="21" spans="1:22">
      <c r="A21">
        <v>2012</v>
      </c>
      <c r="B21">
        <v>2016</v>
      </c>
      <c r="C21" s="6">
        <v>644179.34695779206</v>
      </c>
      <c r="D21" s="6">
        <v>899774.33106922288</v>
      </c>
      <c r="E21" s="6">
        <v>2365134.029966143</v>
      </c>
      <c r="F21" s="6">
        <v>8280</v>
      </c>
      <c r="G21" s="6">
        <v>0</v>
      </c>
      <c r="H21" s="6">
        <v>0</v>
      </c>
      <c r="I21" s="6">
        <v>0</v>
      </c>
      <c r="J21" s="6">
        <v>0</v>
      </c>
      <c r="N21" s="19">
        <f t="shared" si="1"/>
        <v>3917367.7079931581</v>
      </c>
      <c r="Q21" s="6">
        <v>108.97066472616197</v>
      </c>
      <c r="R21" s="6">
        <v>-1190.324989128012</v>
      </c>
      <c r="S21" s="6"/>
      <c r="T21" s="6"/>
      <c r="U21" s="6"/>
      <c r="V21" s="6">
        <v>1081.3543244018499</v>
      </c>
    </row>
    <row r="22" spans="1:22">
      <c r="A22">
        <v>2012</v>
      </c>
      <c r="B22">
        <v>2017</v>
      </c>
      <c r="C22" s="6">
        <v>520065.40361951583</v>
      </c>
      <c r="D22" s="6">
        <v>319664.08544890891</v>
      </c>
      <c r="E22" s="6">
        <v>2252580.5391057222</v>
      </c>
      <c r="F22" s="6">
        <v>8280</v>
      </c>
      <c r="G22" s="6">
        <v>0</v>
      </c>
      <c r="H22" s="6">
        <v>0</v>
      </c>
      <c r="I22" s="6">
        <v>0</v>
      </c>
      <c r="J22" s="6">
        <v>0</v>
      </c>
      <c r="N22" s="19">
        <f t="shared" si="1"/>
        <v>3100590.028174147</v>
      </c>
      <c r="Q22" s="6">
        <v>108.97066472616197</v>
      </c>
      <c r="R22" s="6">
        <v>-1190.324989128012</v>
      </c>
      <c r="S22" s="6"/>
      <c r="T22" s="6"/>
      <c r="U22" s="6"/>
      <c r="V22" s="6">
        <v>1081.3543244018499</v>
      </c>
    </row>
    <row r="23" spans="1:22">
      <c r="A23">
        <v>2012</v>
      </c>
      <c r="B23">
        <v>2018</v>
      </c>
      <c r="C23" s="6">
        <v>475023.68107707798</v>
      </c>
      <c r="D23" s="6">
        <v>319035.50496013893</v>
      </c>
      <c r="E23" s="6">
        <v>2247494.7515147654</v>
      </c>
      <c r="F23" s="6">
        <v>8280</v>
      </c>
      <c r="G23" s="6">
        <v>0</v>
      </c>
      <c r="H23" s="6">
        <v>0</v>
      </c>
      <c r="I23" s="6">
        <v>0</v>
      </c>
      <c r="J23" s="6">
        <v>0</v>
      </c>
      <c r="N23" s="19">
        <f t="shared" si="1"/>
        <v>3049833.9375519822</v>
      </c>
      <c r="Q23" s="6">
        <v>108.97066472616197</v>
      </c>
      <c r="R23" s="6">
        <v>-1190.324989128012</v>
      </c>
      <c r="S23" s="6"/>
      <c r="T23" s="6"/>
      <c r="U23" s="6"/>
      <c r="V23" s="6">
        <v>1081.3543244018499</v>
      </c>
    </row>
    <row r="24" spans="1:22">
      <c r="A24">
        <v>2012</v>
      </c>
      <c r="B24">
        <v>2019</v>
      </c>
      <c r="C24" s="6">
        <v>474821.23611742316</v>
      </c>
      <c r="D24" s="6">
        <v>315322.92991479032</v>
      </c>
      <c r="E24" s="6">
        <v>2247494.7515147654</v>
      </c>
      <c r="F24" s="6">
        <v>8280</v>
      </c>
      <c r="G24" s="6">
        <v>0</v>
      </c>
      <c r="H24" s="6">
        <v>0</v>
      </c>
      <c r="I24" s="6">
        <v>0</v>
      </c>
      <c r="J24" s="6">
        <v>0</v>
      </c>
      <c r="N24" s="19">
        <f t="shared" si="1"/>
        <v>3045918.9175469792</v>
      </c>
      <c r="Q24" s="6">
        <v>108.97066472616197</v>
      </c>
      <c r="R24" s="6">
        <v>-1190.324989128012</v>
      </c>
      <c r="S24" s="6"/>
      <c r="T24" s="6"/>
      <c r="U24" s="6"/>
      <c r="V24" s="6">
        <v>1081.3543244018499</v>
      </c>
    </row>
    <row r="25" spans="1:22">
      <c r="A25">
        <v>2012</v>
      </c>
      <c r="B25">
        <v>2020</v>
      </c>
      <c r="C25" s="6">
        <v>458983.23611742316</v>
      </c>
      <c r="D25" s="6">
        <v>311028.71994846431</v>
      </c>
      <c r="E25" s="6">
        <v>2212750.6890599453</v>
      </c>
      <c r="F25" s="6">
        <v>8280</v>
      </c>
      <c r="G25" s="6">
        <v>0</v>
      </c>
      <c r="H25" s="6">
        <v>0</v>
      </c>
      <c r="I25" s="6">
        <v>0</v>
      </c>
      <c r="J25" s="6">
        <v>0</v>
      </c>
      <c r="N25" s="19">
        <f t="shared" si="1"/>
        <v>2991042.6451258329</v>
      </c>
      <c r="Q25" s="6">
        <v>108.97066472616197</v>
      </c>
      <c r="R25" s="6">
        <v>-1190.324989128012</v>
      </c>
      <c r="S25" s="6"/>
      <c r="T25" s="6"/>
      <c r="U25" s="6"/>
      <c r="V25" s="6">
        <v>1081.3543244018499</v>
      </c>
    </row>
    <row r="26" spans="1:22">
      <c r="A26">
        <v>2012</v>
      </c>
      <c r="B26">
        <v>2021</v>
      </c>
      <c r="C26" s="6">
        <v>415395.32320107444</v>
      </c>
      <c r="D26" s="6">
        <v>304001.91204109229</v>
      </c>
      <c r="E26" s="6">
        <v>2155897.4250821173</v>
      </c>
      <c r="F26" s="6">
        <v>8280</v>
      </c>
      <c r="G26" s="6"/>
      <c r="H26" s="6"/>
      <c r="I26" s="6"/>
      <c r="J26" s="6"/>
      <c r="N26" s="19">
        <f t="shared" si="1"/>
        <v>2883574.6603242839</v>
      </c>
      <c r="Q26" s="6">
        <v>108.97066472616197</v>
      </c>
      <c r="R26" s="6">
        <v>-1190.324989128012</v>
      </c>
      <c r="S26" s="6"/>
      <c r="T26" s="6"/>
      <c r="U26" s="6"/>
      <c r="V26" s="6">
        <v>1081.3543244018499</v>
      </c>
    </row>
    <row r="27" spans="1:22">
      <c r="A27">
        <v>2012</v>
      </c>
      <c r="B27">
        <v>2022</v>
      </c>
      <c r="C27" s="6">
        <v>399885.11738796125</v>
      </c>
      <c r="D27" s="6">
        <v>278931.44282580726</v>
      </c>
      <c r="E27" s="6">
        <v>2029483.6270388984</v>
      </c>
      <c r="F27" s="6">
        <v>8280</v>
      </c>
      <c r="G27" s="6"/>
      <c r="H27" s="6"/>
      <c r="I27" s="6"/>
      <c r="J27" s="6"/>
      <c r="N27" s="19">
        <f t="shared" si="1"/>
        <v>2716580.1872526668</v>
      </c>
      <c r="Q27" s="6">
        <v>108.97066472616197</v>
      </c>
      <c r="R27" s="6">
        <v>-1190.324989128012</v>
      </c>
      <c r="S27" s="6"/>
      <c r="T27" s="6"/>
      <c r="U27" s="6"/>
      <c r="V27" s="6">
        <v>1081.3543244018499</v>
      </c>
    </row>
    <row r="28" spans="1:22">
      <c r="A28">
        <v>2012</v>
      </c>
      <c r="B28">
        <v>2023</v>
      </c>
      <c r="C28" s="6">
        <v>398744.89219034184</v>
      </c>
      <c r="D28" s="6">
        <v>278931.44282580726</v>
      </c>
      <c r="E28" s="6">
        <v>2029483.6270388984</v>
      </c>
      <c r="F28" s="6">
        <v>8280</v>
      </c>
      <c r="G28" s="6"/>
      <c r="H28" s="6"/>
      <c r="I28" s="6"/>
      <c r="J28" s="6"/>
      <c r="N28" s="19">
        <f t="shared" si="1"/>
        <v>2715439.9620550475</v>
      </c>
      <c r="Q28" s="6">
        <v>108.97066472616197</v>
      </c>
      <c r="R28" s="6">
        <v>-1190.324989128012</v>
      </c>
      <c r="S28" s="6"/>
      <c r="T28" s="6"/>
      <c r="U28" s="6"/>
      <c r="V28" s="6">
        <v>1081.3543244018499</v>
      </c>
    </row>
    <row r="29" spans="1:22">
      <c r="C29" s="6"/>
      <c r="D29" s="6"/>
      <c r="E29" s="6"/>
      <c r="F29" s="6"/>
      <c r="G29" s="6"/>
      <c r="H29" s="6"/>
      <c r="I29" s="6"/>
      <c r="J29" s="6"/>
      <c r="N29" s="19"/>
      <c r="Q29" s="6"/>
      <c r="R29" s="6"/>
      <c r="S29" s="6"/>
      <c r="T29" s="6"/>
      <c r="U29" s="6"/>
      <c r="V29" s="6"/>
    </row>
    <row r="30" spans="1:22">
      <c r="A30">
        <v>2013</v>
      </c>
      <c r="B30">
        <v>2013</v>
      </c>
      <c r="C30" s="6">
        <v>884625.15525280579</v>
      </c>
      <c r="D30" s="6">
        <v>546367.50507286505</v>
      </c>
      <c r="E30" s="6">
        <v>1369768.5272863992</v>
      </c>
      <c r="F30" s="6">
        <v>287265.0686352888</v>
      </c>
      <c r="G30" s="6">
        <v>0</v>
      </c>
      <c r="H30" s="6">
        <v>0</v>
      </c>
      <c r="I30" s="6">
        <v>0</v>
      </c>
      <c r="J30" s="6">
        <v>0</v>
      </c>
      <c r="N30" s="19">
        <f t="shared" si="1"/>
        <v>3088026.2562473584</v>
      </c>
      <c r="Q30" s="6">
        <v>3563.6565234886029</v>
      </c>
      <c r="R30" s="6">
        <v>-30397.471320159762</v>
      </c>
      <c r="S30" s="6"/>
      <c r="T30" s="6"/>
      <c r="U30" s="6"/>
      <c r="V30" s="6">
        <v>26833.814796671169</v>
      </c>
    </row>
    <row r="31" spans="1:22">
      <c r="A31">
        <v>2013</v>
      </c>
      <c r="B31">
        <v>2014</v>
      </c>
      <c r="C31" s="6">
        <v>880454.28002392384</v>
      </c>
      <c r="D31" s="6">
        <v>544416.12597118388</v>
      </c>
      <c r="E31" s="6">
        <v>1296396.0169756701</v>
      </c>
      <c r="F31" s="6">
        <v>285156.68201967923</v>
      </c>
      <c r="G31" s="6">
        <v>0</v>
      </c>
      <c r="H31" s="6">
        <v>0</v>
      </c>
      <c r="I31" s="6">
        <v>0</v>
      </c>
      <c r="J31" s="6">
        <v>0</v>
      </c>
      <c r="N31" s="19">
        <f t="shared" si="1"/>
        <v>3006423.1049904572</v>
      </c>
      <c r="Q31" s="6">
        <v>3537.5010088190056</v>
      </c>
      <c r="R31" s="6">
        <v>-30174.368587954028</v>
      </c>
      <c r="S31" s="6"/>
      <c r="T31" s="6"/>
      <c r="U31" s="6"/>
      <c r="V31" s="6">
        <v>26636.867579135032</v>
      </c>
    </row>
    <row r="32" spans="1:22">
      <c r="A32">
        <v>2013</v>
      </c>
      <c r="B32">
        <v>2015</v>
      </c>
      <c r="C32" s="6">
        <v>871461.87745389785</v>
      </c>
      <c r="D32" s="6">
        <v>530844.81405612477</v>
      </c>
      <c r="E32" s="6">
        <v>1268273.8716256912</v>
      </c>
      <c r="F32" s="6">
        <v>283073.560141903</v>
      </c>
      <c r="G32" s="6">
        <v>0</v>
      </c>
      <c r="H32" s="6">
        <v>0</v>
      </c>
      <c r="I32" s="6">
        <v>0</v>
      </c>
      <c r="J32" s="6">
        <v>0</v>
      </c>
      <c r="N32" s="19">
        <f t="shared" si="1"/>
        <v>2953654.1232776167</v>
      </c>
      <c r="Q32" s="6">
        <v>3511.6589149500019</v>
      </c>
      <c r="R32" s="6">
        <v>-29953.939289547081</v>
      </c>
      <c r="S32" s="6"/>
      <c r="T32" s="6"/>
      <c r="U32" s="6"/>
      <c r="V32" s="6">
        <v>26442.280374597089</v>
      </c>
    </row>
    <row r="33" spans="1:22">
      <c r="A33">
        <v>2013</v>
      </c>
      <c r="B33">
        <v>2016</v>
      </c>
      <c r="C33" s="6">
        <v>814525.14966598863</v>
      </c>
      <c r="D33" s="6">
        <v>479429.86169166234</v>
      </c>
      <c r="E33" s="6">
        <v>1267327.2138198465</v>
      </c>
      <c r="F33" s="6">
        <v>283003.4373414701</v>
      </c>
      <c r="G33" s="6">
        <v>0</v>
      </c>
      <c r="H33" s="6">
        <v>0</v>
      </c>
      <c r="I33" s="6">
        <v>0</v>
      </c>
      <c r="J33" s="6">
        <v>0</v>
      </c>
      <c r="N33" s="19">
        <f t="shared" si="1"/>
        <v>2844285.6625189679</v>
      </c>
      <c r="Q33" s="6">
        <v>3510.7890090599635</v>
      </c>
      <c r="R33" s="6">
        <v>-29946.519118952812</v>
      </c>
      <c r="S33" s="6"/>
      <c r="T33" s="6"/>
      <c r="U33" s="6"/>
      <c r="V33" s="6">
        <v>26435.730109892858</v>
      </c>
    </row>
    <row r="34" spans="1:22">
      <c r="A34">
        <v>2013</v>
      </c>
      <c r="B34">
        <v>2017</v>
      </c>
      <c r="C34" s="6">
        <v>734405.06172701274</v>
      </c>
      <c r="D34" s="6">
        <v>225319.0631389078</v>
      </c>
      <c r="E34" s="6">
        <v>1158614.9037317431</v>
      </c>
      <c r="F34" s="6">
        <v>84610.388171980958</v>
      </c>
      <c r="G34" s="6">
        <v>0</v>
      </c>
      <c r="H34" s="6">
        <v>0</v>
      </c>
      <c r="I34" s="6">
        <v>0</v>
      </c>
      <c r="J34" s="6">
        <v>0</v>
      </c>
      <c r="N34" s="19">
        <f t="shared" si="1"/>
        <v>2202949.4167696447</v>
      </c>
      <c r="Q34" s="6">
        <v>1049.6311410100304</v>
      </c>
      <c r="R34" s="6">
        <v>-8953.2008192430403</v>
      </c>
      <c r="S34" s="6"/>
      <c r="T34" s="6"/>
      <c r="U34" s="6"/>
      <c r="V34" s="6">
        <v>7903.5696782330133</v>
      </c>
    </row>
    <row r="35" spans="1:22">
      <c r="A35">
        <v>2013</v>
      </c>
      <c r="B35">
        <v>2018</v>
      </c>
      <c r="C35" s="6">
        <v>663357.95963366493</v>
      </c>
      <c r="D35" s="6">
        <v>224606.725595125</v>
      </c>
      <c r="E35" s="6">
        <v>1148224.6009379458</v>
      </c>
      <c r="F35" s="6">
        <v>83840.736113181149</v>
      </c>
      <c r="G35" s="6">
        <v>0</v>
      </c>
      <c r="H35" s="6">
        <v>0</v>
      </c>
      <c r="I35" s="6">
        <v>0</v>
      </c>
      <c r="J35" s="6">
        <v>0</v>
      </c>
      <c r="N35" s="19">
        <f t="shared" si="1"/>
        <v>2120030.0222799168</v>
      </c>
      <c r="Q35" s="6">
        <v>1040.0832499518224</v>
      </c>
      <c r="R35" s="6">
        <v>-8871.7586985737435</v>
      </c>
      <c r="S35" s="6"/>
      <c r="T35" s="6"/>
      <c r="U35" s="6"/>
      <c r="V35" s="6">
        <v>7831.6754486219234</v>
      </c>
    </row>
    <row r="36" spans="1:22">
      <c r="A36">
        <v>2013</v>
      </c>
      <c r="B36">
        <v>2019</v>
      </c>
      <c r="C36" s="6">
        <v>658306.93828661891</v>
      </c>
      <c r="D36" s="6">
        <v>224606.725595125</v>
      </c>
      <c r="E36" s="6">
        <v>1148224.6009379458</v>
      </c>
      <c r="F36" s="6">
        <v>83840.736113181149</v>
      </c>
      <c r="G36" s="6">
        <v>0</v>
      </c>
      <c r="H36" s="6">
        <v>0</v>
      </c>
      <c r="I36" s="6">
        <v>0</v>
      </c>
      <c r="J36" s="6">
        <v>0</v>
      </c>
      <c r="N36" s="19">
        <f t="shared" si="1"/>
        <v>2114979.0009328709</v>
      </c>
      <c r="Q36" s="6">
        <v>1040.0832499518224</v>
      </c>
      <c r="R36" s="6">
        <v>-8871.7586985737435</v>
      </c>
      <c r="S36" s="6"/>
      <c r="T36" s="6"/>
      <c r="U36" s="6"/>
      <c r="V36" s="6">
        <v>7831.6754486219234</v>
      </c>
    </row>
    <row r="37" spans="1:22">
      <c r="A37">
        <v>2013</v>
      </c>
      <c r="B37">
        <v>2020</v>
      </c>
      <c r="C37" s="6">
        <v>656480.27812100493</v>
      </c>
      <c r="D37" s="6">
        <v>224488.61670964182</v>
      </c>
      <c r="E37" s="6">
        <v>1146501.8402979667</v>
      </c>
      <c r="F37" s="6">
        <v>83713.124213923438</v>
      </c>
      <c r="G37" s="6">
        <v>0</v>
      </c>
      <c r="H37" s="6">
        <v>0</v>
      </c>
      <c r="I37" s="6">
        <v>0</v>
      </c>
      <c r="J37" s="6">
        <v>0</v>
      </c>
      <c r="N37" s="19">
        <f t="shared" si="1"/>
        <v>2111183.8593425369</v>
      </c>
      <c r="Q37" s="6">
        <v>1038.5001651046985</v>
      </c>
      <c r="R37" s="6">
        <v>-8858.2552153057441</v>
      </c>
      <c r="S37" s="6"/>
      <c r="T37" s="6"/>
      <c r="U37" s="6"/>
      <c r="V37" s="6">
        <v>7819.7550502010481</v>
      </c>
    </row>
    <row r="38" spans="1:22">
      <c r="A38">
        <v>2013</v>
      </c>
      <c r="B38">
        <v>2021</v>
      </c>
      <c r="C38" s="6">
        <v>503556.411074679</v>
      </c>
      <c r="D38" s="6">
        <v>224230.97262976482</v>
      </c>
      <c r="E38" s="6">
        <v>1142743.790443209</v>
      </c>
      <c r="F38" s="6">
        <v>83434.750150608059</v>
      </c>
      <c r="G38" s="6">
        <v>0</v>
      </c>
      <c r="H38" s="6">
        <v>0</v>
      </c>
      <c r="I38" s="6">
        <v>0</v>
      </c>
      <c r="J38" s="6">
        <v>0</v>
      </c>
      <c r="N38" s="19">
        <f t="shared" si="1"/>
        <v>1953965.9242982611</v>
      </c>
      <c r="Q38" s="6">
        <v>1035.0468056293655</v>
      </c>
      <c r="R38" s="6">
        <v>-8828.7985617484374</v>
      </c>
      <c r="S38" s="6"/>
      <c r="T38" s="6"/>
      <c r="U38" s="6"/>
      <c r="V38" s="6">
        <v>7793.7517561190753</v>
      </c>
    </row>
    <row r="39" spans="1:22">
      <c r="A39">
        <v>2013</v>
      </c>
      <c r="B39">
        <v>2022</v>
      </c>
      <c r="C39" s="6">
        <v>500329.84493545798</v>
      </c>
      <c r="D39" s="6">
        <v>220895.98651176688</v>
      </c>
      <c r="E39" s="6">
        <v>1094098.9929289636</v>
      </c>
      <c r="F39" s="6">
        <v>79831.431816219498</v>
      </c>
      <c r="G39" s="6">
        <v>0</v>
      </c>
      <c r="H39" s="6">
        <v>0</v>
      </c>
      <c r="I39" s="6">
        <v>0</v>
      </c>
      <c r="J39" s="6">
        <v>0</v>
      </c>
      <c r="N39" s="19">
        <f t="shared" ref="N39:N40" si="2">SUM(C39:J39)</f>
        <v>1895156.256192408</v>
      </c>
      <c r="Q39" s="6">
        <v>990.34596904817715</v>
      </c>
      <c r="R39" s="6">
        <v>-8447.50693361093</v>
      </c>
      <c r="S39" s="6"/>
      <c r="T39" s="6"/>
      <c r="U39" s="6"/>
      <c r="V39" s="6">
        <v>7457.160964562755</v>
      </c>
    </row>
    <row r="40" spans="1:22">
      <c r="A40">
        <v>2013</v>
      </c>
      <c r="B40">
        <v>2023</v>
      </c>
      <c r="C40" s="6">
        <v>479115.39115604304</v>
      </c>
      <c r="D40" s="6">
        <v>206070.63079510134</v>
      </c>
      <c r="E40" s="6">
        <v>991431.15496237692</v>
      </c>
      <c r="F40" s="6">
        <v>72969.166781805689</v>
      </c>
      <c r="G40" s="6">
        <v>0</v>
      </c>
      <c r="H40" s="6">
        <v>0</v>
      </c>
      <c r="I40" s="6">
        <v>0</v>
      </c>
      <c r="J40" s="6">
        <v>0</v>
      </c>
      <c r="N40" s="19">
        <f t="shared" si="2"/>
        <v>1749586.3436953269</v>
      </c>
      <c r="Q40" s="6">
        <v>905.21638586573954</v>
      </c>
      <c r="R40" s="6">
        <v>-7721.3639829002705</v>
      </c>
      <c r="S40" s="6"/>
      <c r="T40" s="6"/>
      <c r="U40" s="6"/>
      <c r="V40" s="6">
        <v>6816.1475970345336</v>
      </c>
    </row>
    <row r="41" spans="1:22">
      <c r="C41" s="6"/>
      <c r="D41" s="6"/>
      <c r="E41" s="6"/>
      <c r="F41" s="6"/>
      <c r="G41" s="6"/>
      <c r="H41" s="6"/>
      <c r="I41" s="6"/>
      <c r="J41" s="6"/>
      <c r="N41" s="19"/>
      <c r="Q41" s="6"/>
      <c r="R41" s="6"/>
      <c r="S41" s="6"/>
      <c r="T41" s="6"/>
      <c r="U41" s="6"/>
      <c r="V41" s="6"/>
    </row>
    <row r="42" spans="1:22">
      <c r="A42">
        <v>2014</v>
      </c>
      <c r="B42">
        <v>2014</v>
      </c>
      <c r="C42" s="6">
        <v>1554608.1745012212</v>
      </c>
      <c r="D42" s="6">
        <v>832302.86904000002</v>
      </c>
      <c r="E42" s="6">
        <v>1735270.9452899999</v>
      </c>
      <c r="F42" s="6">
        <v>588755.58854000003</v>
      </c>
      <c r="G42" s="6">
        <v>0</v>
      </c>
      <c r="H42" s="6">
        <v>0</v>
      </c>
      <c r="I42" s="6">
        <v>0</v>
      </c>
      <c r="J42" s="6">
        <v>149961.68663000001</v>
      </c>
      <c r="N42" s="19">
        <f>SUM(C42:J42)</f>
        <v>4860899.2640012214</v>
      </c>
      <c r="Q42" s="6">
        <v>7273.3147812641855</v>
      </c>
      <c r="R42" s="6">
        <v>-72684.15050362474</v>
      </c>
      <c r="S42" s="6"/>
      <c r="T42" s="6"/>
      <c r="U42" s="6"/>
      <c r="V42" s="6">
        <v>65410.835722360556</v>
      </c>
    </row>
    <row r="43" spans="1:22">
      <c r="A43">
        <v>2014</v>
      </c>
      <c r="B43">
        <v>2015</v>
      </c>
      <c r="C43" s="6">
        <v>1436113.191661221</v>
      </c>
      <c r="D43" s="6">
        <v>811181.3541</v>
      </c>
      <c r="E43" s="6">
        <v>1734380.3956500003</v>
      </c>
      <c r="F43" s="6">
        <v>588689.62190000003</v>
      </c>
      <c r="G43" s="6">
        <v>0</v>
      </c>
      <c r="H43" s="6">
        <v>0</v>
      </c>
      <c r="I43" s="6">
        <v>0</v>
      </c>
      <c r="J43" s="6">
        <v>149884.72555000003</v>
      </c>
      <c r="N43" s="19">
        <f t="shared" si="1"/>
        <v>4720249.2888612207</v>
      </c>
      <c r="Q43" s="6">
        <v>7272.4998486382856</v>
      </c>
      <c r="R43" s="6">
        <v>-72676.006667229289</v>
      </c>
      <c r="S43" s="6"/>
      <c r="T43" s="6"/>
      <c r="U43" s="6"/>
      <c r="V43" s="6">
        <v>65403.506818591006</v>
      </c>
    </row>
    <row r="44" spans="1:22">
      <c r="A44">
        <v>2014</v>
      </c>
      <c r="B44">
        <v>2016</v>
      </c>
      <c r="C44" s="6">
        <v>1370612.3966412211</v>
      </c>
      <c r="D44" s="6">
        <v>748573.78879999998</v>
      </c>
      <c r="E44" s="6">
        <v>1734380.3956500003</v>
      </c>
      <c r="F44" s="6">
        <v>588689.62190000003</v>
      </c>
      <c r="G44" s="6">
        <v>0</v>
      </c>
      <c r="H44" s="6">
        <v>0</v>
      </c>
      <c r="I44" s="6">
        <v>0</v>
      </c>
      <c r="J44" s="6">
        <v>149884.72555000003</v>
      </c>
      <c r="N44" s="19">
        <f t="shared" si="1"/>
        <v>4592140.9285412207</v>
      </c>
      <c r="Q44" s="6">
        <v>7272.4998486382856</v>
      </c>
      <c r="R44" s="6">
        <v>-72676.006667229289</v>
      </c>
      <c r="S44" s="6"/>
      <c r="T44" s="6"/>
      <c r="U44" s="6"/>
      <c r="V44" s="6">
        <v>65403.506818591006</v>
      </c>
    </row>
    <row r="45" spans="1:22">
      <c r="A45">
        <v>2014</v>
      </c>
      <c r="B45">
        <v>2017</v>
      </c>
      <c r="C45" s="6">
        <v>1368511.5265514213</v>
      </c>
      <c r="D45" s="6">
        <v>575323.81782</v>
      </c>
      <c r="E45" s="6">
        <v>1716184.1887200002</v>
      </c>
      <c r="F45" s="6">
        <v>587341.75471999997</v>
      </c>
      <c r="G45" s="6">
        <v>0</v>
      </c>
      <c r="H45" s="6">
        <v>0</v>
      </c>
      <c r="I45" s="6">
        <v>0</v>
      </c>
      <c r="J45" s="6">
        <v>148312.21384000001</v>
      </c>
      <c r="N45" s="19">
        <f t="shared" si="1"/>
        <v>4395673.5016514212</v>
      </c>
      <c r="Q45" s="6">
        <v>7255.848690714186</v>
      </c>
      <c r="R45" s="6">
        <v>-72509.60725994219</v>
      </c>
      <c r="S45" s="6"/>
      <c r="T45" s="6"/>
      <c r="U45" s="6"/>
      <c r="V45" s="6">
        <v>65253.758569228004</v>
      </c>
    </row>
    <row r="46" spans="1:22">
      <c r="A46">
        <v>2014</v>
      </c>
      <c r="B46">
        <v>2018</v>
      </c>
      <c r="C46" s="6">
        <v>1293775.6614372956</v>
      </c>
      <c r="D46" s="6">
        <v>575323.81782</v>
      </c>
      <c r="E46" s="6">
        <v>1716184.1887200002</v>
      </c>
      <c r="F46" s="6">
        <v>587341.75471999997</v>
      </c>
      <c r="G46" s="6">
        <v>0</v>
      </c>
      <c r="H46" s="6">
        <v>0</v>
      </c>
      <c r="I46" s="6">
        <v>0</v>
      </c>
      <c r="J46" s="6">
        <v>148312.21384000001</v>
      </c>
      <c r="N46" s="19">
        <f t="shared" si="1"/>
        <v>4320937.6365372958</v>
      </c>
      <c r="Q46" s="6">
        <v>7255.848690714186</v>
      </c>
      <c r="R46" s="6">
        <v>-72509.60725994219</v>
      </c>
      <c r="S46" s="6"/>
      <c r="T46" s="6"/>
      <c r="U46" s="6"/>
      <c r="V46" s="6">
        <v>65253.758569228004</v>
      </c>
    </row>
    <row r="47" spans="1:22">
      <c r="A47">
        <v>2014</v>
      </c>
      <c r="B47">
        <v>2019</v>
      </c>
      <c r="C47" s="6">
        <v>1243948.24596</v>
      </c>
      <c r="D47" s="6">
        <v>575323.81782</v>
      </c>
      <c r="E47" s="6">
        <v>1716184.1887200002</v>
      </c>
      <c r="F47" s="6">
        <v>587341.75471999997</v>
      </c>
      <c r="G47" s="6">
        <v>0</v>
      </c>
      <c r="H47" s="6">
        <v>0</v>
      </c>
      <c r="I47" s="6">
        <v>0</v>
      </c>
      <c r="J47" s="6">
        <v>148312.21384000001</v>
      </c>
      <c r="N47" s="19">
        <f t="shared" si="1"/>
        <v>4271110.2210600004</v>
      </c>
      <c r="Q47" s="6">
        <v>7255.848690714186</v>
      </c>
      <c r="R47" s="6">
        <v>-72509.60725994219</v>
      </c>
      <c r="S47" s="6"/>
      <c r="T47" s="6"/>
      <c r="U47" s="6"/>
      <c r="V47" s="6">
        <v>65253.758569228004</v>
      </c>
    </row>
    <row r="48" spans="1:22">
      <c r="A48">
        <v>2014</v>
      </c>
      <c r="B48">
        <v>2020</v>
      </c>
      <c r="C48" s="6">
        <v>1241762.7769499999</v>
      </c>
      <c r="D48" s="6">
        <v>573815.07527999999</v>
      </c>
      <c r="E48" s="6">
        <v>1695816.1644300001</v>
      </c>
      <c r="F48" s="6">
        <v>585833.01217999996</v>
      </c>
      <c r="G48" s="6">
        <v>0</v>
      </c>
      <c r="H48" s="6">
        <v>0</v>
      </c>
      <c r="I48" s="6">
        <v>0</v>
      </c>
      <c r="J48" s="6">
        <v>146552.01421000002</v>
      </c>
      <c r="N48" s="19">
        <f t="shared" si="1"/>
        <v>4243779.0430500004</v>
      </c>
      <c r="Q48" s="6">
        <v>7237.2101255253338</v>
      </c>
      <c r="R48" s="6">
        <v>-72323.3471683471</v>
      </c>
      <c r="S48" s="6"/>
      <c r="T48" s="6"/>
      <c r="U48" s="6"/>
      <c r="V48" s="6">
        <v>65086.137042821771</v>
      </c>
    </row>
    <row r="49" spans="1:22">
      <c r="A49">
        <v>2014</v>
      </c>
      <c r="B49">
        <v>2021</v>
      </c>
      <c r="C49" s="6">
        <v>1240232.1830199999</v>
      </c>
      <c r="D49" s="6">
        <v>573672.55088</v>
      </c>
      <c r="E49" s="6">
        <v>1695816.1644300001</v>
      </c>
      <c r="F49" s="6">
        <v>585833.01217999996</v>
      </c>
      <c r="G49" s="6">
        <v>0</v>
      </c>
      <c r="H49" s="6">
        <v>0</v>
      </c>
      <c r="I49" s="6">
        <v>0</v>
      </c>
      <c r="J49" s="6">
        <v>146552.01421000002</v>
      </c>
      <c r="N49" s="19">
        <f t="shared" si="1"/>
        <v>4242105.9247200005</v>
      </c>
      <c r="Q49" s="6">
        <v>7237.2101255253338</v>
      </c>
      <c r="R49" s="6">
        <v>-72323.3471683471</v>
      </c>
      <c r="S49" s="6"/>
      <c r="T49" s="6"/>
      <c r="U49" s="6"/>
      <c r="V49" s="6">
        <v>65086.137042821771</v>
      </c>
    </row>
    <row r="50" spans="1:22">
      <c r="A50">
        <v>2014</v>
      </c>
      <c r="B50">
        <v>2022</v>
      </c>
      <c r="C50" s="6">
        <v>1204201.93037</v>
      </c>
      <c r="D50" s="6">
        <v>561612.69626</v>
      </c>
      <c r="E50" s="6">
        <v>1533008.1270600001</v>
      </c>
      <c r="F50" s="6">
        <v>573773.15755999996</v>
      </c>
      <c r="G50" s="6">
        <v>0</v>
      </c>
      <c r="H50" s="6">
        <v>0</v>
      </c>
      <c r="I50" s="6">
        <v>0</v>
      </c>
      <c r="J50" s="6">
        <v>132482.18382000001</v>
      </c>
      <c r="N50" s="19">
        <f t="shared" ref="N50:N51" si="3">SUM(C50:J50)</f>
        <v>4005078.0950699998</v>
      </c>
      <c r="Q50" s="6">
        <v>7088.2261998099793</v>
      </c>
      <c r="R50" s="6">
        <v>-70834.511554190787</v>
      </c>
      <c r="S50" s="6"/>
      <c r="T50" s="6"/>
      <c r="U50" s="6"/>
      <c r="V50" s="6">
        <v>63746.285354380809</v>
      </c>
    </row>
    <row r="51" spans="1:22">
      <c r="A51">
        <v>2014</v>
      </c>
      <c r="B51">
        <v>2023</v>
      </c>
      <c r="C51" s="6">
        <v>1135142.86347</v>
      </c>
      <c r="D51" s="6">
        <v>551903.87587999995</v>
      </c>
      <c r="E51" s="6">
        <v>1401939.0519300001</v>
      </c>
      <c r="F51" s="6">
        <v>564064.33718000003</v>
      </c>
      <c r="G51" s="6">
        <v>0</v>
      </c>
      <c r="H51" s="6">
        <v>0</v>
      </c>
      <c r="I51" s="6">
        <v>0</v>
      </c>
      <c r="J51" s="6">
        <v>121155.22671000002</v>
      </c>
      <c r="N51" s="19">
        <f t="shared" si="3"/>
        <v>3774205.3551700003</v>
      </c>
      <c r="Q51" s="6">
        <v>6968.286265220815</v>
      </c>
      <c r="R51" s="6">
        <v>-69635.920193958402</v>
      </c>
      <c r="S51" s="6"/>
      <c r="T51" s="6"/>
      <c r="U51" s="6"/>
      <c r="V51" s="6">
        <v>62667.633928737596</v>
      </c>
    </row>
    <row r="52" spans="1:22">
      <c r="C52" s="6"/>
      <c r="D52" s="6"/>
      <c r="E52" s="6"/>
      <c r="F52" s="6"/>
      <c r="G52" s="6"/>
      <c r="H52" s="6"/>
      <c r="I52" s="6"/>
      <c r="J52" s="6"/>
      <c r="N52" s="19"/>
      <c r="Q52" s="6"/>
      <c r="R52" s="6"/>
      <c r="S52" s="6"/>
      <c r="T52" s="6"/>
      <c r="U52" s="6"/>
      <c r="V52" s="6"/>
    </row>
    <row r="53" spans="1:22">
      <c r="A53">
        <v>2015</v>
      </c>
      <c r="B53">
        <v>2015</v>
      </c>
      <c r="C53" s="6">
        <v>1477073</v>
      </c>
      <c r="D53" s="6">
        <v>877342.19000000006</v>
      </c>
      <c r="E53" s="6">
        <v>5434569.29</v>
      </c>
      <c r="F53" s="6">
        <v>408679.52</v>
      </c>
      <c r="G53" s="6">
        <v>0</v>
      </c>
      <c r="H53" s="6">
        <v>0</v>
      </c>
      <c r="I53" s="6">
        <v>0</v>
      </c>
      <c r="J53" s="6">
        <v>0</v>
      </c>
      <c r="N53" s="19">
        <f t="shared" si="1"/>
        <v>8197664</v>
      </c>
      <c r="Q53" s="6">
        <v>5005.3332298609248</v>
      </c>
      <c r="R53" s="6">
        <v>-59396.43235511535</v>
      </c>
      <c r="S53" s="6"/>
      <c r="T53" s="6"/>
      <c r="U53" s="6"/>
      <c r="V53" s="6">
        <v>54391.099125254426</v>
      </c>
    </row>
    <row r="54" spans="1:22">
      <c r="A54">
        <v>2015</v>
      </c>
      <c r="B54">
        <v>2016</v>
      </c>
      <c r="C54" s="6">
        <v>1458640</v>
      </c>
      <c r="D54" s="6">
        <v>877342.19000000006</v>
      </c>
      <c r="E54" s="6">
        <v>5434569.29</v>
      </c>
      <c r="F54" s="6">
        <v>408679.52</v>
      </c>
      <c r="G54" s="6">
        <v>0</v>
      </c>
      <c r="H54" s="6">
        <v>0</v>
      </c>
      <c r="I54" s="6">
        <v>0</v>
      </c>
      <c r="J54" s="6">
        <v>0</v>
      </c>
      <c r="N54" s="19">
        <f t="shared" si="1"/>
        <v>8179231</v>
      </c>
      <c r="Q54" s="6">
        <v>5005.3332298609248</v>
      </c>
      <c r="R54" s="6">
        <v>-59396.43235511535</v>
      </c>
      <c r="S54" s="6"/>
      <c r="T54" s="6"/>
      <c r="U54" s="6"/>
      <c r="V54" s="6">
        <v>54391.099125254426</v>
      </c>
    </row>
    <row r="55" spans="1:22">
      <c r="A55">
        <v>2015</v>
      </c>
      <c r="B55">
        <v>2017</v>
      </c>
      <c r="C55" s="6">
        <v>1457951</v>
      </c>
      <c r="D55" s="6">
        <v>877342.32000000007</v>
      </c>
      <c r="E55" s="6">
        <v>5434570.1200000001</v>
      </c>
      <c r="F55" s="6">
        <v>408679.56</v>
      </c>
      <c r="G55" s="6">
        <v>0</v>
      </c>
      <c r="H55" s="6">
        <v>0</v>
      </c>
      <c r="I55" s="6">
        <v>0</v>
      </c>
      <c r="J55" s="6">
        <v>0</v>
      </c>
      <c r="N55" s="19">
        <f t="shared" si="1"/>
        <v>8178543</v>
      </c>
      <c r="Q55" s="6">
        <v>5005.3337197639403</v>
      </c>
      <c r="R55" s="6">
        <v>-59396.438168612665</v>
      </c>
      <c r="S55" s="6"/>
      <c r="T55" s="6"/>
      <c r="U55" s="6"/>
      <c r="V55" s="6">
        <v>54391.104448848731</v>
      </c>
    </row>
    <row r="56" spans="1:22">
      <c r="A56">
        <v>2015</v>
      </c>
      <c r="B56">
        <v>2018</v>
      </c>
      <c r="C56" s="6">
        <v>1456426</v>
      </c>
      <c r="D56" s="6">
        <v>889021.27</v>
      </c>
      <c r="E56" s="6">
        <v>5435163.5700000003</v>
      </c>
      <c r="F56" s="6">
        <v>408708.16000000003</v>
      </c>
      <c r="G56" s="6">
        <v>0</v>
      </c>
      <c r="H56" s="6">
        <v>0</v>
      </c>
      <c r="I56" s="6">
        <v>0</v>
      </c>
      <c r="J56" s="6">
        <v>0</v>
      </c>
      <c r="N56" s="19">
        <f t="shared" si="1"/>
        <v>8189319</v>
      </c>
      <c r="Q56" s="6">
        <v>5005.6840004199767</v>
      </c>
      <c r="R56" s="6">
        <v>-59400.594819196383</v>
      </c>
      <c r="S56" s="6"/>
      <c r="T56" s="6"/>
      <c r="U56" s="6"/>
      <c r="V56" s="6">
        <v>54394.910818776407</v>
      </c>
    </row>
    <row r="57" spans="1:22">
      <c r="A57">
        <v>2015</v>
      </c>
      <c r="B57">
        <v>2019</v>
      </c>
      <c r="C57" s="6">
        <v>1425687</v>
      </c>
      <c r="D57" s="6">
        <v>889021.27</v>
      </c>
      <c r="E57" s="6">
        <v>5435163.5700000003</v>
      </c>
      <c r="F57" s="6">
        <v>408708.16000000003</v>
      </c>
      <c r="G57" s="6">
        <v>0</v>
      </c>
      <c r="H57" s="6">
        <v>0</v>
      </c>
      <c r="I57" s="6">
        <v>0</v>
      </c>
      <c r="J57" s="6">
        <v>0</v>
      </c>
      <c r="N57" s="19">
        <f t="shared" si="1"/>
        <v>8158580</v>
      </c>
      <c r="Q57" s="6">
        <v>5005.6840004199767</v>
      </c>
      <c r="R57" s="6">
        <v>-59400.594819196383</v>
      </c>
      <c r="S57" s="6"/>
      <c r="T57" s="6"/>
      <c r="U57" s="6"/>
      <c r="V57" s="6">
        <v>54394.910818776407</v>
      </c>
    </row>
    <row r="58" spans="1:22">
      <c r="A58">
        <v>2015</v>
      </c>
      <c r="B58">
        <v>2020</v>
      </c>
      <c r="C58" s="6">
        <v>1395164</v>
      </c>
      <c r="D58" s="6">
        <v>889021.27</v>
      </c>
      <c r="E58" s="6">
        <v>5435163.5700000003</v>
      </c>
      <c r="F58" s="6">
        <v>408708.16000000003</v>
      </c>
      <c r="G58" s="6">
        <v>0</v>
      </c>
      <c r="H58" s="6">
        <v>0</v>
      </c>
      <c r="I58" s="6">
        <v>0</v>
      </c>
      <c r="J58" s="6">
        <v>0</v>
      </c>
      <c r="N58" s="19">
        <f t="shared" si="1"/>
        <v>8128057</v>
      </c>
      <c r="Q58" s="6">
        <v>5005.6840004199767</v>
      </c>
      <c r="R58" s="6">
        <v>-59400.594819196383</v>
      </c>
      <c r="S58" s="6"/>
      <c r="T58" s="6"/>
      <c r="U58" s="6"/>
      <c r="V58" s="6">
        <v>54394.910818776407</v>
      </c>
    </row>
    <row r="59" spans="1:22">
      <c r="A59">
        <v>2015</v>
      </c>
      <c r="B59">
        <v>2021</v>
      </c>
      <c r="C59" s="6">
        <v>1395164</v>
      </c>
      <c r="D59" s="6">
        <v>889021.27000000014</v>
      </c>
      <c r="E59" s="6">
        <v>5435163.5699999994</v>
      </c>
      <c r="F59" s="6">
        <v>408708.16000000003</v>
      </c>
      <c r="G59" s="6">
        <v>0</v>
      </c>
      <c r="H59" s="6">
        <v>0</v>
      </c>
      <c r="I59" s="6">
        <v>0</v>
      </c>
      <c r="J59" s="6"/>
      <c r="N59" s="19">
        <f t="shared" si="1"/>
        <v>8128057</v>
      </c>
      <c r="Q59" s="6">
        <v>5005.6840004199767</v>
      </c>
      <c r="R59" s="6">
        <v>-59400.594819196383</v>
      </c>
      <c r="S59" s="6"/>
      <c r="T59" s="6"/>
      <c r="U59" s="6"/>
      <c r="V59" s="6">
        <v>54394.910818776407</v>
      </c>
    </row>
    <row r="60" spans="1:22">
      <c r="A60">
        <v>2015</v>
      </c>
      <c r="B60">
        <v>2022</v>
      </c>
      <c r="C60" s="6">
        <v>1394151</v>
      </c>
      <c r="D60" s="6">
        <v>889021.27000000014</v>
      </c>
      <c r="E60" s="6">
        <v>5435163.5699999994</v>
      </c>
      <c r="F60" s="6">
        <v>408708.16000000003</v>
      </c>
      <c r="G60" s="6"/>
      <c r="H60" s="6"/>
      <c r="I60" s="6"/>
      <c r="J60" s="6"/>
      <c r="N60" s="19">
        <f t="shared" ref="N60:N61" si="4">SUM(C60:J60)</f>
        <v>8127044</v>
      </c>
      <c r="Q60" s="6">
        <v>5005.6840004199767</v>
      </c>
      <c r="R60" s="6">
        <v>-59400.594819196383</v>
      </c>
      <c r="S60" s="6"/>
      <c r="T60" s="6"/>
      <c r="U60" s="6"/>
      <c r="V60" s="6">
        <v>54394.910818776407</v>
      </c>
    </row>
    <row r="61" spans="1:22">
      <c r="A61">
        <v>2015</v>
      </c>
      <c r="B61">
        <v>2023</v>
      </c>
      <c r="C61" s="6">
        <v>1387721</v>
      </c>
      <c r="D61" s="6">
        <v>888995.14</v>
      </c>
      <c r="E61" s="6">
        <v>5434996.7399999993</v>
      </c>
      <c r="F61" s="6">
        <v>406608.12</v>
      </c>
      <c r="G61" s="6"/>
      <c r="H61" s="6"/>
      <c r="I61" s="6"/>
      <c r="J61" s="6"/>
      <c r="N61" s="19">
        <f t="shared" si="4"/>
        <v>8118320.9999999991</v>
      </c>
      <c r="Q61" s="6">
        <v>4979.9636022066343</v>
      </c>
      <c r="R61" s="6">
        <v>-59095.380396406021</v>
      </c>
      <c r="S61" s="6"/>
      <c r="T61" s="6"/>
      <c r="U61" s="6"/>
      <c r="V61" s="6">
        <v>54115.416794199387</v>
      </c>
    </row>
    <row r="62" spans="1:22">
      <c r="C62" s="6"/>
      <c r="D62" s="6"/>
      <c r="E62" s="6"/>
      <c r="F62" s="6"/>
      <c r="G62" s="6"/>
      <c r="H62" s="6"/>
      <c r="I62" s="6"/>
      <c r="J62" s="6"/>
      <c r="N62" s="19"/>
      <c r="Q62" s="6"/>
      <c r="R62" s="6"/>
      <c r="S62" s="6"/>
      <c r="T62" s="6"/>
      <c r="U62" s="6"/>
      <c r="V62" s="6"/>
    </row>
    <row r="63" spans="1:22">
      <c r="A63">
        <v>2016</v>
      </c>
      <c r="B63">
        <v>2016</v>
      </c>
      <c r="C63" s="6">
        <v>3656441</v>
      </c>
      <c r="D63" s="6">
        <v>505631.46737719723</v>
      </c>
      <c r="E63" s="6">
        <v>4156937.8754438949</v>
      </c>
      <c r="F63" s="6">
        <v>191748.93095087886</v>
      </c>
      <c r="G63" s="6">
        <v>0</v>
      </c>
      <c r="H63" s="6">
        <v>0</v>
      </c>
      <c r="I63" s="6">
        <v>0</v>
      </c>
      <c r="J63" s="6">
        <v>0</v>
      </c>
      <c r="N63" s="19">
        <f t="shared" si="1"/>
        <v>8510759.2737719696</v>
      </c>
      <c r="Q63" s="6">
        <v>2603.6443008627871</v>
      </c>
      <c r="R63" s="6">
        <v>-30585.734261011476</v>
      </c>
      <c r="S63" s="6"/>
      <c r="T63" s="6"/>
      <c r="U63" s="6"/>
      <c r="V63" s="6">
        <v>27982.089960148689</v>
      </c>
    </row>
    <row r="64" spans="1:22">
      <c r="A64">
        <v>2016</v>
      </c>
      <c r="B64">
        <v>2017</v>
      </c>
      <c r="C64" s="6">
        <v>3656441</v>
      </c>
      <c r="D64" s="6">
        <v>505640.99093961838</v>
      </c>
      <c r="E64" s="6">
        <v>4157019.7780807177</v>
      </c>
      <c r="F64" s="6">
        <v>191752.74037584732</v>
      </c>
      <c r="G64" s="6">
        <v>0</v>
      </c>
      <c r="H64" s="6">
        <v>0</v>
      </c>
      <c r="I64" s="6">
        <v>0</v>
      </c>
      <c r="J64" s="6">
        <v>0</v>
      </c>
      <c r="N64" s="19">
        <f t="shared" si="1"/>
        <v>8510854.5093961824</v>
      </c>
      <c r="Q64" s="6">
        <v>2603.6960267710333</v>
      </c>
      <c r="R64" s="6">
        <v>-30586.341899652249</v>
      </c>
      <c r="S64" s="6"/>
      <c r="T64" s="6"/>
      <c r="U64" s="6"/>
      <c r="V64" s="6">
        <v>27982.645872881214</v>
      </c>
    </row>
    <row r="65" spans="1:22">
      <c r="A65">
        <v>2016</v>
      </c>
      <c r="B65">
        <v>2018</v>
      </c>
      <c r="C65" s="6">
        <v>3656441</v>
      </c>
      <c r="D65" s="6">
        <v>528809.88335584314</v>
      </c>
      <c r="E65" s="6">
        <v>4356272.2528602509</v>
      </c>
      <c r="F65" s="6">
        <v>201020.29734233726</v>
      </c>
      <c r="G65" s="6">
        <v>0</v>
      </c>
      <c r="H65" s="6">
        <v>0</v>
      </c>
      <c r="I65" s="6">
        <v>0</v>
      </c>
      <c r="J65" s="6">
        <v>0</v>
      </c>
      <c r="N65" s="19">
        <f t="shared" si="1"/>
        <v>8742543.4335584305</v>
      </c>
      <c r="Q65" s="6">
        <v>2729.5346520977323</v>
      </c>
      <c r="R65" s="6">
        <v>-32064.603255375063</v>
      </c>
      <c r="S65" s="6"/>
      <c r="T65" s="6"/>
      <c r="U65" s="6"/>
      <c r="V65" s="6">
        <v>29335.06860327733</v>
      </c>
    </row>
    <row r="66" spans="1:22">
      <c r="A66">
        <v>2016</v>
      </c>
      <c r="B66">
        <v>2019</v>
      </c>
      <c r="C66" s="6">
        <v>3656441</v>
      </c>
      <c r="D66" s="6">
        <v>528809.88335584314</v>
      </c>
      <c r="E66" s="6">
        <v>4356272.2528602509</v>
      </c>
      <c r="F66" s="6">
        <v>201020.29734233726</v>
      </c>
      <c r="G66" s="6">
        <v>0</v>
      </c>
      <c r="H66" s="6">
        <v>0</v>
      </c>
      <c r="I66" s="6">
        <v>0</v>
      </c>
      <c r="J66" s="6">
        <v>0</v>
      </c>
      <c r="N66" s="19">
        <f t="shared" si="1"/>
        <v>8742543.4335584305</v>
      </c>
      <c r="Q66" s="6">
        <v>2729.5346520977323</v>
      </c>
      <c r="R66" s="6">
        <v>-32064.603255375063</v>
      </c>
      <c r="S66" s="6"/>
      <c r="T66" s="6"/>
      <c r="U66" s="6"/>
      <c r="V66" s="6">
        <v>29335.06860327733</v>
      </c>
    </row>
    <row r="67" spans="1:22">
      <c r="A67">
        <v>2016</v>
      </c>
      <c r="B67">
        <v>2020</v>
      </c>
      <c r="C67" s="6">
        <v>3656441</v>
      </c>
      <c r="D67" s="6">
        <v>528809.88335584314</v>
      </c>
      <c r="E67" s="6">
        <v>4356272.2528602509</v>
      </c>
      <c r="F67" s="6">
        <v>201020.29734233726</v>
      </c>
      <c r="G67" s="6">
        <v>0</v>
      </c>
      <c r="H67" s="6">
        <v>0</v>
      </c>
      <c r="I67" s="6">
        <v>0</v>
      </c>
      <c r="J67" s="6">
        <v>0</v>
      </c>
      <c r="N67" s="19">
        <f t="shared" si="1"/>
        <v>8742543.4335584305</v>
      </c>
      <c r="Q67" s="6">
        <v>2729.5346520977323</v>
      </c>
      <c r="R67" s="6">
        <v>-32064.603255375063</v>
      </c>
      <c r="S67" s="6"/>
      <c r="T67" s="6"/>
      <c r="U67" s="6"/>
      <c r="V67" s="6">
        <v>29335.06860327733</v>
      </c>
    </row>
    <row r="68" spans="1:22">
      <c r="A68">
        <v>2016</v>
      </c>
      <c r="B68">
        <v>2021</v>
      </c>
      <c r="C68" s="6">
        <v>3656326</v>
      </c>
      <c r="D68" s="6">
        <v>518489.26657748071</v>
      </c>
      <c r="E68" s="6">
        <v>4308331.7325663334</v>
      </c>
      <c r="F68" s="6">
        <v>199153.66663099226</v>
      </c>
      <c r="G68" s="6">
        <v>0</v>
      </c>
      <c r="H68" s="6"/>
      <c r="I68" s="6"/>
      <c r="J68" s="6"/>
      <c r="N68" s="19">
        <f t="shared" si="1"/>
        <v>8682300.6657748073</v>
      </c>
      <c r="Q68" s="6">
        <v>2704.1887876420192</v>
      </c>
      <c r="R68" s="6">
        <v>-31766.858331231175</v>
      </c>
      <c r="S68" s="6"/>
      <c r="T68" s="6"/>
      <c r="U68" s="6"/>
      <c r="V68" s="6">
        <v>29062.669543589156</v>
      </c>
    </row>
    <row r="69" spans="1:22">
      <c r="A69">
        <v>2016</v>
      </c>
      <c r="B69">
        <v>2022</v>
      </c>
      <c r="C69" s="6">
        <v>3656326</v>
      </c>
      <c r="D69" s="6">
        <v>500011.78657748073</v>
      </c>
      <c r="E69" s="6">
        <v>4282815.2125663338</v>
      </c>
      <c r="F69" s="6">
        <v>199153.66663099226</v>
      </c>
      <c r="G69" s="6"/>
      <c r="H69" s="6"/>
      <c r="I69" s="6"/>
      <c r="J69" s="6"/>
      <c r="N69" s="19">
        <f t="shared" ref="N69:N70" si="5">SUM(C69:J69)</f>
        <v>8638306.6657748073</v>
      </c>
      <c r="Q69" s="6">
        <v>2704.1887876420192</v>
      </c>
      <c r="R69" s="6">
        <v>-31766.858331231175</v>
      </c>
      <c r="S69" s="6"/>
      <c r="T69" s="6"/>
      <c r="U69" s="6"/>
      <c r="V69" s="6">
        <v>29062.669543589156</v>
      </c>
    </row>
    <row r="70" spans="1:22">
      <c r="A70">
        <v>2016</v>
      </c>
      <c r="B70">
        <v>2023</v>
      </c>
      <c r="C70" s="6">
        <v>3655909</v>
      </c>
      <c r="D70" s="6">
        <v>499819.84657748073</v>
      </c>
      <c r="E70" s="6">
        <v>4282550.1525663342</v>
      </c>
      <c r="F70" s="6">
        <v>199153.66663099226</v>
      </c>
      <c r="G70" s="6"/>
      <c r="H70" s="6"/>
      <c r="I70" s="6"/>
      <c r="J70" s="6"/>
      <c r="N70" s="19">
        <f t="shared" si="5"/>
        <v>8637432.6657748073</v>
      </c>
      <c r="Q70" s="6">
        <v>2704.1887876420192</v>
      </c>
      <c r="R70" s="6">
        <v>-31766.858331231175</v>
      </c>
      <c r="S70" s="6"/>
      <c r="T70" s="6"/>
      <c r="U70" s="6"/>
      <c r="V70" s="6">
        <v>29062.669543589156</v>
      </c>
    </row>
    <row r="71" spans="1:22">
      <c r="C71" s="6"/>
      <c r="D71" s="6"/>
      <c r="E71" s="6"/>
      <c r="F71" s="6"/>
      <c r="G71" s="6"/>
      <c r="H71" s="6"/>
      <c r="I71" s="6"/>
      <c r="J71" s="6"/>
      <c r="N71" s="19"/>
      <c r="Q71" s="6"/>
      <c r="R71" s="6"/>
      <c r="S71" s="6"/>
      <c r="T71" s="6"/>
      <c r="U71" s="6"/>
      <c r="V71" s="6"/>
    </row>
    <row r="72" spans="1:22">
      <c r="A72">
        <v>2017</v>
      </c>
      <c r="B72">
        <v>2017</v>
      </c>
      <c r="C72" s="6">
        <v>7237136.7586928606</v>
      </c>
      <c r="D72" s="6">
        <v>1153076.8940460193</v>
      </c>
      <c r="E72" s="6">
        <v>3800333.3357619988</v>
      </c>
      <c r="F72" s="6">
        <v>86117.916523428314</v>
      </c>
      <c r="G72" s="6">
        <v>0</v>
      </c>
      <c r="H72" s="6">
        <v>0</v>
      </c>
      <c r="I72" s="6">
        <v>0</v>
      </c>
      <c r="J72" s="6">
        <v>0</v>
      </c>
      <c r="N72" s="19">
        <f t="shared" si="1"/>
        <v>12276664.905024307</v>
      </c>
      <c r="Q72" s="6">
        <v>1238.581044269923</v>
      </c>
      <c r="R72" s="6">
        <v>-1238.581044269923</v>
      </c>
      <c r="S72" s="6"/>
      <c r="T72" s="6"/>
      <c r="U72" s="6"/>
      <c r="V72" s="6">
        <v>0</v>
      </c>
    </row>
    <row r="73" spans="1:22">
      <c r="A73">
        <v>2017</v>
      </c>
      <c r="B73">
        <v>2018</v>
      </c>
      <c r="C73" s="6">
        <v>5832107.7376789227</v>
      </c>
      <c r="D73" s="6">
        <v>1205889.5427052872</v>
      </c>
      <c r="E73" s="6">
        <v>4007803.877997661</v>
      </c>
      <c r="F73" s="6">
        <v>87283.481367448883</v>
      </c>
      <c r="G73" s="6">
        <v>0</v>
      </c>
      <c r="H73" s="6">
        <v>0</v>
      </c>
      <c r="I73" s="6">
        <v>0</v>
      </c>
      <c r="J73" s="6">
        <v>0</v>
      </c>
      <c r="N73" s="19">
        <f t="shared" si="1"/>
        <v>11133084.63974932</v>
      </c>
      <c r="Q73" s="6">
        <v>1254.9495058934888</v>
      </c>
      <c r="R73" s="6">
        <v>-1254.9495058934888</v>
      </c>
      <c r="S73" s="6"/>
      <c r="T73" s="6"/>
      <c r="U73" s="6"/>
      <c r="V73" s="6">
        <v>0</v>
      </c>
    </row>
    <row r="74" spans="1:22">
      <c r="A74">
        <v>2017</v>
      </c>
      <c r="B74">
        <v>2019</v>
      </c>
      <c r="C74" s="6">
        <v>5832107.7376789227</v>
      </c>
      <c r="D74" s="6">
        <v>1205856.8816511857</v>
      </c>
      <c r="E74" s="6">
        <v>4007452.8209247021</v>
      </c>
      <c r="F74" s="6">
        <v>87283.481367448883</v>
      </c>
      <c r="G74" s="6">
        <v>0</v>
      </c>
      <c r="H74" s="6">
        <v>0</v>
      </c>
      <c r="I74" s="6">
        <v>0</v>
      </c>
      <c r="J74" s="6">
        <v>0</v>
      </c>
      <c r="N74" s="19">
        <f t="shared" si="1"/>
        <v>11132700.92162226</v>
      </c>
      <c r="Q74" s="6">
        <v>1254.9495058934888</v>
      </c>
      <c r="R74" s="6">
        <v>-1254.9495058934888</v>
      </c>
      <c r="S74" s="6"/>
      <c r="T74" s="6"/>
      <c r="U74" s="6"/>
      <c r="V74" s="6">
        <v>0</v>
      </c>
    </row>
    <row r="75" spans="1:22">
      <c r="A75">
        <v>2017</v>
      </c>
      <c r="B75">
        <v>2020</v>
      </c>
      <c r="C75" s="6">
        <v>5832107.7376789227</v>
      </c>
      <c r="D75" s="6">
        <v>1205604.3216511856</v>
      </c>
      <c r="E75" s="6">
        <v>4006557.3809247022</v>
      </c>
      <c r="F75" s="6">
        <v>21843.481367448883</v>
      </c>
      <c r="G75" s="6">
        <v>0</v>
      </c>
      <c r="H75" s="6">
        <v>0</v>
      </c>
      <c r="I75" s="6">
        <v>0</v>
      </c>
      <c r="J75" s="6">
        <v>0</v>
      </c>
      <c r="N75" s="19">
        <f t="shared" si="1"/>
        <v>11066112.92162226</v>
      </c>
      <c r="Q75" s="6">
        <v>306.75615202567644</v>
      </c>
      <c r="R75" s="6">
        <v>-306.75615202567644</v>
      </c>
      <c r="S75" s="6"/>
      <c r="T75" s="6"/>
      <c r="U75" s="6"/>
      <c r="V75" s="6">
        <v>0</v>
      </c>
    </row>
    <row r="76" spans="1:22">
      <c r="A76">
        <v>2017</v>
      </c>
      <c r="B76">
        <v>2021</v>
      </c>
      <c r="C76" s="6">
        <v>5831547.7376789227</v>
      </c>
      <c r="D76" s="6">
        <v>1201077.9016511899</v>
      </c>
      <c r="E76" s="6">
        <v>3990402.8009247021</v>
      </c>
      <c r="F76" s="6">
        <v>21843.481367448883</v>
      </c>
      <c r="G76" s="6">
        <v>0</v>
      </c>
      <c r="H76" s="6"/>
      <c r="I76" s="6"/>
      <c r="J76" s="6"/>
      <c r="N76" s="19">
        <f t="shared" si="1"/>
        <v>11044871.921622263</v>
      </c>
      <c r="Q76" s="6">
        <v>306.75615202567644</v>
      </c>
      <c r="R76" s="6">
        <v>-306.75615202567644</v>
      </c>
      <c r="S76" s="6"/>
      <c r="T76" s="6"/>
      <c r="U76" s="6"/>
      <c r="V76" s="6">
        <v>0</v>
      </c>
    </row>
    <row r="77" spans="1:22">
      <c r="A77">
        <v>2017</v>
      </c>
      <c r="B77">
        <v>2022</v>
      </c>
      <c r="C77" s="6">
        <v>5829873.7376789227</v>
      </c>
      <c r="D77" s="6">
        <v>1174590.2541997738</v>
      </c>
      <c r="E77" s="6">
        <v>3887488.4118891265</v>
      </c>
      <c r="F77" s="6">
        <v>21318.49086724902</v>
      </c>
      <c r="G77" s="6"/>
      <c r="H77" s="6"/>
      <c r="I77" s="6"/>
      <c r="J77" s="6"/>
      <c r="N77" s="19">
        <f t="shared" ref="N77:N78" si="6">SUM(C77:J77)</f>
        <v>10913270.894635074</v>
      </c>
      <c r="Q77" s="6">
        <v>299.38351471652783</v>
      </c>
      <c r="R77" s="6">
        <v>-299.38351471652783</v>
      </c>
      <c r="S77" s="6"/>
      <c r="T77" s="6"/>
      <c r="U77" s="6"/>
      <c r="V77" s="6">
        <v>0</v>
      </c>
    </row>
    <row r="78" spans="1:22">
      <c r="A78">
        <v>2017</v>
      </c>
      <c r="B78">
        <v>2023</v>
      </c>
      <c r="C78" s="6">
        <v>5829873.7376789227</v>
      </c>
      <c r="D78" s="6">
        <v>1171370.9941997738</v>
      </c>
      <c r="E78" s="6">
        <v>3876074.6718891263</v>
      </c>
      <c r="F78" s="6">
        <v>21318.49086724902</v>
      </c>
      <c r="G78" s="6"/>
      <c r="H78" s="6"/>
      <c r="I78" s="6"/>
      <c r="J78" s="6"/>
      <c r="N78" s="19">
        <f t="shared" si="6"/>
        <v>10898637.894635072</v>
      </c>
      <c r="Q78" s="6">
        <v>299.38351471652783</v>
      </c>
      <c r="R78" s="6">
        <v>-299.38351471652783</v>
      </c>
      <c r="S78" s="6"/>
      <c r="T78" s="6"/>
      <c r="U78" s="6"/>
      <c r="V78" s="6">
        <v>0</v>
      </c>
    </row>
    <row r="79" spans="1:22">
      <c r="C79" s="6"/>
      <c r="D79" s="6"/>
      <c r="E79" s="6"/>
      <c r="F79" s="6"/>
      <c r="G79" s="6"/>
      <c r="H79" s="6"/>
      <c r="I79" s="6"/>
      <c r="J79" s="6"/>
      <c r="N79" s="19"/>
      <c r="Q79" s="6"/>
      <c r="R79" s="6"/>
      <c r="S79" s="6"/>
      <c r="T79" s="6"/>
      <c r="U79" s="6"/>
      <c r="V79" s="6"/>
    </row>
    <row r="80" spans="1:22">
      <c r="A80">
        <v>2018</v>
      </c>
      <c r="B80">
        <v>2018</v>
      </c>
      <c r="C80" s="6">
        <v>1815472.3349942735</v>
      </c>
      <c r="D80" s="6">
        <v>311853.94531962165</v>
      </c>
      <c r="E80" s="6">
        <v>4650939.375970142</v>
      </c>
      <c r="F80" s="6">
        <v>175801.57431403775</v>
      </c>
      <c r="G80" s="6">
        <v>0</v>
      </c>
      <c r="H80" s="6"/>
      <c r="I80" s="6"/>
      <c r="J80" s="6"/>
      <c r="N80" s="19">
        <f t="shared" si="1"/>
        <v>6954067.2305980744</v>
      </c>
      <c r="Q80" s="6">
        <v>2667.6863770150021</v>
      </c>
      <c r="R80" s="6">
        <v>-2667.6863770150021</v>
      </c>
      <c r="S80" s="6"/>
      <c r="T80" s="6"/>
      <c r="U80" s="6"/>
      <c r="V80" s="6">
        <v>0</v>
      </c>
    </row>
    <row r="81" spans="1:22">
      <c r="A81">
        <v>2018</v>
      </c>
      <c r="B81">
        <v>2019</v>
      </c>
      <c r="C81" s="6">
        <v>1810673.2526903669</v>
      </c>
      <c r="D81" s="6">
        <v>310027.01670194964</v>
      </c>
      <c r="E81" s="6">
        <v>4638905.976684439</v>
      </c>
      <c r="F81" s="6">
        <v>175561.92953964049</v>
      </c>
      <c r="G81" s="6"/>
      <c r="H81" s="6"/>
      <c r="I81" s="6"/>
      <c r="J81" s="6"/>
      <c r="N81" s="19">
        <f t="shared" ref="N81:N89" si="7">SUM(C81:J81)</f>
        <v>6935168.1756163957</v>
      </c>
      <c r="Q81" s="6">
        <v>2664.066480707048</v>
      </c>
      <c r="R81" s="6">
        <v>-2664.066480707048</v>
      </c>
      <c r="S81" s="6"/>
      <c r="T81" s="6"/>
      <c r="U81" s="6"/>
      <c r="V81" s="6">
        <v>0</v>
      </c>
    </row>
    <row r="82" spans="1:22">
      <c r="A82">
        <v>2018</v>
      </c>
      <c r="B82">
        <v>2020</v>
      </c>
      <c r="C82" s="6">
        <v>1805874.1703864601</v>
      </c>
      <c r="D82" s="6">
        <v>308128.96279512631</v>
      </c>
      <c r="E82" s="6">
        <v>4626518.3437043801</v>
      </c>
      <c r="F82" s="6">
        <v>174927.88706102798</v>
      </c>
      <c r="G82" s="6"/>
      <c r="H82" s="6"/>
      <c r="I82" s="6"/>
      <c r="J82" s="6"/>
      <c r="N82" s="19">
        <f t="shared" si="7"/>
        <v>6915449.3639469948</v>
      </c>
      <c r="Q82" s="6">
        <v>2654.4283144496062</v>
      </c>
      <c r="R82" s="6">
        <v>-2654.4283144496062</v>
      </c>
      <c r="S82" s="6"/>
      <c r="T82" s="6"/>
      <c r="U82" s="6"/>
      <c r="V82" s="6">
        <v>0</v>
      </c>
    </row>
    <row r="83" spans="1:22">
      <c r="A83">
        <v>2018</v>
      </c>
      <c r="B83">
        <v>2021</v>
      </c>
      <c r="C83" s="6">
        <v>1510760.7611421901</v>
      </c>
      <c r="D83" s="6">
        <v>326784.01891546248</v>
      </c>
      <c r="E83" s="6">
        <v>4868665.1350770313</v>
      </c>
      <c r="F83" s="6">
        <v>180414.24509313062</v>
      </c>
      <c r="G83" s="6"/>
      <c r="H83" s="6"/>
      <c r="I83" s="6"/>
      <c r="J83" s="6"/>
      <c r="N83" s="19">
        <f>SUM(C83:J83)</f>
        <v>6886624.1602278147</v>
      </c>
      <c r="Q83" s="6">
        <v>2737.3011717212617</v>
      </c>
      <c r="R83" s="6">
        <v>-2737.3011717212617</v>
      </c>
      <c r="S83" s="6"/>
      <c r="T83" s="6"/>
      <c r="U83" s="6"/>
      <c r="V83" s="6">
        <v>0</v>
      </c>
    </row>
    <row r="84" spans="1:22">
      <c r="A84">
        <v>2018</v>
      </c>
      <c r="B84">
        <v>2022</v>
      </c>
      <c r="C84" s="6">
        <v>1510760.7611421901</v>
      </c>
      <c r="D84" s="6">
        <v>325803.34424129361</v>
      </c>
      <c r="E84" s="6">
        <v>4867253.9203020073</v>
      </c>
      <c r="F84" s="6">
        <v>180414.24509313062</v>
      </c>
      <c r="G84" s="6"/>
      <c r="H84" s="6"/>
      <c r="I84" s="6"/>
      <c r="J84" s="6"/>
      <c r="N84" s="19">
        <f t="shared" ref="N84:N85" si="8">SUM(C84:J84)</f>
        <v>6884232.2707786215</v>
      </c>
      <c r="Q84" s="6">
        <v>2737.3011717212617</v>
      </c>
      <c r="R84" s="6">
        <v>-2737.3011717212617</v>
      </c>
      <c r="S84" s="6"/>
      <c r="T84" s="6"/>
      <c r="U84" s="6"/>
      <c r="V84" s="6">
        <v>0</v>
      </c>
    </row>
    <row r="85" spans="1:22">
      <c r="A85">
        <v>2018</v>
      </c>
      <c r="B85">
        <v>2023</v>
      </c>
      <c r="C85" s="6">
        <v>1507337.6087745074</v>
      </c>
      <c r="D85" s="6">
        <v>319900.04053445597</v>
      </c>
      <c r="E85" s="6">
        <v>4797532.831907996</v>
      </c>
      <c r="F85" s="6">
        <v>178854.07052807414</v>
      </c>
      <c r="G85" s="6"/>
      <c r="H85" s="6"/>
      <c r="I85" s="6"/>
      <c r="J85" s="6"/>
      <c r="N85" s="19">
        <f t="shared" si="8"/>
        <v>6803624.5517450338</v>
      </c>
      <c r="Q85" s="6">
        <v>2713.7343313342071</v>
      </c>
      <c r="R85" s="6">
        <v>-2713.7343313342071</v>
      </c>
      <c r="S85" s="6"/>
      <c r="T85" s="6"/>
      <c r="U85" s="6"/>
      <c r="V85" s="6">
        <v>0</v>
      </c>
    </row>
    <row r="86" spans="1:22">
      <c r="N86" s="19"/>
    </row>
    <row r="87" spans="1:22">
      <c r="A87">
        <v>2019</v>
      </c>
      <c r="B87">
        <v>2019</v>
      </c>
      <c r="C87" s="67">
        <v>6300</v>
      </c>
      <c r="D87" s="67">
        <v>521414.91709039448</v>
      </c>
      <c r="E87" s="67">
        <v>4270979.2994956728</v>
      </c>
      <c r="F87" s="67">
        <v>1608444.8566577411</v>
      </c>
      <c r="G87" s="67">
        <v>0</v>
      </c>
      <c r="H87" s="67">
        <v>0</v>
      </c>
      <c r="I87" s="67">
        <v>0</v>
      </c>
      <c r="J87" s="67">
        <v>793488.21153029986</v>
      </c>
      <c r="N87" s="19">
        <f t="shared" si="7"/>
        <v>7200627.2847741079</v>
      </c>
      <c r="Q87" s="6">
        <v>67256.356139917276</v>
      </c>
      <c r="R87" s="6">
        <v>-67256.356139917276</v>
      </c>
      <c r="V87" s="6">
        <v>0</v>
      </c>
    </row>
    <row r="88" spans="1:22">
      <c r="A88">
        <v>2019</v>
      </c>
      <c r="B88">
        <v>2020</v>
      </c>
      <c r="C88" s="67">
        <v>6300</v>
      </c>
      <c r="D88" s="67">
        <v>520070.52709039446</v>
      </c>
      <c r="E88" s="67">
        <v>4269044.6894956734</v>
      </c>
      <c r="F88" s="67">
        <v>1608444.8566577411</v>
      </c>
      <c r="G88" s="67">
        <v>0</v>
      </c>
      <c r="H88" s="67">
        <v>0</v>
      </c>
      <c r="I88" s="67">
        <v>0</v>
      </c>
      <c r="J88" s="67">
        <v>793488.21153029986</v>
      </c>
      <c r="N88" s="19">
        <f t="shared" si="7"/>
        <v>7197348.2847741097</v>
      </c>
      <c r="Q88" s="6">
        <v>67256.356139917276</v>
      </c>
      <c r="R88" s="6">
        <v>-67256.356139917276</v>
      </c>
      <c r="V88" s="6">
        <v>0</v>
      </c>
    </row>
    <row r="89" spans="1:22">
      <c r="A89">
        <v>2019</v>
      </c>
      <c r="B89">
        <v>2021</v>
      </c>
      <c r="C89" s="67">
        <v>6730.850311298329</v>
      </c>
      <c r="D89" s="67">
        <v>518175.36018515704</v>
      </c>
      <c r="E89" s="67">
        <v>4258254.7828147784</v>
      </c>
      <c r="F89" s="67">
        <v>1604855.0028506489</v>
      </c>
      <c r="G89" s="67">
        <v>0</v>
      </c>
      <c r="H89" s="67">
        <v>0</v>
      </c>
      <c r="I89" s="67">
        <v>0</v>
      </c>
      <c r="J89" s="67">
        <v>793488.21153029986</v>
      </c>
      <c r="N89" s="19">
        <f t="shared" si="7"/>
        <v>7181504.2076921826</v>
      </c>
      <c r="Q89" s="6">
        <v>67106.060618166026</v>
      </c>
      <c r="R89" s="6">
        <v>-67106.060618166026</v>
      </c>
      <c r="V89" s="6">
        <v>0</v>
      </c>
    </row>
    <row r="90" spans="1:22">
      <c r="A90">
        <v>2019</v>
      </c>
      <c r="B90">
        <v>2022</v>
      </c>
      <c r="C90" s="67">
        <v>6730.850311298329</v>
      </c>
      <c r="D90" s="67">
        <v>518700.66733861773</v>
      </c>
      <c r="E90" s="67">
        <v>4259010.7126209773</v>
      </c>
      <c r="F90" s="67">
        <v>1604855.0028506489</v>
      </c>
      <c r="G90" s="67">
        <v>0</v>
      </c>
      <c r="H90" s="67">
        <v>0</v>
      </c>
      <c r="I90" s="67">
        <v>0</v>
      </c>
      <c r="J90" s="67">
        <v>793488.21153029986</v>
      </c>
      <c r="N90" s="19">
        <f t="shared" ref="N90:N91" si="9">SUM(C90:J90)</f>
        <v>7182785.4446518421</v>
      </c>
      <c r="Q90" s="6">
        <v>67106.060618166026</v>
      </c>
      <c r="R90" s="6">
        <v>-67106.060618166026</v>
      </c>
      <c r="V90" s="6">
        <v>0</v>
      </c>
    </row>
    <row r="91" spans="1:22">
      <c r="A91">
        <v>2019</v>
      </c>
      <c r="B91">
        <v>2023</v>
      </c>
      <c r="C91" s="67">
        <v>6730.850311298329</v>
      </c>
      <c r="D91" s="67">
        <v>515752.32449523604</v>
      </c>
      <c r="E91" s="67">
        <v>4254767.9753585504</v>
      </c>
      <c r="F91" s="67">
        <v>1604855.0028506489</v>
      </c>
      <c r="G91" s="67">
        <v>0</v>
      </c>
      <c r="H91" s="67">
        <v>0</v>
      </c>
      <c r="I91" s="67">
        <v>0</v>
      </c>
      <c r="J91" s="67">
        <v>793488.21153029986</v>
      </c>
      <c r="N91" s="19">
        <f t="shared" si="9"/>
        <v>7175594.3645460336</v>
      </c>
      <c r="Q91" s="6">
        <v>67106.060618166026</v>
      </c>
      <c r="R91" s="6">
        <v>-67106.060618166026</v>
      </c>
      <c r="V91" s="6">
        <v>0</v>
      </c>
    </row>
    <row r="92" spans="1:22">
      <c r="C92" s="6"/>
      <c r="D92" s="6"/>
      <c r="E92" s="6"/>
      <c r="F92" s="6"/>
      <c r="G92" s="6"/>
      <c r="H92" s="6"/>
      <c r="I92" s="6"/>
      <c r="J92" s="6"/>
      <c r="N92" s="19"/>
    </row>
    <row r="93" spans="1:22">
      <c r="A93">
        <v>2020</v>
      </c>
      <c r="B93">
        <v>2020</v>
      </c>
      <c r="C93" s="67">
        <v>0</v>
      </c>
      <c r="D93" s="67">
        <v>423956.33510408003</v>
      </c>
      <c r="E93" s="67">
        <v>1372736.548547592</v>
      </c>
      <c r="F93" s="67">
        <v>2047261.9515</v>
      </c>
      <c r="G93" s="67">
        <v>0</v>
      </c>
      <c r="H93" s="67">
        <v>0</v>
      </c>
      <c r="I93" s="67">
        <v>0</v>
      </c>
      <c r="J93" s="67">
        <v>44489.672500000001</v>
      </c>
      <c r="N93" s="19">
        <f>SUM(C93:J93)</f>
        <v>3888444.5076516718</v>
      </c>
      <c r="Q93" s="6">
        <v>92555.644133360038</v>
      </c>
      <c r="R93" s="6">
        <v>-92555.644133360038</v>
      </c>
      <c r="V93" s="6">
        <v>0</v>
      </c>
    </row>
    <row r="94" spans="1:22">
      <c r="A94">
        <v>2020</v>
      </c>
      <c r="B94">
        <v>2021</v>
      </c>
      <c r="C94" s="67">
        <v>0</v>
      </c>
      <c r="D94" s="67">
        <v>423956.24296408001</v>
      </c>
      <c r="E94" s="67">
        <v>1372736.300687592</v>
      </c>
      <c r="F94" s="67">
        <v>2047261.9515</v>
      </c>
      <c r="G94" s="67"/>
      <c r="H94" s="67"/>
      <c r="I94" s="67"/>
      <c r="J94" s="67">
        <v>44489.672500000001</v>
      </c>
      <c r="N94" s="19">
        <f t="shared" ref="N94:N96" si="10">SUM(C94:J94)</f>
        <v>3888444.1676516719</v>
      </c>
      <c r="Q94" s="6">
        <v>92555.644133360038</v>
      </c>
      <c r="R94" s="6">
        <v>-92555.644133360038</v>
      </c>
      <c r="V94" s="6">
        <v>0</v>
      </c>
    </row>
    <row r="95" spans="1:22">
      <c r="A95">
        <v>2020</v>
      </c>
      <c r="B95">
        <v>2022</v>
      </c>
      <c r="C95" s="67">
        <v>0</v>
      </c>
      <c r="D95" s="67">
        <v>421836.46174925962</v>
      </c>
      <c r="E95" s="67">
        <v>1365872.6191841541</v>
      </c>
      <c r="F95" s="67">
        <v>2047261.9515</v>
      </c>
      <c r="G95" s="67"/>
      <c r="H95" s="67"/>
      <c r="I95" s="67"/>
      <c r="J95" s="67">
        <v>44489.672500000001</v>
      </c>
      <c r="N95" s="19">
        <f t="shared" si="10"/>
        <v>3879460.7049334138</v>
      </c>
      <c r="Q95" s="6">
        <v>92555.644133360038</v>
      </c>
      <c r="R95" s="6">
        <v>-92555.644133360038</v>
      </c>
      <c r="V95" s="6">
        <v>0</v>
      </c>
    </row>
    <row r="96" spans="1:22">
      <c r="A96">
        <v>2020</v>
      </c>
      <c r="B96">
        <v>2023</v>
      </c>
      <c r="C96" s="67">
        <v>0</v>
      </c>
      <c r="D96" s="67">
        <v>421836.46174925962</v>
      </c>
      <c r="E96" s="67">
        <v>1365872.6191841541</v>
      </c>
      <c r="F96" s="67">
        <v>2047261.9515</v>
      </c>
      <c r="G96" s="67"/>
      <c r="H96" s="67"/>
      <c r="I96" s="67"/>
      <c r="J96" s="67">
        <v>44489.672500000001</v>
      </c>
      <c r="N96" s="19">
        <f t="shared" si="10"/>
        <v>3879460.7049334138</v>
      </c>
      <c r="Q96" s="6">
        <v>92555.644133360038</v>
      </c>
      <c r="R96" s="6">
        <v>-92555.644133360038</v>
      </c>
      <c r="V96" s="6">
        <v>0</v>
      </c>
    </row>
    <row r="97" spans="1:25">
      <c r="C97" s="6"/>
      <c r="D97" s="6"/>
      <c r="E97" s="6"/>
      <c r="F97" s="6"/>
      <c r="G97" s="6"/>
      <c r="H97" s="6"/>
      <c r="I97" s="6"/>
      <c r="J97" s="6"/>
      <c r="N97" s="19"/>
      <c r="Q97" s="6"/>
      <c r="R97" s="6"/>
    </row>
    <row r="98" spans="1:25">
      <c r="A98">
        <v>2021</v>
      </c>
      <c r="B98">
        <v>2021</v>
      </c>
      <c r="C98" s="6">
        <v>0</v>
      </c>
      <c r="D98" s="6">
        <v>11913.634644911999</v>
      </c>
      <c r="E98" s="6">
        <v>584387.48225519992</v>
      </c>
      <c r="F98" s="6">
        <v>0</v>
      </c>
      <c r="G98" s="6">
        <v>0</v>
      </c>
      <c r="H98" s="6">
        <v>0</v>
      </c>
      <c r="I98" s="6">
        <v>0</v>
      </c>
      <c r="J98" s="6">
        <v>2053113.3659519998</v>
      </c>
      <c r="N98" s="19"/>
      <c r="Q98" s="6"/>
      <c r="R98" s="6"/>
      <c r="V98" s="6"/>
    </row>
    <row r="99" spans="1:25">
      <c r="A99">
        <v>2021</v>
      </c>
      <c r="B99">
        <v>2022</v>
      </c>
      <c r="C99" s="6">
        <v>0</v>
      </c>
      <c r="D99" s="6">
        <v>11913.634644911999</v>
      </c>
      <c r="E99" s="6">
        <v>584387.48225519992</v>
      </c>
      <c r="F99" s="6">
        <v>0</v>
      </c>
      <c r="G99" s="6">
        <v>0</v>
      </c>
      <c r="H99" s="6">
        <v>0</v>
      </c>
      <c r="I99" s="6">
        <v>0</v>
      </c>
      <c r="J99" s="6">
        <v>2053113.3659519998</v>
      </c>
      <c r="K99" t="s">
        <v>346</v>
      </c>
      <c r="N99" s="19"/>
      <c r="Q99" s="6"/>
      <c r="R99" s="6"/>
      <c r="V99" s="6"/>
    </row>
    <row r="100" spans="1:25">
      <c r="A100">
        <v>2021</v>
      </c>
      <c r="B100">
        <v>2023</v>
      </c>
      <c r="C100" s="6">
        <v>0</v>
      </c>
      <c r="D100" s="6">
        <v>11854.06647168744</v>
      </c>
      <c r="E100" s="6">
        <v>584161.55229416385</v>
      </c>
      <c r="F100" s="6">
        <v>0</v>
      </c>
      <c r="G100" s="6">
        <v>0</v>
      </c>
      <c r="H100" s="6">
        <v>0</v>
      </c>
      <c r="I100" s="6">
        <v>0</v>
      </c>
      <c r="J100" s="6">
        <v>2053113.3659519998</v>
      </c>
      <c r="N100" s="19"/>
      <c r="Q100" s="6"/>
      <c r="R100" s="6"/>
      <c r="V100" s="6"/>
    </row>
    <row r="101" spans="1:25">
      <c r="C101" s="6"/>
      <c r="D101" s="6"/>
      <c r="E101" s="6"/>
      <c r="F101" s="6"/>
      <c r="G101" s="6"/>
      <c r="H101" s="6"/>
      <c r="I101" s="6"/>
      <c r="J101" s="6"/>
      <c r="N101" s="19"/>
      <c r="Q101" s="6"/>
      <c r="R101" s="6"/>
      <c r="V101" s="6"/>
    </row>
    <row r="102" spans="1:25">
      <c r="A102">
        <v>2021</v>
      </c>
      <c r="B102">
        <f>B98</f>
        <v>2021</v>
      </c>
      <c r="C102" s="6">
        <f>'CDM Forecast'!L32</f>
        <v>269141.70572289213</v>
      </c>
      <c r="D102" s="6">
        <f>'CDM Forecast'!L33</f>
        <v>657395.96647015074</v>
      </c>
      <c r="E102" s="6">
        <f>'CDM Forecast'!L34</f>
        <v>2190197.3666100595</v>
      </c>
      <c r="F102" s="6">
        <f>'CDM Forecast'!L35</f>
        <v>244623.36616599307</v>
      </c>
      <c r="G102" s="6"/>
      <c r="H102" s="6"/>
      <c r="I102" s="6"/>
      <c r="J102" s="6">
        <f>'CDM Forecast'!L36</f>
        <v>156713.77973675236</v>
      </c>
      <c r="N102" s="19"/>
      <c r="Q102" s="6">
        <v>225961.26030479165</v>
      </c>
      <c r="R102" s="6">
        <v>-225961.26030479165</v>
      </c>
      <c r="V102" s="6"/>
    </row>
    <row r="103" spans="1:25">
      <c r="A103">
        <f>A102</f>
        <v>2021</v>
      </c>
      <c r="B103">
        <f t="shared" ref="B103:B104" si="11">B99</f>
        <v>2022</v>
      </c>
      <c r="C103" s="19">
        <f>C102</f>
        <v>269141.70572289213</v>
      </c>
      <c r="D103" s="19">
        <f t="shared" ref="D103:J103" si="12">D102</f>
        <v>657395.96647015074</v>
      </c>
      <c r="E103" s="19">
        <f t="shared" si="12"/>
        <v>2190197.3666100595</v>
      </c>
      <c r="F103" s="19">
        <f>F102</f>
        <v>244623.36616599307</v>
      </c>
      <c r="G103" s="19"/>
      <c r="H103" s="19"/>
      <c r="I103" s="19"/>
      <c r="J103" s="19">
        <f t="shared" si="12"/>
        <v>156713.77973675236</v>
      </c>
      <c r="K103" t="s">
        <v>345</v>
      </c>
      <c r="N103" s="19"/>
      <c r="Q103" s="6">
        <v>225961.26030479165</v>
      </c>
      <c r="R103" s="6">
        <v>-225961.26030479165</v>
      </c>
      <c r="V103" s="6"/>
    </row>
    <row r="104" spans="1:25">
      <c r="A104">
        <f>A103</f>
        <v>2021</v>
      </c>
      <c r="B104">
        <f t="shared" si="11"/>
        <v>2023</v>
      </c>
      <c r="C104" s="6">
        <f>C103*0.995</f>
        <v>267795.99719427765</v>
      </c>
      <c r="D104" s="6">
        <f t="shared" ref="D104:F104" si="13">D103*0.995</f>
        <v>654108.9866378</v>
      </c>
      <c r="E104" s="6">
        <f t="shared" si="13"/>
        <v>2179246.3797770091</v>
      </c>
      <c r="F104" s="6">
        <f t="shared" si="13"/>
        <v>243400.2493351631</v>
      </c>
      <c r="G104" s="6"/>
      <c r="H104" s="6"/>
      <c r="I104" s="6"/>
      <c r="J104" s="6">
        <f t="shared" ref="J104" si="14">J103*0.995</f>
        <v>155930.2108380686</v>
      </c>
      <c r="N104" s="19"/>
      <c r="Q104" s="6">
        <v>224831.45400326769</v>
      </c>
      <c r="R104" s="6">
        <v>-224831.45400326769</v>
      </c>
      <c r="V104" s="6"/>
    </row>
    <row r="105" spans="1:25">
      <c r="C105" s="6"/>
      <c r="D105" s="6"/>
      <c r="E105" s="6"/>
      <c r="F105" s="6"/>
      <c r="G105" s="6"/>
      <c r="H105" s="6"/>
      <c r="I105" s="6"/>
      <c r="J105" s="6"/>
      <c r="N105" s="19"/>
      <c r="Q105" s="6"/>
      <c r="R105" s="6"/>
      <c r="V105" s="6"/>
    </row>
    <row r="106" spans="1:25">
      <c r="A106">
        <v>2022</v>
      </c>
      <c r="B106">
        <v>2022</v>
      </c>
      <c r="C106" s="6">
        <f>'CDM Forecast'!M32</f>
        <v>284408.14701389649</v>
      </c>
      <c r="D106" s="6">
        <f>'CDM Forecast'!M33</f>
        <v>560367.29969257431</v>
      </c>
      <c r="E106" s="6">
        <f>'CDM Forecast'!M34</f>
        <v>2133714.6313936291</v>
      </c>
      <c r="F106" s="6">
        <f>'CDM Forecast'!M35</f>
        <v>286126.63222233299</v>
      </c>
      <c r="G106" s="6"/>
      <c r="H106" s="6"/>
      <c r="I106" s="6"/>
      <c r="J106" s="6">
        <f>'CDM Forecast'!M36</f>
        <v>255206.60515403666</v>
      </c>
      <c r="K106" t="s">
        <v>345</v>
      </c>
      <c r="N106" s="19"/>
      <c r="Q106" s="6">
        <v>246033.91749141744</v>
      </c>
      <c r="R106" s="6">
        <v>-246033.91749141744</v>
      </c>
      <c r="V106" s="6"/>
    </row>
    <row r="107" spans="1:25">
      <c r="A107">
        <v>2022</v>
      </c>
      <c r="B107">
        <v>2023</v>
      </c>
      <c r="C107" s="19">
        <f>C106</f>
        <v>284408.14701389649</v>
      </c>
      <c r="D107" s="19">
        <f t="shared" ref="D107:J107" si="15">D106</f>
        <v>560367.29969257431</v>
      </c>
      <c r="E107" s="19">
        <f t="shared" si="15"/>
        <v>2133714.6313936291</v>
      </c>
      <c r="F107" s="19">
        <f t="shared" si="15"/>
        <v>286126.63222233299</v>
      </c>
      <c r="G107" s="19"/>
      <c r="H107" s="19"/>
      <c r="I107" s="19"/>
      <c r="J107" s="19">
        <f t="shared" si="15"/>
        <v>255206.60515403666</v>
      </c>
      <c r="N107" s="19"/>
      <c r="Q107" s="6">
        <v>246033.91749141744</v>
      </c>
      <c r="R107" s="6">
        <v>-246033.91749141744</v>
      </c>
      <c r="V107" s="6"/>
    </row>
    <row r="108" spans="1:25">
      <c r="C108" s="6"/>
      <c r="D108" s="6"/>
      <c r="E108" s="6"/>
      <c r="F108" s="6"/>
      <c r="G108" s="6"/>
      <c r="H108" s="6"/>
      <c r="I108" s="6"/>
      <c r="J108" s="6"/>
      <c r="N108" s="19"/>
      <c r="Q108" s="6"/>
      <c r="R108" s="6"/>
      <c r="V108" s="6"/>
    </row>
    <row r="110" spans="1:25">
      <c r="C110" t="str">
        <f t="shared" ref="C110:J110" si="16">C2</f>
        <v>Residential</v>
      </c>
      <c r="D110" t="str">
        <f t="shared" si="16"/>
        <v>GS&lt;50</v>
      </c>
      <c r="E110" t="str">
        <f t="shared" si="16"/>
        <v>GS&gt;50</v>
      </c>
      <c r="F110" t="str">
        <f t="shared" si="16"/>
        <v>Int</v>
      </c>
      <c r="G110" t="str">
        <f t="shared" si="16"/>
        <v>Sen Light</v>
      </c>
      <c r="H110" t="str">
        <f t="shared" si="16"/>
        <v>St. Light</v>
      </c>
      <c r="I110" t="str">
        <f t="shared" si="16"/>
        <v>USL</v>
      </c>
      <c r="J110" t="str">
        <f t="shared" si="16"/>
        <v>LU</v>
      </c>
      <c r="O110" s="8" t="str">
        <f t="shared" ref="O110:V110" si="17">O2</f>
        <v>Residential</v>
      </c>
      <c r="P110" s="8" t="str">
        <f t="shared" si="17"/>
        <v>GS&lt;50</v>
      </c>
      <c r="Q110" s="8" t="str">
        <f t="shared" si="17"/>
        <v>GS&gt;50</v>
      </c>
      <c r="R110" s="8" t="str">
        <f t="shared" si="17"/>
        <v>Int</v>
      </c>
      <c r="S110" s="8" t="str">
        <f t="shared" si="17"/>
        <v>Sen Light</v>
      </c>
      <c r="T110" s="8" t="str">
        <f t="shared" si="17"/>
        <v>St. Light</v>
      </c>
      <c r="U110" s="8" t="str">
        <f t="shared" si="17"/>
        <v>USL</v>
      </c>
      <c r="V110" s="8" t="str">
        <f t="shared" si="17"/>
        <v>LU</v>
      </c>
      <c r="W110" s="19"/>
      <c r="X110" s="19"/>
      <c r="Y110" s="19"/>
    </row>
    <row r="111" spans="1:25">
      <c r="B111">
        <v>2011</v>
      </c>
      <c r="C111" s="19">
        <f t="shared" ref="C111:J120" si="18">SUMIF($B$3:$B$100,$B111,C$3:C$100)-SUMIFS(C$3:C$100,$B$3:$B$100,$B111,$A$3:$A$100,$B111)/2</f>
        <v>641121.77861984109</v>
      </c>
      <c r="D111" s="19">
        <f t="shared" si="18"/>
        <v>156344.25153868829</v>
      </c>
      <c r="E111" s="19">
        <f t="shared" si="18"/>
        <v>1896222.9734943686</v>
      </c>
      <c r="F111" s="19">
        <f t="shared" si="18"/>
        <v>0</v>
      </c>
      <c r="G111" s="19">
        <f t="shared" si="18"/>
        <v>0</v>
      </c>
      <c r="H111" s="19">
        <f t="shared" si="18"/>
        <v>0</v>
      </c>
      <c r="I111" s="19">
        <f t="shared" si="18"/>
        <v>0</v>
      </c>
      <c r="J111" s="19">
        <f t="shared" si="18"/>
        <v>0</v>
      </c>
      <c r="N111">
        <v>2011</v>
      </c>
      <c r="O111" s="19">
        <f t="shared" ref="O111:O121" si="19">SUMIF($B$3:$B$94,$B110,O$3:O$94)-SUMIFS(O$3:O$94,$B$3:$B$94,$B110,$A$3:$A$94,$B110)/2</f>
        <v>0</v>
      </c>
      <c r="P111" s="19">
        <f t="shared" ref="P111:P121" si="20">SUMIF($B$3:$B$94,$B110,P$3:P$94)-SUMIFS(P$3:P$94,$B$3:$B$94,$B110,$A$3:$A$94,$B110)/2</f>
        <v>0</v>
      </c>
      <c r="Q111" s="19">
        <f t="shared" ref="Q111:Q120" si="21">SUMIF($B$3:$B$94,$B110,Q$3:Q$94)-SUMIFS(Q$3:Q$94,$B$3:$B$94,$B110,$A$3:$A$94,$B110)/2</f>
        <v>0</v>
      </c>
      <c r="R111" s="19">
        <f t="shared" ref="R111:R120" si="22">SUMIF($B$3:$B$94,$B110,R$3:R$94)-SUMIFS(R$3:R$94,$B$3:$B$94,$B110,$A$3:$A$94,$B110)/2</f>
        <v>0</v>
      </c>
      <c r="S111" s="19"/>
      <c r="T111" s="19"/>
      <c r="U111" s="19"/>
      <c r="V111" s="19">
        <f t="shared" ref="V111:V118" si="23">SUMIF($B$3:$B$94,$B110,V$3:V$94)-SUMIFS(V$3:V$94,$B$3:$B$94,$B110,$A$3:$A$94,$B110)/2</f>
        <v>0</v>
      </c>
      <c r="W111" s="19"/>
      <c r="X111" s="19"/>
      <c r="Y111" s="19"/>
    </row>
    <row r="112" spans="1:25">
      <c r="B112">
        <v>2012</v>
      </c>
      <c r="C112" s="19">
        <f t="shared" si="18"/>
        <v>1648705.3791640387</v>
      </c>
      <c r="D112" s="19">
        <f t="shared" si="18"/>
        <v>865919.54477820965</v>
      </c>
      <c r="E112" s="19">
        <f t="shared" si="18"/>
        <v>4899393.0021068025</v>
      </c>
      <c r="F112" s="19">
        <f t="shared" si="18"/>
        <v>4140</v>
      </c>
      <c r="G112" s="19">
        <f t="shared" si="18"/>
        <v>0</v>
      </c>
      <c r="H112" s="19">
        <f t="shared" si="18"/>
        <v>0</v>
      </c>
      <c r="I112" s="19">
        <f t="shared" si="18"/>
        <v>0</v>
      </c>
      <c r="J112" s="19">
        <f t="shared" si="18"/>
        <v>0</v>
      </c>
      <c r="N112">
        <v>2012</v>
      </c>
      <c r="O112" s="19">
        <f t="shared" si="19"/>
        <v>0</v>
      </c>
      <c r="P112" s="19">
        <f t="shared" si="20"/>
        <v>0</v>
      </c>
      <c r="Q112" s="19">
        <f t="shared" si="21"/>
        <v>0</v>
      </c>
      <c r="R112" s="19">
        <f t="shared" si="22"/>
        <v>0</v>
      </c>
      <c r="S112" s="19"/>
      <c r="T112" s="19"/>
      <c r="U112" s="19"/>
      <c r="V112" s="19">
        <f t="shared" si="23"/>
        <v>0</v>
      </c>
      <c r="W112" s="19"/>
      <c r="X112" s="19"/>
      <c r="Y112" s="19"/>
    </row>
    <row r="113" spans="1:25">
      <c r="B113">
        <v>2013</v>
      </c>
      <c r="C113" s="19">
        <f t="shared" si="18"/>
        <v>2457479.7786995396</v>
      </c>
      <c r="D113" s="19">
        <f t="shared" si="18"/>
        <v>1688234.5728994075</v>
      </c>
      <c r="E113" s="19">
        <f t="shared" si="18"/>
        <v>6746979.7546842117</v>
      </c>
      <c r="F113" s="19">
        <f t="shared" si="18"/>
        <v>151912.5343176444</v>
      </c>
      <c r="G113" s="19">
        <f t="shared" si="18"/>
        <v>0</v>
      </c>
      <c r="H113" s="19">
        <f t="shared" si="18"/>
        <v>0</v>
      </c>
      <c r="I113" s="19">
        <f t="shared" si="18"/>
        <v>0</v>
      </c>
      <c r="J113" s="19">
        <f t="shared" si="18"/>
        <v>0</v>
      </c>
      <c r="M113" t="s">
        <v>23</v>
      </c>
      <c r="N113">
        <v>2013</v>
      </c>
      <c r="O113" s="19">
        <f t="shared" si="19"/>
        <v>0</v>
      </c>
      <c r="P113" s="19">
        <f t="shared" si="20"/>
        <v>0</v>
      </c>
      <c r="Q113" s="19">
        <f t="shared" si="21"/>
        <v>54.485332363080985</v>
      </c>
      <c r="R113" s="19">
        <f t="shared" si="22"/>
        <v>-595.16249456400601</v>
      </c>
      <c r="S113" s="19"/>
      <c r="T113" s="19"/>
      <c r="U113" s="19"/>
      <c r="V113" s="19">
        <f t="shared" si="23"/>
        <v>540.67716220092495</v>
      </c>
      <c r="W113" s="19"/>
      <c r="X113" s="19"/>
      <c r="Y113" s="19"/>
    </row>
    <row r="114" spans="1:25">
      <c r="A114" t="s">
        <v>23</v>
      </c>
      <c r="B114">
        <v>2014</v>
      </c>
      <c r="C114" s="19">
        <f t="shared" si="18"/>
        <v>3669783.2042052876</v>
      </c>
      <c r="D114" s="19">
        <f t="shared" si="18"/>
        <v>2341325.5383040793</v>
      </c>
      <c r="E114" s="19">
        <f t="shared" si="18"/>
        <v>8225058.5361686572</v>
      </c>
      <c r="F114" s="19">
        <f t="shared" si="18"/>
        <v>587814.4762896793</v>
      </c>
      <c r="G114" s="19">
        <f t="shared" si="18"/>
        <v>0</v>
      </c>
      <c r="H114" s="19">
        <f t="shared" si="18"/>
        <v>0</v>
      </c>
      <c r="I114" s="19">
        <f t="shared" si="18"/>
        <v>0</v>
      </c>
      <c r="J114" s="19">
        <f t="shared" si="18"/>
        <v>74980.843315000006</v>
      </c>
      <c r="N114">
        <v>2014</v>
      </c>
      <c r="O114" s="19">
        <f t="shared" si="19"/>
        <v>0</v>
      </c>
      <c r="P114" s="19">
        <f t="shared" si="20"/>
        <v>0</v>
      </c>
      <c r="Q114" s="19">
        <f t="shared" si="21"/>
        <v>1890.7989264704634</v>
      </c>
      <c r="R114" s="19">
        <f t="shared" si="22"/>
        <v>-16389.060649207895</v>
      </c>
      <c r="S114" s="19"/>
      <c r="T114" s="19"/>
      <c r="U114" s="19"/>
      <c r="V114" s="19">
        <f t="shared" si="23"/>
        <v>14498.261722737436</v>
      </c>
      <c r="W114" s="19"/>
      <c r="X114" s="19"/>
      <c r="Y114" s="19"/>
    </row>
    <row r="115" spans="1:25">
      <c r="B115">
        <v>2015</v>
      </c>
      <c r="C115" s="19">
        <f t="shared" si="18"/>
        <v>4941125.1874942435</v>
      </c>
      <c r="D115" s="19">
        <f t="shared" si="18"/>
        <v>2958040.6172586293</v>
      </c>
      <c r="E115" s="19">
        <f t="shared" si="18"/>
        <v>11762662.014737546</v>
      </c>
      <c r="F115" s="19">
        <f t="shared" si="18"/>
        <v>1084382.942041903</v>
      </c>
      <c r="G115" s="19">
        <f t="shared" si="18"/>
        <v>0</v>
      </c>
      <c r="H115" s="19">
        <f t="shared" si="18"/>
        <v>0</v>
      </c>
      <c r="I115" s="19">
        <f t="shared" si="18"/>
        <v>0</v>
      </c>
      <c r="J115" s="19">
        <f t="shared" si="18"/>
        <v>149884.72555000003</v>
      </c>
      <c r="N115">
        <v>2015</v>
      </c>
      <c r="O115" s="19">
        <f t="shared" si="19"/>
        <v>0</v>
      </c>
      <c r="P115" s="19">
        <f t="shared" si="20"/>
        <v>0</v>
      </c>
      <c r="Q115" s="19">
        <f t="shared" si="21"/>
        <v>7283.1290641772603</v>
      </c>
      <c r="R115" s="19">
        <f t="shared" si="22"/>
        <v>-67706.768828894419</v>
      </c>
      <c r="S115" s="19"/>
      <c r="T115" s="19"/>
      <c r="U115" s="19"/>
      <c r="V115" s="19">
        <f t="shared" si="23"/>
        <v>60423.639764717154</v>
      </c>
      <c r="W115" s="19"/>
      <c r="X115" s="19"/>
      <c r="Y115" s="19"/>
    </row>
    <row r="116" spans="1:25">
      <c r="B116">
        <v>2016</v>
      </c>
      <c r="C116" s="19">
        <f t="shared" si="18"/>
        <v>7049692.5502174273</v>
      </c>
      <c r="D116" s="19">
        <f t="shared" si="18"/>
        <v>3535271.9934464628</v>
      </c>
      <c r="E116" s="19">
        <f t="shared" si="18"/>
        <v>16557468.939653648</v>
      </c>
      <c r="F116" s="19">
        <f t="shared" si="18"/>
        <v>1384527.0447169098</v>
      </c>
      <c r="G116" s="19">
        <f t="shared" si="18"/>
        <v>0</v>
      </c>
      <c r="H116" s="19">
        <f t="shared" si="18"/>
        <v>0</v>
      </c>
      <c r="I116" s="19">
        <f t="shared" si="18"/>
        <v>0</v>
      </c>
      <c r="J116" s="19">
        <f t="shared" si="18"/>
        <v>149884.72555000003</v>
      </c>
      <c r="N116">
        <v>2016</v>
      </c>
      <c r="O116" s="19">
        <f t="shared" si="19"/>
        <v>0</v>
      </c>
      <c r="P116" s="19">
        <f t="shared" si="20"/>
        <v>0</v>
      </c>
      <c r="Q116" s="19">
        <f t="shared" si="21"/>
        <v>13395.796043244911</v>
      </c>
      <c r="R116" s="19">
        <f t="shared" si="22"/>
        <v>-133518.48712346205</v>
      </c>
      <c r="S116" s="19"/>
      <c r="T116" s="19"/>
      <c r="U116" s="19"/>
      <c r="V116" s="19">
        <f t="shared" si="23"/>
        <v>120122.69108021716</v>
      </c>
      <c r="W116" s="19"/>
      <c r="X116" s="19"/>
      <c r="Y116" s="19"/>
    </row>
    <row r="117" spans="1:25">
      <c r="B117">
        <v>2017</v>
      </c>
      <c r="C117" s="19">
        <f t="shared" si="18"/>
        <v>12222428.910569847</v>
      </c>
      <c r="D117" s="19">
        <f t="shared" si="18"/>
        <v>3161510.3477654923</v>
      </c>
      <c r="E117" s="19">
        <f t="shared" si="18"/>
        <v>20288664.746094525</v>
      </c>
      <c r="F117" s="19">
        <f t="shared" si="18"/>
        <v>1323723.4015295426</v>
      </c>
      <c r="G117" s="19">
        <f t="shared" si="18"/>
        <v>0</v>
      </c>
      <c r="H117" s="19">
        <f t="shared" si="18"/>
        <v>0</v>
      </c>
      <c r="I117" s="19">
        <f t="shared" si="18"/>
        <v>0</v>
      </c>
      <c r="J117" s="19">
        <f t="shared" si="18"/>
        <v>148312.21384000001</v>
      </c>
      <c r="N117">
        <v>2017</v>
      </c>
      <c r="O117" s="19">
        <f t="shared" si="19"/>
        <v>0</v>
      </c>
      <c r="P117" s="19">
        <f t="shared" si="20"/>
        <v>0</v>
      </c>
      <c r="Q117" s="19">
        <f t="shared" si="21"/>
        <v>17199.414902716726</v>
      </c>
      <c r="R117" s="19">
        <f t="shared" si="22"/>
        <v>-178502.1502609312</v>
      </c>
      <c r="S117" s="19"/>
      <c r="T117" s="19"/>
      <c r="U117" s="19"/>
      <c r="V117" s="19">
        <f t="shared" si="23"/>
        <v>161302.73535821447</v>
      </c>
      <c r="W117" s="19"/>
      <c r="X117" s="19"/>
      <c r="Y117" s="19"/>
    </row>
    <row r="118" spans="1:25">
      <c r="B118">
        <v>2018</v>
      </c>
      <c r="C118" s="19">
        <f t="shared" si="18"/>
        <v>15150416.907237176</v>
      </c>
      <c r="D118" s="19">
        <f>SUMIF($B$3:$B$100,$B118,D$3:D$100)-SUMIFS(D$3:D$100,$B$3:$B$100,$B118,$A$3:$A$100,$B118)/2</f>
        <v>3968321.5883593154</v>
      </c>
      <c r="E118" s="19">
        <f t="shared" si="18"/>
        <v>24809262.938614458</v>
      </c>
      <c r="F118" s="19">
        <f>SUMIF($B$3:$B$100,$B118,F$3:F$100)-SUMIFS(F$3:F$100,$B$3:$B$100,$B118,$A$3:$A$100,$B118)/2</f>
        <v>1464375.216699986</v>
      </c>
      <c r="G118" s="19">
        <f t="shared" si="18"/>
        <v>0</v>
      </c>
      <c r="H118" s="19">
        <f t="shared" si="18"/>
        <v>0</v>
      </c>
      <c r="I118" s="19">
        <f t="shared" si="18"/>
        <v>0</v>
      </c>
      <c r="J118" s="19">
        <f t="shared" si="18"/>
        <v>148312.21384000001</v>
      </c>
      <c r="N118">
        <v>2018</v>
      </c>
      <c r="O118" s="19">
        <f t="shared" si="19"/>
        <v>0</v>
      </c>
      <c r="P118" s="19">
        <f t="shared" si="20"/>
        <v>0</v>
      </c>
      <c r="Q118" s="19">
        <f t="shared" si="21"/>
        <v>16642.770765120313</v>
      </c>
      <c r="R118" s="19">
        <f t="shared" si="22"/>
        <v>-173255.20365871312</v>
      </c>
      <c r="S118" s="19"/>
      <c r="T118" s="19"/>
      <c r="U118" s="19"/>
      <c r="V118" s="19">
        <f t="shared" si="23"/>
        <v>156612.43289359281</v>
      </c>
      <c r="W118" s="19"/>
      <c r="X118" s="19"/>
      <c r="Y118" s="19"/>
    </row>
    <row r="119" spans="1:25">
      <c r="B119">
        <v>2019</v>
      </c>
      <c r="C119" s="19">
        <f t="shared" si="18"/>
        <v>16025383.469746001</v>
      </c>
      <c r="D119" s="19">
        <f t="shared" si="18"/>
        <v>4366657.6579484949</v>
      </c>
      <c r="E119" s="19">
        <f>SUMIF($B$3:$B$100,$B119,E$3:E$100)-SUMIFS(E$3:E$100,$B$3:$B$100,$B119,$A$3:$A$100,$B119)/2</f>
        <v>29154871.317808252</v>
      </c>
      <c r="F119" s="19">
        <f t="shared" si="18"/>
        <v>2356258.7874114783</v>
      </c>
      <c r="G119" s="19">
        <f t="shared" si="18"/>
        <v>0</v>
      </c>
      <c r="H119" s="19">
        <f t="shared" si="18"/>
        <v>0</v>
      </c>
      <c r="I119" s="19">
        <f t="shared" si="18"/>
        <v>0</v>
      </c>
      <c r="J119" s="19">
        <f t="shared" si="18"/>
        <v>545056.31960514991</v>
      </c>
      <c r="N119">
        <v>2019</v>
      </c>
      <c r="O119" s="19">
        <f t="shared" si="19"/>
        <v>0</v>
      </c>
      <c r="P119" s="19">
        <f t="shared" si="20"/>
        <v>0</v>
      </c>
      <c r="Q119" s="19">
        <f t="shared" si="21"/>
        <v>18728.913952310868</v>
      </c>
      <c r="R119" s="19">
        <f t="shared" si="22"/>
        <v>-176625.68171661635</v>
      </c>
      <c r="S119" s="19"/>
      <c r="T119" s="19"/>
      <c r="U119" s="19"/>
      <c r="V119" s="19">
        <f t="shared" ref="V119:V120" si="24">SUMIF($B$3:$B$94,$B118,V$3:V$94)-SUMIFS(V$3:V$94,$B$3:$B$94,$B118,$A$3:$A$94,$B118)/2</f>
        <v>157896.76776430552</v>
      </c>
      <c r="W119" s="19"/>
      <c r="X119" s="19"/>
      <c r="Y119" s="19"/>
    </row>
    <row r="120" spans="1:25">
      <c r="B120">
        <v>2020</v>
      </c>
      <c r="C120" s="19">
        <f t="shared" si="18"/>
        <v>15803149.984162044</v>
      </c>
      <c r="D120" s="19">
        <f t="shared" si="18"/>
        <v>4829927.2187470989</v>
      </c>
      <c r="E120" s="19">
        <f t="shared" si="18"/>
        <v>31904676.711465031</v>
      </c>
      <c r="F120" s="19">
        <f t="shared" si="18"/>
        <v>4116401.7945724791</v>
      </c>
      <c r="G120" s="19">
        <f t="shared" si="18"/>
        <v>0</v>
      </c>
      <c r="H120" s="19">
        <f t="shared" si="18"/>
        <v>0</v>
      </c>
      <c r="I120" s="19">
        <f t="shared" si="18"/>
        <v>0</v>
      </c>
      <c r="J120" s="19">
        <f t="shared" si="18"/>
        <v>962285.06199029984</v>
      </c>
      <c r="N120">
        <v>2020</v>
      </c>
      <c r="O120" s="19">
        <f t="shared" si="19"/>
        <v>0</v>
      </c>
      <c r="P120" s="19">
        <f t="shared" si="20"/>
        <v>0</v>
      </c>
      <c r="Q120" s="19">
        <f t="shared" si="21"/>
        <v>53687.315314469044</v>
      </c>
      <c r="R120" s="19">
        <f t="shared" si="22"/>
        <v>-211584.08307877457</v>
      </c>
      <c r="S120" s="19"/>
      <c r="T120" s="19"/>
      <c r="U120" s="19"/>
      <c r="V120" s="19">
        <f t="shared" si="24"/>
        <v>157896.76776430552</v>
      </c>
      <c r="W120" s="19"/>
      <c r="X120" s="19"/>
      <c r="Y120" s="19"/>
    </row>
    <row r="121" spans="1:25">
      <c r="B121">
        <v>2021</v>
      </c>
      <c r="C121" s="19">
        <f t="shared" ref="C121:J122" si="25">SUMIF($B$3:$B$107,$B121,C$3:C$107)-SUMIFS(C$3:C$107,$B$3:$B$107,$B121,$A$3:$A$107,$B121)/2</f>
        <v>15387459.555475706</v>
      </c>
      <c r="D121" s="19">
        <f t="shared" si="25"/>
        <v>5366084.9851967711</v>
      </c>
      <c r="E121" s="19">
        <f t="shared" si="25"/>
        <v>34084569.478509583</v>
      </c>
      <c r="F121" s="19">
        <f t="shared" si="25"/>
        <v>5262095.9528558245</v>
      </c>
      <c r="G121" s="19">
        <f t="shared" si="25"/>
        <v>0</v>
      </c>
      <c r="H121" s="19">
        <f t="shared" si="25"/>
        <v>0</v>
      </c>
      <c r="I121" s="19">
        <f t="shared" si="25"/>
        <v>0</v>
      </c>
      <c r="J121" s="19">
        <f t="shared" si="25"/>
        <v>2089443.471084676</v>
      </c>
      <c r="N121">
        <v>2021</v>
      </c>
      <c r="O121" s="19">
        <f t="shared" si="19"/>
        <v>0</v>
      </c>
      <c r="P121" s="19">
        <f t="shared" si="20"/>
        <v>0</v>
      </c>
      <c r="Q121" s="19">
        <f>SUMIF($B$3:$B$100,$B120,Q$3:Q$100)-SUMIFS(Q$3:Q$100,$B$3:$B$100,$B120,$A$3:$A$100,$B120)/2</f>
        <v>132615.26228094648</v>
      </c>
      <c r="R121" s="19">
        <f>SUMIF($B$3:$B$100,$B120,R$3:R$100)-SUMIFS(R$3:R$100,$B$3:$B$100,$B120,$A$3:$A$100,$B120)/2</f>
        <v>-290332.48812042491</v>
      </c>
      <c r="S121" s="19"/>
      <c r="T121" s="19"/>
      <c r="V121" s="19">
        <f>SUMIF($B$3:$B$100,$B120,V$3:V$100)-SUMIFS(V$3:V$100,$B$3:$B$100,$B120,$A$3:$A$100,$B120)/2</f>
        <v>157717.2258394784</v>
      </c>
    </row>
    <row r="122" spans="1:25">
      <c r="B122">
        <v>2022</v>
      </c>
      <c r="C122" s="19">
        <f t="shared" si="25"/>
        <v>15602303.91839695</v>
      </c>
      <c r="D122" s="19">
        <f t="shared" si="25"/>
        <v>5892917.8494603606</v>
      </c>
      <c r="E122" s="19">
        <f t="shared" si="25"/>
        <v>36064902.710203722</v>
      </c>
      <c r="F122" s="19">
        <f t="shared" si="25"/>
        <v>5511282.7885953989</v>
      </c>
      <c r="G122" s="19">
        <f t="shared" si="25"/>
        <v>0</v>
      </c>
      <c r="H122" s="19">
        <f t="shared" si="25"/>
        <v>0</v>
      </c>
      <c r="I122" s="19">
        <f t="shared" si="25"/>
        <v>0</v>
      </c>
      <c r="J122" s="19">
        <f t="shared" si="25"/>
        <v>3307890.5161160701</v>
      </c>
      <c r="N122">
        <v>2022</v>
      </c>
      <c r="O122" s="19">
        <f>SUMIF($B$3:$B$107,$B122,O$3:O$107)-SUMIFS(O$3:O$107,$B$3:$B$107,$B122,$A$3:$A$107,$B122)/2</f>
        <v>0</v>
      </c>
      <c r="P122" s="19">
        <f t="shared" ref="P122:V122" si="26">SUMIF($B$3:$B$107,$B122,P$3:P$107)-SUMIFS(P$3:P$107,$B$3:$B$107,$B122,$A$3:$A$107,$B122)/2</f>
        <v>0</v>
      </c>
      <c r="Q122" s="19">
        <f>SUMIF($B$3:$B$107,$B122,Q$3:Q$107)-SUMIFS(Q$3:Q$107,$B$3:$B$107,$B122,$A$3:$A$107,$B122)/2</f>
        <v>527574.02411011048</v>
      </c>
      <c r="R122" s="19">
        <f>SUMIF($B$3:$B$107,$B122,R$3:R$107)-SUMIFS(R$3:R$107,$B$3:$B$107,$B122,$A$3:$A$107,$B122)/2</f>
        <v>-683316.4051158214</v>
      </c>
      <c r="S122" s="19">
        <f t="shared" si="26"/>
        <v>0</v>
      </c>
      <c r="T122" s="19">
        <f t="shared" si="26"/>
        <v>0</v>
      </c>
      <c r="U122" s="19">
        <f t="shared" si="26"/>
        <v>0</v>
      </c>
      <c r="V122" s="19">
        <f t="shared" si="26"/>
        <v>155742.38100571098</v>
      </c>
    </row>
    <row r="123" spans="1:25"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 spans="1:25">
      <c r="A124" t="s">
        <v>258</v>
      </c>
      <c r="B124">
        <v>2021</v>
      </c>
      <c r="C124" s="6">
        <f t="shared" ref="C124:J124" si="27">SUMIFS(C$3:C$107,$B$3:$B$107,$B124)-(C98+C102)/2</f>
        <v>15387459.555475706</v>
      </c>
      <c r="D124" s="6">
        <f t="shared" si="27"/>
        <v>5366084.9851967711</v>
      </c>
      <c r="E124" s="6">
        <f t="shared" si="27"/>
        <v>34084569.478509583</v>
      </c>
      <c r="F124" s="6">
        <f t="shared" si="27"/>
        <v>5262095.9528558245</v>
      </c>
      <c r="G124" s="6">
        <f t="shared" si="27"/>
        <v>0</v>
      </c>
      <c r="H124" s="6">
        <f t="shared" si="27"/>
        <v>0</v>
      </c>
      <c r="I124" s="6">
        <f t="shared" si="27"/>
        <v>0</v>
      </c>
      <c r="J124" s="6">
        <f t="shared" si="27"/>
        <v>2089443.471084676</v>
      </c>
      <c r="K124" s="6"/>
      <c r="N124">
        <v>2021</v>
      </c>
      <c r="O124" s="6">
        <f>SUMIFS(O$3:O$107,$B$3:$B$107,$B124)-(O98+O102)/2</f>
        <v>0</v>
      </c>
      <c r="P124" s="6">
        <f t="shared" ref="P124" si="28">SUMIFS(P$3:P$107,$B$3:$B$107,$B124)-(P98+P102)/2</f>
        <v>0</v>
      </c>
      <c r="Q124" s="6">
        <f>SUMIFS(Q$3:Q$107,$B$3:$B$107,$B124)-(Q98+Q102)/2</f>
        <v>291777.49261161173</v>
      </c>
      <c r="R124" s="6">
        <f>SUMIFS(R$3:R$107,$B$3:$B$107,$B124)-(R98+R102)/2</f>
        <v>-449196.31609731994</v>
      </c>
      <c r="S124" s="6">
        <f t="shared" ref="S124:V124" si="29">SUMIFS(S$3:S$107,$B$3:$B$107,$B124)-(S98+S102)/2</f>
        <v>0</v>
      </c>
      <c r="T124" s="6">
        <f t="shared" si="29"/>
        <v>0</v>
      </c>
      <c r="U124" s="6">
        <f t="shared" si="29"/>
        <v>0</v>
      </c>
      <c r="V124" s="6">
        <f t="shared" si="29"/>
        <v>157418.82348570824</v>
      </c>
      <c r="W124" s="6"/>
      <c r="X124" s="6"/>
      <c r="Y124" s="6"/>
    </row>
    <row r="125" spans="1:25">
      <c r="A125" t="s">
        <v>259</v>
      </c>
      <c r="B125">
        <v>2022</v>
      </c>
      <c r="C125" s="6">
        <f>SUMIFS(C$3:C$104,$B$3:$B$104,$B125)-(C99+C103)/2</f>
        <v>15325528.992028555</v>
      </c>
      <c r="D125" s="6">
        <f t="shared" ref="D125:J125" si="30">SUMIFS(D$3:D$107,$B$3:$B$107,$B125)-(D99+D103)/2</f>
        <v>5838446.6987491166</v>
      </c>
      <c r="E125" s="6">
        <f t="shared" si="30"/>
        <v>35744467.601467907</v>
      </c>
      <c r="F125" s="6">
        <f t="shared" si="30"/>
        <v>5532034.421623569</v>
      </c>
      <c r="G125" s="6">
        <f t="shared" si="30"/>
        <v>0</v>
      </c>
      <c r="H125" s="6">
        <f t="shared" si="30"/>
        <v>0</v>
      </c>
      <c r="I125" s="6">
        <f t="shared" si="30"/>
        <v>0</v>
      </c>
      <c r="J125" s="6">
        <f t="shared" si="30"/>
        <v>2330580.2458487125</v>
      </c>
      <c r="K125" s="6"/>
      <c r="N125">
        <v>2022</v>
      </c>
      <c r="O125" s="6">
        <f>SUMIFS(O$3:O$104,$B$3:$B$104,$B125)-(O99+O103)/2</f>
        <v>0</v>
      </c>
      <c r="P125" s="6">
        <f>SUMIFS(P$3:P$107,$B$3:$B$107,$B125)-(P99+P103)/2</f>
        <v>0</v>
      </c>
      <c r="Q125" s="6">
        <f>SUMIFS(Q$3:Q$107,$B$3:$B$107,$B125)-(Q99+Q103)/2</f>
        <v>537610.35270342336</v>
      </c>
      <c r="R125" s="6">
        <f>SUMIFS(R$3:R$107,$B$3:$B$107,$B125)-(R99+R103)/2</f>
        <v>-693352.73370913428</v>
      </c>
      <c r="S125" s="6">
        <f>SUMIFS(S$3:S$107,$B$3:$B$107,$B125)-(S99+S103)/2</f>
        <v>0</v>
      </c>
      <c r="T125" s="6">
        <f>SUMIFS(T$3:T$107,$B$3:$B$107,$B125)-(T99+T103)/2</f>
        <v>0</v>
      </c>
      <c r="U125" s="6">
        <f>SUMIFS(U$3:U$107,$B$3:$B$107,$B125)-(U99+U103)/2</f>
        <v>0</v>
      </c>
      <c r="V125" s="6">
        <f>SUMIFS(V$3:V$107,$B$3:$B$107,$B125)-(V99+V103)/2</f>
        <v>155742.38100571098</v>
      </c>
      <c r="W125" s="6"/>
      <c r="X125" s="6"/>
      <c r="Y125" s="6"/>
    </row>
    <row r="126" spans="1:25">
      <c r="A126" t="s">
        <v>224</v>
      </c>
      <c r="B126">
        <v>2023</v>
      </c>
      <c r="C126" s="6">
        <f>SUMIFS(C$3:C$104,$B$3:$B$104,$B126)-(C100+C104)/2</f>
        <v>15223172.239519529</v>
      </c>
      <c r="D126" s="6">
        <f t="shared" ref="D126:J126" si="31">SUMIFS(D$3:D$104,$B$3:$B$104,$B126)-(D100+D104)/2</f>
        <v>5191656.1777630942</v>
      </c>
      <c r="E126" s="6">
        <f t="shared" si="31"/>
        <v>32975600.252034266</v>
      </c>
      <c r="F126" s="6">
        <f>SUMIFS(F$3:F$104,$B$3:$B$104,$B126)-(F100+F104)/2</f>
        <v>5225064.9310063524</v>
      </c>
      <c r="G126" s="6">
        <f t="shared" si="31"/>
        <v>0</v>
      </c>
      <c r="H126" s="6">
        <f t="shared" si="31"/>
        <v>0</v>
      </c>
      <c r="I126" s="6">
        <f t="shared" si="31"/>
        <v>0</v>
      </c>
      <c r="J126" s="6">
        <f t="shared" si="31"/>
        <v>2063654.8991353344</v>
      </c>
      <c r="K126" s="6"/>
      <c r="N126">
        <v>2023</v>
      </c>
      <c r="O126" s="6">
        <f>SUMIFS(O$3:O$104,$B$3:$B$104,$B126)-(O100+O104)/2</f>
        <v>0</v>
      </c>
      <c r="P126" s="6">
        <f t="shared" ref="P126:Q126" si="32">SUMIFS(P$3:P$104,$B$3:$B$104,$B126)-(P100+P104)/2</f>
        <v>0</v>
      </c>
      <c r="Q126" s="6">
        <f t="shared" si="32"/>
        <v>290757.17530487198</v>
      </c>
      <c r="R126" s="6">
        <f>SUMIFS(R$3:R$104,$B$3:$B$104,$B126)-(R100+R104)/2</f>
        <v>-444500.39749283448</v>
      </c>
      <c r="S126" s="6">
        <f t="shared" ref="S126:V126" si="33">SUMIFS(S$3:S$104,$B$3:$B$104,$B126)-(S100+S104)/2</f>
        <v>0</v>
      </c>
      <c r="T126" s="6">
        <f t="shared" si="33"/>
        <v>0</v>
      </c>
      <c r="U126" s="6">
        <f t="shared" si="33"/>
        <v>0</v>
      </c>
      <c r="V126" s="6">
        <f t="shared" si="33"/>
        <v>153743.2221879625</v>
      </c>
    </row>
    <row r="129" spans="1:22">
      <c r="A129" t="s">
        <v>361</v>
      </c>
      <c r="B129">
        <v>2022</v>
      </c>
      <c r="C129" s="19">
        <f>SUMIFS(C$3:C$107,$B$3:$B$107,$B129)-C106/2</f>
        <v>15602303.91839695</v>
      </c>
      <c r="D129" s="19">
        <f t="shared" ref="D129:I130" si="34">SUMIFS(D$3:D$107,$B$3:$B$107,$B129)-D106/2</f>
        <v>5892917.8494603606</v>
      </c>
      <c r="E129" s="19">
        <f t="shared" si="34"/>
        <v>36064902.710203722</v>
      </c>
      <c r="F129" s="19">
        <f t="shared" si="34"/>
        <v>5511282.7885953989</v>
      </c>
      <c r="G129" s="19">
        <f t="shared" si="34"/>
        <v>0</v>
      </c>
      <c r="H129" s="19">
        <f t="shared" si="34"/>
        <v>0</v>
      </c>
      <c r="I129" s="19">
        <f t="shared" si="34"/>
        <v>0</v>
      </c>
      <c r="J129" s="19">
        <f>SUMIFS(J$3:J$107,$B$3:$B$107,$B129)-J106/2</f>
        <v>3307890.5161160701</v>
      </c>
      <c r="N129">
        <v>2022</v>
      </c>
      <c r="O129" s="19">
        <f>SUMIFS(O$3:O$107,$B$3:$B$107,$B129)-O106/2</f>
        <v>0</v>
      </c>
      <c r="P129" s="19">
        <f t="shared" ref="P129:U129" si="35">SUMIFS(P$3:P$107,$B$3:$B$107,$B129)-P106/2</f>
        <v>0</v>
      </c>
      <c r="Q129" s="19">
        <f>SUMIFS(Q$3:Q$107,$B$3:$B$107,$B129)-Q106/2</f>
        <v>527574.02411011048</v>
      </c>
      <c r="R129" s="19">
        <f>SUMIFS(R$3:R$107,$B$3:$B$107,$B129)-R106/2</f>
        <v>-683316.4051158214</v>
      </c>
      <c r="S129" s="19">
        <f t="shared" si="35"/>
        <v>0</v>
      </c>
      <c r="T129" s="19">
        <f t="shared" si="35"/>
        <v>0</v>
      </c>
      <c r="U129" s="19">
        <f t="shared" si="35"/>
        <v>0</v>
      </c>
      <c r="V129" s="19">
        <f>SUMIFS(V$3:V$107,$B$3:$B$107,$B129)-V106/2</f>
        <v>155742.38100571098</v>
      </c>
    </row>
    <row r="130" spans="1:22">
      <c r="A130" t="s">
        <v>362</v>
      </c>
      <c r="B130">
        <v>2023</v>
      </c>
      <c r="C130" s="19">
        <f>SUMIFS(C$3:C$107,$B$3:$B$107,$B130)-C107/2</f>
        <v>15499274.311623618</v>
      </c>
      <c r="D130" s="19">
        <f>SUMIFS(D$3:D$107,$B$3:$B$107,$B130)-D107/2</f>
        <v>5804821.3541641245</v>
      </c>
      <c r="E130" s="19">
        <f>SUMIFS(E$3:E$107,$B$3:$B$107,$B130)-E107/2</f>
        <v>35424161.533766665</v>
      </c>
      <c r="F130" s="19">
        <f>SUMIFS(F$3:F$107,$B$3:$B$107,$B130)-F107/2</f>
        <v>5489828.3717851005</v>
      </c>
      <c r="G130" s="19">
        <f>SUMIFS(G$3:G$107,$B$3:$B$107,$B130)-G107/2</f>
        <v>0</v>
      </c>
      <c r="H130" s="19">
        <f t="shared" si="34"/>
        <v>0</v>
      </c>
      <c r="I130" s="19">
        <f t="shared" si="34"/>
        <v>0</v>
      </c>
      <c r="J130" s="19">
        <f>SUMIFS(J$3:J$107,$B$3:$B$107,$B130)-J107/2</f>
        <v>3295779.9901073868</v>
      </c>
      <c r="N130">
        <v>2023</v>
      </c>
      <c r="O130" s="19">
        <f>SUMIFS(O$3:O$107,$B$3:$B$107,$B130)-O107/2</f>
        <v>0</v>
      </c>
      <c r="P130" s="19">
        <f>SUMIFS(P$3:P$107,$B$3:$B$107,$B130)-P107/2</f>
        <v>0</v>
      </c>
      <c r="Q130" s="19">
        <f>SUMIFS(Q$3:Q$107,$B$3:$B$107,$B130)-Q107/2</f>
        <v>526189.86105221463</v>
      </c>
      <c r="R130" s="19">
        <f>SUMIFS(R$3:R$107,$B$3:$B$107,$B130)-R107/2</f>
        <v>-679933.08324017702</v>
      </c>
      <c r="S130" s="19">
        <f>SUMIFS(S$3:S$107,$B$3:$B$107,$B130)-S107/2</f>
        <v>0</v>
      </c>
      <c r="T130" s="19">
        <f t="shared" ref="T130:U130" si="36">SUMIFS(T$3:T$107,$B$3:$B$107,$B130)-T107/2</f>
        <v>0</v>
      </c>
      <c r="U130" s="19">
        <f t="shared" si="36"/>
        <v>0</v>
      </c>
      <c r="V130" s="19">
        <f>SUMIFS(V$3:V$107,$B$3:$B$107,$B130)-V107/2</f>
        <v>153743.2221879625</v>
      </c>
    </row>
    <row r="131" spans="1:22">
      <c r="A131" t="s">
        <v>224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2:AE51"/>
  <sheetViews>
    <sheetView topLeftCell="G1" workbookViewId="0">
      <selection activeCell="X28" sqref="X28"/>
    </sheetView>
  </sheetViews>
  <sheetFormatPr defaultColWidth="7.85546875" defaultRowHeight="12.75"/>
  <cols>
    <col min="1" max="1" width="11.42578125" style="22" customWidth="1"/>
    <col min="2" max="2" width="5.85546875" style="22" customWidth="1"/>
    <col min="3" max="3" width="18.7109375" style="22" bestFit="1" customWidth="1"/>
    <col min="4" max="4" width="13.5703125" style="22" customWidth="1"/>
    <col min="5" max="5" width="12.5703125" style="22" customWidth="1"/>
    <col min="6" max="6" width="10.7109375" style="22" customWidth="1"/>
    <col min="7" max="7" width="12.42578125" style="22" customWidth="1"/>
    <col min="8" max="8" width="5" style="22" bestFit="1" customWidth="1"/>
    <col min="9" max="9" width="16" style="22" bestFit="1" customWidth="1"/>
    <col min="10" max="10" width="12.42578125" style="22" bestFit="1" customWidth="1"/>
    <col min="11" max="11" width="10.28515625" style="22" bestFit="1" customWidth="1"/>
    <col min="12" max="12" width="10.28515625" style="22" customWidth="1"/>
    <col min="13" max="13" width="11.85546875" style="22" customWidth="1"/>
    <col min="14" max="14" width="5" style="22" bestFit="1" customWidth="1"/>
    <col min="15" max="15" width="14.5703125" style="22" customWidth="1"/>
    <col min="16" max="16" width="12.42578125" style="22" bestFit="1" customWidth="1"/>
    <col min="17" max="17" width="10.28515625" style="22" bestFit="1" customWidth="1"/>
    <col min="18" max="18" width="10.28515625" style="22" customWidth="1"/>
    <col min="19" max="19" width="11.7109375" style="22" customWidth="1"/>
    <col min="20" max="20" width="5" style="22" bestFit="1" customWidth="1"/>
    <col min="21" max="21" width="13" style="22" bestFit="1" customWidth="1"/>
    <col min="22" max="22" width="12.5703125" style="22" bestFit="1" customWidth="1"/>
    <col min="23" max="23" width="10.28515625" style="22" bestFit="1" customWidth="1"/>
    <col min="24" max="24" width="10.28515625" style="22" customWidth="1"/>
    <col min="25" max="25" width="7.85546875" style="22"/>
    <col min="26" max="26" width="5" style="22" bestFit="1" customWidth="1"/>
    <col min="27" max="28" width="12.42578125" style="22" bestFit="1" customWidth="1"/>
    <col min="29" max="29" width="10.28515625" style="22" bestFit="1" customWidth="1"/>
    <col min="30" max="30" width="10.28515625" style="22" customWidth="1"/>
    <col min="31" max="31" width="8.5703125" style="22" bestFit="1" customWidth="1"/>
    <col min="32" max="16384" width="7.85546875" style="22"/>
  </cols>
  <sheetData>
    <row r="2" spans="1:30" s="48" customFormat="1" ht="12.75" customHeight="1">
      <c r="B2" s="325" t="s">
        <v>26</v>
      </c>
      <c r="C2" s="325"/>
      <c r="D2" s="325"/>
      <c r="E2" s="325"/>
      <c r="F2" s="325"/>
      <c r="H2" s="325" t="s">
        <v>27</v>
      </c>
      <c r="I2" s="325"/>
      <c r="J2" s="325"/>
      <c r="K2" s="325"/>
      <c r="L2" s="325"/>
      <c r="N2" s="325" t="s">
        <v>154</v>
      </c>
      <c r="O2" s="325"/>
      <c r="P2" s="325"/>
      <c r="Q2" s="325"/>
      <c r="R2" s="325"/>
      <c r="T2" s="325" t="s">
        <v>149</v>
      </c>
      <c r="U2" s="325"/>
      <c r="V2" s="325"/>
      <c r="W2" s="325"/>
      <c r="X2" s="325"/>
      <c r="Z2" s="325" t="s">
        <v>155</v>
      </c>
      <c r="AA2" s="325"/>
      <c r="AB2" s="325"/>
      <c r="AC2" s="325"/>
      <c r="AD2" s="325"/>
    </row>
    <row r="3" spans="1:30" ht="38.25">
      <c r="B3" s="22" t="s">
        <v>53</v>
      </c>
      <c r="C3" s="38" t="s">
        <v>70</v>
      </c>
      <c r="D3" s="39" t="s">
        <v>74</v>
      </c>
      <c r="E3" s="38" t="s">
        <v>156</v>
      </c>
      <c r="F3" s="39" t="s">
        <v>157</v>
      </c>
      <c r="H3" s="22" t="s">
        <v>53</v>
      </c>
      <c r="I3" s="38" t="s">
        <v>70</v>
      </c>
      <c r="J3" s="39" t="s">
        <v>74</v>
      </c>
      <c r="K3" s="38" t="s">
        <v>156</v>
      </c>
      <c r="L3" s="39" t="s">
        <v>157</v>
      </c>
      <c r="N3" s="22" t="s">
        <v>53</v>
      </c>
      <c r="O3" s="38" t="s">
        <v>70</v>
      </c>
      <c r="P3" s="39" t="s">
        <v>74</v>
      </c>
      <c r="Q3" s="38" t="s">
        <v>156</v>
      </c>
      <c r="R3" s="39" t="s">
        <v>157</v>
      </c>
      <c r="T3" s="22" t="s">
        <v>53</v>
      </c>
      <c r="U3" s="38" t="s">
        <v>70</v>
      </c>
      <c r="V3" s="39" t="s">
        <v>74</v>
      </c>
      <c r="W3" s="38" t="s">
        <v>156</v>
      </c>
      <c r="X3" s="39" t="s">
        <v>157</v>
      </c>
      <c r="Z3" s="22" t="s">
        <v>53</v>
      </c>
      <c r="AA3" s="38" t="s">
        <v>70</v>
      </c>
      <c r="AB3" s="39" t="s">
        <v>74</v>
      </c>
      <c r="AC3" s="38" t="s">
        <v>156</v>
      </c>
      <c r="AD3" s="39" t="s">
        <v>157</v>
      </c>
    </row>
    <row r="4" spans="1:30" s="49" customFormat="1">
      <c r="C4" s="49" t="s">
        <v>141</v>
      </c>
      <c r="D4" s="49" t="s">
        <v>142</v>
      </c>
      <c r="E4" s="49" t="s">
        <v>158</v>
      </c>
      <c r="I4" s="49" t="s">
        <v>141</v>
      </c>
      <c r="J4" s="49" t="s">
        <v>142</v>
      </c>
      <c r="K4" s="49" t="s">
        <v>158</v>
      </c>
      <c r="O4" s="49" t="s">
        <v>141</v>
      </c>
      <c r="P4" s="49" t="s">
        <v>142</v>
      </c>
      <c r="Q4" s="49" t="s">
        <v>158</v>
      </c>
      <c r="U4" s="49" t="s">
        <v>141</v>
      </c>
      <c r="V4" s="49" t="s">
        <v>142</v>
      </c>
      <c r="W4" s="49" t="s">
        <v>158</v>
      </c>
      <c r="AA4" s="49" t="s">
        <v>141</v>
      </c>
      <c r="AB4" s="49" t="s">
        <v>142</v>
      </c>
      <c r="AC4" s="49" t="s">
        <v>158</v>
      </c>
    </row>
    <row r="5" spans="1:30">
      <c r="B5" s="22">
        <v>2012</v>
      </c>
      <c r="C5" s="32">
        <f>'Normalized Annual Summary'!U5</f>
        <v>234251734.89474314</v>
      </c>
      <c r="D5" s="32">
        <v>664967.59421380539</v>
      </c>
      <c r="E5" s="50">
        <f t="shared" ref="E5:E11" si="0">D5/C5</f>
        <v>2.8386880230048105E-3</v>
      </c>
      <c r="F5" s="50">
        <f>AVERAGE(E5:E5)</f>
        <v>2.8386880230048105E-3</v>
      </c>
      <c r="H5" s="22">
        <v>2012</v>
      </c>
      <c r="I5" s="32">
        <f>'Normalized Annual Summary'!AD5</f>
        <v>126895902.8686</v>
      </c>
      <c r="J5" s="32">
        <v>245825.58095407838</v>
      </c>
      <c r="K5" s="50">
        <f t="shared" ref="K5:K11" si="1">J5/I5</f>
        <v>1.9372223641343992E-3</v>
      </c>
      <c r="L5" s="50">
        <f>AVERAGE(K5:K5)</f>
        <v>1.9372223641343992E-3</v>
      </c>
      <c r="N5" s="22">
        <v>2012</v>
      </c>
      <c r="O5" s="32">
        <f>'Normalized Annual Summary'!AM5</f>
        <v>272631443.27339244</v>
      </c>
      <c r="P5" s="32">
        <v>461827.14003211632</v>
      </c>
      <c r="Q5" s="50">
        <f t="shared" ref="Q5:Q11" si="2">P5/O5</f>
        <v>1.693961395234225E-3</v>
      </c>
      <c r="R5" s="50">
        <f>AVERAGE(Q5:Q5)</f>
        <v>1.693961395234225E-3</v>
      </c>
      <c r="T5" s="22">
        <v>2012</v>
      </c>
      <c r="U5" s="32">
        <f>'Normalized Annual Summary'!AV5</f>
        <v>9019466.9023068007</v>
      </c>
      <c r="V5" s="32">
        <v>24276.26</v>
      </c>
      <c r="W5" s="50">
        <f t="shared" ref="W5:W11" si="3">V5/U5</f>
        <v>2.691540449446203E-3</v>
      </c>
      <c r="X5" s="50">
        <f>AVERAGE(W5:W5)</f>
        <v>2.691540449446203E-3</v>
      </c>
      <c r="Z5" s="22">
        <v>2012</v>
      </c>
      <c r="AA5" s="32">
        <f>'Normalized Annual Summary'!BB5</f>
        <v>572652.99600000004</v>
      </c>
      <c r="AB5" s="32">
        <v>1358.693</v>
      </c>
      <c r="AC5" s="50">
        <f t="shared" ref="AC5:AC11" si="4">AB5/AA5</f>
        <v>2.3726288162124621E-3</v>
      </c>
      <c r="AD5" s="50">
        <f>AVERAGE(AC5:AC5)</f>
        <v>2.3726288162124621E-3</v>
      </c>
    </row>
    <row r="6" spans="1:30">
      <c r="A6" s="22" t="s">
        <v>137</v>
      </c>
      <c r="B6" s="22">
        <f t="shared" ref="B6:B13" si="5">B5+1</f>
        <v>2013</v>
      </c>
      <c r="C6" s="32">
        <f>'Normalized Annual Summary'!U6</f>
        <v>233430195.35340962</v>
      </c>
      <c r="D6" s="32">
        <v>653752.23119593621</v>
      </c>
      <c r="E6" s="50">
        <f t="shared" si="0"/>
        <v>2.8006326696773986E-3</v>
      </c>
      <c r="F6" s="50">
        <f>AVERAGE(E5:E6)</f>
        <v>2.8196603463411045E-3</v>
      </c>
      <c r="H6" s="22">
        <f t="shared" ref="H6:H13" si="6">H5+1</f>
        <v>2013</v>
      </c>
      <c r="I6" s="32">
        <f>'Normalized Annual Summary'!AD6</f>
        <v>132211130.93339999</v>
      </c>
      <c r="J6" s="32">
        <v>252595.35793681574</v>
      </c>
      <c r="K6" s="50">
        <f t="shared" si="1"/>
        <v>1.9105453236313216E-3</v>
      </c>
      <c r="L6" s="50">
        <f>AVERAGE(K5:K6)</f>
        <v>1.9238838438828604E-3</v>
      </c>
      <c r="N6" s="22">
        <f t="shared" ref="N6:N13" si="7">N5+1</f>
        <v>2013</v>
      </c>
      <c r="O6" s="32">
        <f>'Normalized Annual Summary'!AM6</f>
        <v>264004765.672095</v>
      </c>
      <c r="P6" s="32">
        <v>446265.186827072</v>
      </c>
      <c r="Q6" s="50">
        <f t="shared" si="2"/>
        <v>1.6903679207872788E-3</v>
      </c>
      <c r="R6" s="50">
        <f>AVERAGE(Q5:Q6)</f>
        <v>1.6921646580107519E-3</v>
      </c>
      <c r="T6" s="22">
        <f t="shared" ref="T6:T13" si="8">T5+1</f>
        <v>2013</v>
      </c>
      <c r="U6" s="32">
        <f>'Normalized Annual Summary'!AV6</f>
        <v>9144166.018151382</v>
      </c>
      <c r="V6" s="32">
        <v>24350.724000000002</v>
      </c>
      <c r="W6" s="50">
        <f t="shared" si="3"/>
        <v>2.6629792100956225E-3</v>
      </c>
      <c r="X6" s="50">
        <f>AVERAGE(W5:W6)</f>
        <v>2.677259829770913E-3</v>
      </c>
      <c r="Z6" s="22">
        <f t="shared" ref="Z6:Z13" si="9">Z5+1</f>
        <v>2013</v>
      </c>
      <c r="AA6" s="32">
        <f>'Normalized Annual Summary'!BB6</f>
        <v>547347.48</v>
      </c>
      <c r="AB6" s="32">
        <v>1313.0620000000001</v>
      </c>
      <c r="AC6" s="50">
        <f t="shared" si="4"/>
        <v>2.398955047714845E-3</v>
      </c>
      <c r="AD6" s="50">
        <f>AVERAGE(AC5:AC6)</f>
        <v>2.3857919319636538E-3</v>
      </c>
    </row>
    <row r="7" spans="1:30">
      <c r="B7" s="22">
        <f t="shared" si="5"/>
        <v>2014</v>
      </c>
      <c r="C7" s="32">
        <f>'Normalized Annual Summary'!U7</f>
        <v>224657845.57076851</v>
      </c>
      <c r="D7" s="32">
        <v>633553.39923646743</v>
      </c>
      <c r="E7" s="50">
        <f t="shared" si="0"/>
        <v>2.8200813447082332E-3</v>
      </c>
      <c r="F7" s="50">
        <f t="shared" ref="F7:F12" si="10">AVERAGE(E5:E7)</f>
        <v>2.8198006791301474E-3</v>
      </c>
      <c r="H7" s="22">
        <f t="shared" si="6"/>
        <v>2014</v>
      </c>
      <c r="I7" s="32">
        <f>'Normalized Annual Summary'!AD7</f>
        <v>130549125.32099999</v>
      </c>
      <c r="J7" s="32">
        <v>258573.08062859904</v>
      </c>
      <c r="K7" s="50">
        <f t="shared" si="1"/>
        <v>1.9806573195554397E-3</v>
      </c>
      <c r="L7" s="50">
        <f t="shared" ref="L7:L12" si="11">AVERAGE(K5:K7)</f>
        <v>1.9428083357737203E-3</v>
      </c>
      <c r="N7" s="22">
        <f t="shared" si="7"/>
        <v>2014</v>
      </c>
      <c r="O7" s="32">
        <f>'Normalized Annual Summary'!AM7</f>
        <v>269591766.27768004</v>
      </c>
      <c r="P7" s="32">
        <v>465256.08118981717</v>
      </c>
      <c r="Q7" s="50">
        <f t="shared" si="2"/>
        <v>1.7257800103234701E-3</v>
      </c>
      <c r="R7" s="50">
        <f t="shared" ref="R7:R12" si="12">AVERAGE(Q5:Q7)</f>
        <v>1.7033697754483244E-3</v>
      </c>
      <c r="T7" s="22">
        <f t="shared" si="8"/>
        <v>2014</v>
      </c>
      <c r="U7" s="32">
        <f>'Normalized Annual Summary'!AV7</f>
        <v>8086583.2770350762</v>
      </c>
      <c r="V7" s="32">
        <v>21697.097001631322</v>
      </c>
      <c r="W7" s="50">
        <f t="shared" si="3"/>
        <v>2.6830981959028938E-3</v>
      </c>
      <c r="X7" s="50">
        <f t="shared" ref="X7:X11" si="13">AVERAGE(W5:W7)</f>
        <v>2.6792059518149064E-3</v>
      </c>
      <c r="Z7" s="22">
        <f t="shared" si="9"/>
        <v>2014</v>
      </c>
      <c r="AA7" s="32">
        <f>'Normalized Annual Summary'!BB7</f>
        <v>536887.44000000006</v>
      </c>
      <c r="AB7" s="32">
        <v>1278.0620000000001</v>
      </c>
      <c r="AC7" s="50">
        <f t="shared" si="4"/>
        <v>2.3805026990387406E-3</v>
      </c>
      <c r="AD7" s="50">
        <f t="shared" ref="AD7:AD10" si="14">AVERAGE(AC5:AC7)</f>
        <v>2.3840288543220162E-3</v>
      </c>
    </row>
    <row r="8" spans="1:30">
      <c r="B8" s="22">
        <f t="shared" si="5"/>
        <v>2015</v>
      </c>
      <c r="C8" s="32">
        <f>'Normalized Annual Summary'!U8</f>
        <v>218194347.05538249</v>
      </c>
      <c r="D8" s="32">
        <v>608069.44267424359</v>
      </c>
      <c r="E8" s="50">
        <f t="shared" si="0"/>
        <v>2.7868249149456759E-3</v>
      </c>
      <c r="F8" s="50">
        <f t="shared" si="10"/>
        <v>2.8025129764437696E-3</v>
      </c>
      <c r="H8" s="22">
        <f t="shared" si="6"/>
        <v>2015</v>
      </c>
      <c r="I8" s="32">
        <f>'Normalized Annual Summary'!AD8</f>
        <v>127712881.49879999</v>
      </c>
      <c r="J8" s="32">
        <v>250508.13627718703</v>
      </c>
      <c r="K8" s="50">
        <f t="shared" si="1"/>
        <v>1.9614946694280076E-3</v>
      </c>
      <c r="L8" s="50">
        <f t="shared" si="11"/>
        <v>1.9508991042049232E-3</v>
      </c>
      <c r="N8" s="22">
        <f t="shared" si="7"/>
        <v>2015</v>
      </c>
      <c r="O8" s="32">
        <f>'Normalized Annual Summary'!AM8</f>
        <v>272823999.19582504</v>
      </c>
      <c r="P8" s="32">
        <v>459246.2355485693</v>
      </c>
      <c r="Q8" s="50">
        <f t="shared" si="2"/>
        <v>1.6833058561645665E-3</v>
      </c>
      <c r="R8" s="50">
        <f t="shared" si="12"/>
        <v>1.6998179290917718E-3</v>
      </c>
      <c r="T8" s="22">
        <f t="shared" si="8"/>
        <v>2015</v>
      </c>
      <c r="U8" s="32">
        <f>'Normalized Annual Summary'!AV8</f>
        <v>6427056.8045899998</v>
      </c>
      <c r="V8" s="32">
        <v>17286.991099999996</v>
      </c>
      <c r="W8" s="50">
        <f t="shared" si="3"/>
        <v>2.6897212247531679E-3</v>
      </c>
      <c r="X8" s="50">
        <f t="shared" si="13"/>
        <v>2.6785995435838947E-3</v>
      </c>
      <c r="Z8" s="22">
        <f t="shared" si="9"/>
        <v>2015</v>
      </c>
      <c r="AA8" s="32">
        <f>'Normalized Annual Summary'!BB8</f>
        <v>507379.83599999995</v>
      </c>
      <c r="AB8" s="32">
        <v>1253.884</v>
      </c>
      <c r="AC8" s="50">
        <f t="shared" si="4"/>
        <v>2.4712925327998255E-3</v>
      </c>
      <c r="AD8" s="50">
        <f t="shared" si="14"/>
        <v>2.4169167598511367E-3</v>
      </c>
    </row>
    <row r="9" spans="1:30">
      <c r="B9" s="22">
        <f t="shared" si="5"/>
        <v>2016</v>
      </c>
      <c r="C9" s="32">
        <f>'Normalized Annual Summary'!U9</f>
        <v>216056699.61478987</v>
      </c>
      <c r="D9" s="32">
        <v>600288.69688747183</v>
      </c>
      <c r="E9" s="50">
        <f t="shared" si="0"/>
        <v>2.7783850163301295E-3</v>
      </c>
      <c r="F9" s="50">
        <f t="shared" si="10"/>
        <v>2.7950970919946795E-3</v>
      </c>
      <c r="H9" s="22">
        <f t="shared" si="6"/>
        <v>2016</v>
      </c>
      <c r="I9" s="32">
        <f>'Normalized Annual Summary'!AD9</f>
        <v>124246025.7656</v>
      </c>
      <c r="J9" s="32">
        <v>237319.93888641059</v>
      </c>
      <c r="K9" s="50">
        <f t="shared" si="1"/>
        <v>1.910080724305287E-3</v>
      </c>
      <c r="L9" s="50">
        <f t="shared" si="11"/>
        <v>1.9507442377629115E-3</v>
      </c>
      <c r="N9" s="22">
        <f t="shared" si="7"/>
        <v>2016</v>
      </c>
      <c r="O9" s="32">
        <f>'Normalized Annual Summary'!AM9</f>
        <v>300037282.51909494</v>
      </c>
      <c r="P9" s="32">
        <v>481850.01605768601</v>
      </c>
      <c r="Q9" s="50">
        <f t="shared" si="2"/>
        <v>1.6059671385239272E-3</v>
      </c>
      <c r="R9" s="50">
        <f t="shared" si="12"/>
        <v>1.671684335003988E-3</v>
      </c>
      <c r="T9" s="22">
        <f t="shared" si="8"/>
        <v>2016</v>
      </c>
      <c r="U9" s="32">
        <f>'Normalized Annual Summary'!AV9</f>
        <v>5119606.1326600015</v>
      </c>
      <c r="V9" s="32">
        <v>13685.656021495031</v>
      </c>
      <c r="W9" s="50">
        <f t="shared" si="3"/>
        <v>2.6731853324006303E-3</v>
      </c>
      <c r="X9" s="50">
        <f t="shared" si="13"/>
        <v>2.6820015843522309E-3</v>
      </c>
      <c r="Z9" s="22">
        <f t="shared" si="9"/>
        <v>2016</v>
      </c>
      <c r="AA9" s="32">
        <f>'Normalized Annual Summary'!BB9</f>
        <v>497068.96799999988</v>
      </c>
      <c r="AB9" s="32">
        <v>1204.954</v>
      </c>
      <c r="AC9" s="50">
        <f t="shared" si="4"/>
        <v>2.4241183368340956E-3</v>
      </c>
      <c r="AD9" s="50">
        <f t="shared" si="14"/>
        <v>2.4253045228908874E-3</v>
      </c>
    </row>
    <row r="10" spans="1:30">
      <c r="B10" s="22">
        <f t="shared" si="5"/>
        <v>2017</v>
      </c>
      <c r="C10" s="32">
        <f>'Normalized Annual Summary'!U10</f>
        <v>204648181.01987115</v>
      </c>
      <c r="D10" s="32">
        <v>586835.88546844746</v>
      </c>
      <c r="E10" s="50">
        <f t="shared" si="0"/>
        <v>2.8675353113031886E-3</v>
      </c>
      <c r="F10" s="50">
        <f t="shared" si="10"/>
        <v>2.8109150808596647E-3</v>
      </c>
      <c r="H10" s="22">
        <f t="shared" si="6"/>
        <v>2017</v>
      </c>
      <c r="I10" s="32">
        <f>'Normalized Annual Summary'!AD10</f>
        <v>123613582.23840001</v>
      </c>
      <c r="J10" s="32">
        <v>242929.6181180173</v>
      </c>
      <c r="K10" s="50">
        <f t="shared" si="1"/>
        <v>1.9652340278393152E-3</v>
      </c>
      <c r="L10" s="50">
        <f t="shared" si="11"/>
        <v>1.9456031405242033E-3</v>
      </c>
      <c r="N10" s="22">
        <f t="shared" si="7"/>
        <v>2017</v>
      </c>
      <c r="O10" s="32">
        <f>'Normalized Annual Summary'!AM10</f>
        <v>289478993.77460253</v>
      </c>
      <c r="P10" s="32">
        <v>479867.14926132001</v>
      </c>
      <c r="Q10" s="50">
        <f t="shared" si="2"/>
        <v>1.6576924736547885E-3</v>
      </c>
      <c r="R10" s="50">
        <f t="shared" si="12"/>
        <v>1.6489884894477606E-3</v>
      </c>
      <c r="T10" s="22">
        <f t="shared" si="8"/>
        <v>2017</v>
      </c>
      <c r="U10" s="32">
        <f>'Normalized Annual Summary'!AV10</f>
        <v>4349789.3748699967</v>
      </c>
      <c r="V10" s="32">
        <v>11694.634499999998</v>
      </c>
      <c r="W10" s="50">
        <f t="shared" si="3"/>
        <v>2.6885519026652914E-3</v>
      </c>
      <c r="X10" s="50">
        <f t="shared" si="13"/>
        <v>2.6838194866063633E-3</v>
      </c>
      <c r="Z10" s="22">
        <f t="shared" si="9"/>
        <v>2017</v>
      </c>
      <c r="AA10" s="32">
        <f>'Normalized Annual Summary'!BB10</f>
        <v>476322.47087148222</v>
      </c>
      <c r="AB10" s="32">
        <v>1323.6390000000001</v>
      </c>
      <c r="AC10" s="50">
        <f t="shared" si="4"/>
        <v>2.7788716278244504E-3</v>
      </c>
      <c r="AD10" s="50">
        <f t="shared" si="14"/>
        <v>2.5580941658194575E-3</v>
      </c>
    </row>
    <row r="11" spans="1:30">
      <c r="B11" s="22">
        <f t="shared" si="5"/>
        <v>2018</v>
      </c>
      <c r="C11" s="32">
        <f>'Normalized Annual Summary'!U11</f>
        <v>206166950.13402587</v>
      </c>
      <c r="D11" s="32">
        <v>584727.66599405033</v>
      </c>
      <c r="E11" s="50">
        <f t="shared" si="0"/>
        <v>2.8361852644855452E-3</v>
      </c>
      <c r="F11" s="50">
        <f t="shared" si="10"/>
        <v>2.8273685307062882E-3</v>
      </c>
      <c r="H11" s="22">
        <f t="shared" si="6"/>
        <v>2018</v>
      </c>
      <c r="I11" s="32">
        <f>'Normalized Annual Summary'!AD11</f>
        <v>122358953.95090002</v>
      </c>
      <c r="J11" s="32">
        <v>241691.09115046132</v>
      </c>
      <c r="K11" s="50">
        <f t="shared" si="1"/>
        <v>1.9752628095157359E-3</v>
      </c>
      <c r="L11" s="50">
        <f t="shared" si="11"/>
        <v>1.9501925205534459E-3</v>
      </c>
      <c r="N11" s="22">
        <f t="shared" si="7"/>
        <v>2018</v>
      </c>
      <c r="O11" s="32">
        <f>'Normalized Annual Summary'!AM11</f>
        <v>287387431.13281</v>
      </c>
      <c r="P11" s="32">
        <v>486458.82030932442</v>
      </c>
      <c r="Q11" s="50">
        <f t="shared" si="2"/>
        <v>1.6926934431050946E-3</v>
      </c>
      <c r="R11" s="50">
        <f t="shared" si="12"/>
        <v>1.6521176850946035E-3</v>
      </c>
      <c r="T11" s="22">
        <f t="shared" si="8"/>
        <v>2018</v>
      </c>
      <c r="U11" s="32">
        <f>'Normalized Annual Summary'!AV11</f>
        <v>3664817.2994635967</v>
      </c>
      <c r="V11" s="32">
        <v>10173.279999999999</v>
      </c>
      <c r="W11" s="50">
        <f t="shared" si="3"/>
        <v>2.7759310133929505E-3</v>
      </c>
      <c r="X11" s="50">
        <f t="shared" si="13"/>
        <v>2.7125560828196241E-3</v>
      </c>
      <c r="Z11" s="22">
        <f t="shared" si="9"/>
        <v>2018</v>
      </c>
      <c r="AA11" s="32">
        <f>'Normalized Annual Summary'!BB11</f>
        <v>453200.06129471678</v>
      </c>
      <c r="AB11" s="32">
        <v>1301.942</v>
      </c>
      <c r="AC11" s="50">
        <f t="shared" si="4"/>
        <v>2.8727754278774133E-3</v>
      </c>
      <c r="AD11" s="50">
        <f>AVERAGE(AC9:AC10)</f>
        <v>2.6014949823292728E-3</v>
      </c>
    </row>
    <row r="12" spans="1:30">
      <c r="B12" s="22">
        <f>B11+1</f>
        <v>2019</v>
      </c>
      <c r="C12" s="32">
        <f>'Normalized Annual Summary'!U12</f>
        <v>203960179.99720001</v>
      </c>
      <c r="D12" s="32">
        <v>559697.61001746764</v>
      </c>
      <c r="E12" s="50">
        <f>D12/C12</f>
        <v>2.7441513830059926E-3</v>
      </c>
      <c r="F12" s="50">
        <f t="shared" si="10"/>
        <v>2.8159573195982424E-3</v>
      </c>
      <c r="H12" s="22">
        <f>H11+1</f>
        <v>2019</v>
      </c>
      <c r="I12" s="32">
        <f>'Normalized Annual Summary'!AD12</f>
        <v>120082524.1001</v>
      </c>
      <c r="J12" s="32">
        <v>232237.65558253234</v>
      </c>
      <c r="K12" s="50">
        <f>J12/I12</f>
        <v>1.9339837942525307E-3</v>
      </c>
      <c r="L12" s="50">
        <f t="shared" si="11"/>
        <v>1.9581602105358605E-3</v>
      </c>
      <c r="N12" s="22">
        <f>N11+1</f>
        <v>2019</v>
      </c>
      <c r="O12" s="32">
        <f>'Normalized Annual Summary'!AM12</f>
        <v>290955053</v>
      </c>
      <c r="P12" s="32">
        <v>477956</v>
      </c>
      <c r="Q12" s="50">
        <f>P12/O12</f>
        <v>1.642714209881758E-3</v>
      </c>
      <c r="R12" s="50">
        <f t="shared" si="12"/>
        <v>1.6643667088805469E-3</v>
      </c>
      <c r="T12" s="22">
        <f>T11+1</f>
        <v>2019</v>
      </c>
      <c r="U12" s="32">
        <f>'Normalized Annual Summary'!AV12</f>
        <v>3457005</v>
      </c>
      <c r="V12" s="32">
        <v>9620</v>
      </c>
      <c r="W12" s="50">
        <f>V12/U12</f>
        <v>2.782755593353206E-3</v>
      </c>
      <c r="X12" s="50">
        <f>AVERAGE(W10:W12)</f>
        <v>2.7490795031371493E-3</v>
      </c>
      <c r="Z12" s="22">
        <f>Z11+1</f>
        <v>2019</v>
      </c>
      <c r="AA12" s="32">
        <f>'Normalized Annual Summary'!BB12</f>
        <v>474592</v>
      </c>
      <c r="AB12" s="32">
        <v>1302</v>
      </c>
      <c r="AC12" s="50">
        <f>AB12/AA12</f>
        <v>2.7434090755849233E-3</v>
      </c>
      <c r="AD12" s="50">
        <f>AVERAGE(AC10,AC12)</f>
        <v>2.7611403517046867E-3</v>
      </c>
    </row>
    <row r="13" spans="1:30">
      <c r="B13" s="22">
        <f t="shared" si="5"/>
        <v>2020</v>
      </c>
      <c r="C13" s="32">
        <f>'Normalized Annual Summary'!U13</f>
        <v>192408295.54519999</v>
      </c>
      <c r="D13" s="32">
        <v>535863.81596164464</v>
      </c>
      <c r="E13" s="50">
        <f t="shared" ref="E13" si="15">D13/C13</f>
        <v>2.7850348886634211E-3</v>
      </c>
      <c r="F13" s="50">
        <f t="shared" ref="F13:F15" si="16">AVERAGE(E11:E13)</f>
        <v>2.7884571787183195E-3</v>
      </c>
      <c r="H13" s="22">
        <f t="shared" si="6"/>
        <v>2020</v>
      </c>
      <c r="I13" s="32">
        <f>'Normalized Annual Summary'!AD13</f>
        <v>112049205.35920002</v>
      </c>
      <c r="J13" s="32">
        <v>216944.89655174536</v>
      </c>
      <c r="K13" s="50">
        <f t="shared" ref="K13" si="17">J13/I13</f>
        <v>1.9361573860008877E-3</v>
      </c>
      <c r="L13" s="50">
        <f t="shared" ref="L13:L14" si="18">AVERAGE(K11:K13)</f>
        <v>1.9484679965897178E-3</v>
      </c>
      <c r="N13" s="22">
        <f t="shared" si="7"/>
        <v>2020</v>
      </c>
      <c r="O13" s="32">
        <f>'Normalized Annual Summary'!AM13</f>
        <v>281204845.03435504</v>
      </c>
      <c r="P13" s="32">
        <v>461492.62948073435</v>
      </c>
      <c r="Q13" s="50">
        <f t="shared" ref="Q13" si="19">P13/O13</f>
        <v>1.6411261670272908E-3</v>
      </c>
      <c r="R13" s="50">
        <f t="shared" ref="R13:R15" si="20">AVERAGE(Q11:Q13)</f>
        <v>1.6588446066713811E-3</v>
      </c>
      <c r="T13" s="22">
        <f t="shared" si="8"/>
        <v>2020</v>
      </c>
      <c r="U13" s="32">
        <f>'Normalized Annual Summary'!AV13</f>
        <v>3449208.3879999998</v>
      </c>
      <c r="V13" s="32">
        <v>9568.6293999999998</v>
      </c>
      <c r="W13" s="50">
        <f t="shared" ref="W13" si="21">V13/U13</f>
        <v>2.7741523050012948E-3</v>
      </c>
      <c r="X13" s="50">
        <f t="shared" ref="X13" si="22">AVERAGE(W11:W13)</f>
        <v>2.7776129705824842E-3</v>
      </c>
      <c r="Z13" s="22">
        <f t="shared" si="9"/>
        <v>2020</v>
      </c>
      <c r="AA13" s="32">
        <f>'Normalized Annual Summary'!BB13</f>
        <v>439110</v>
      </c>
      <c r="AB13" s="32">
        <v>1195.5739999999983</v>
      </c>
      <c r="AC13" s="50">
        <f t="shared" ref="AC13" si="23">AB13/AA13</f>
        <v>2.722720958302016E-3</v>
      </c>
      <c r="AD13" s="50">
        <f>AVERAGE(AC11:AC12)</f>
        <v>2.8080922517311683E-3</v>
      </c>
    </row>
    <row r="14" spans="1:30">
      <c r="B14" s="22">
        <f>B13+1</f>
        <v>2021</v>
      </c>
      <c r="C14" s="32">
        <f>'Normalized Annual Summary'!U14</f>
        <v>190301136.7771</v>
      </c>
      <c r="D14" s="32">
        <v>533890.47091942793</v>
      </c>
      <c r="E14" s="50">
        <f>D14/C14</f>
        <v>2.8055033194298497E-3</v>
      </c>
      <c r="F14" s="50">
        <f t="shared" si="16"/>
        <v>2.7782298636997542E-3</v>
      </c>
      <c r="H14" s="22">
        <f>H13+1</f>
        <v>2021</v>
      </c>
      <c r="I14" s="32">
        <f>'Normalized Annual Summary'!AD14</f>
        <v>120904790.80819997</v>
      </c>
      <c r="J14" s="32">
        <v>233288.53426302079</v>
      </c>
      <c r="K14" s="50">
        <f>J14/I14</f>
        <v>1.9295226657569202E-3</v>
      </c>
      <c r="L14" s="50">
        <f t="shared" si="18"/>
        <v>1.9332212820034464E-3</v>
      </c>
      <c r="N14" s="22">
        <f>N13+1</f>
        <v>2021</v>
      </c>
      <c r="O14" s="32">
        <f>'Normalized Annual Summary'!AM14</f>
        <v>266221942.0420725</v>
      </c>
      <c r="P14" s="32">
        <v>471315.371652</v>
      </c>
      <c r="Q14" s="50">
        <f>P14/O14</f>
        <v>1.7703851457049151E-3</v>
      </c>
      <c r="R14" s="50">
        <f t="shared" si="20"/>
        <v>1.6847418408713214E-3</v>
      </c>
      <c r="T14" s="22">
        <f>T13+1</f>
        <v>2021</v>
      </c>
      <c r="U14" s="32">
        <f>'Normalized Annual Summary'!AV14</f>
        <v>3351424.9544093632</v>
      </c>
      <c r="V14" s="32">
        <v>9337.8753449999986</v>
      </c>
      <c r="W14" s="50">
        <f>V14/U14</f>
        <v>2.7862403222588808E-3</v>
      </c>
      <c r="X14" s="50">
        <f>AVERAGE(W12:W14)</f>
        <v>2.7810494068711273E-3</v>
      </c>
      <c r="Z14" s="22">
        <f>Z13+1</f>
        <v>2021</v>
      </c>
      <c r="AA14" s="32">
        <f>'Normalized Annual Summary'!BB14</f>
        <v>433167.95999999985</v>
      </c>
      <c r="AB14" s="32">
        <v>1187.4598680000001</v>
      </c>
      <c r="AC14" s="50">
        <f>AB14/AA14</f>
        <v>2.7413381820760719E-3</v>
      </c>
      <c r="AD14" s="50">
        <f>AVERAGE(AC12,AC14)</f>
        <v>2.7423736288304974E-3</v>
      </c>
    </row>
    <row r="15" spans="1:30">
      <c r="B15" s="22">
        <f>B14+1</f>
        <v>2022</v>
      </c>
      <c r="C15" s="32">
        <f>'Normalized Annual Summary'!U15</f>
        <v>192460921</v>
      </c>
      <c r="D15" s="32">
        <v>517343.49320147402</v>
      </c>
      <c r="E15" s="50">
        <f>D15/C15</f>
        <v>2.6880443599325496E-3</v>
      </c>
      <c r="F15" s="50">
        <f t="shared" si="16"/>
        <v>2.7595275226752736E-3</v>
      </c>
      <c r="H15" s="22">
        <f>H14+1</f>
        <v>2022</v>
      </c>
      <c r="I15" s="32">
        <f>'Normalized Annual Summary'!AD15</f>
        <v>118197172</v>
      </c>
      <c r="J15" s="32">
        <v>228541.24081292099</v>
      </c>
      <c r="K15" s="50">
        <f>J15/I15</f>
        <v>1.9335592971117871E-3</v>
      </c>
      <c r="L15" s="50">
        <f>AVERAGE(K13:K15)</f>
        <v>1.9330797829565317E-3</v>
      </c>
      <c r="N15" s="22">
        <f>N14+1</f>
        <v>2022</v>
      </c>
      <c r="O15" s="32">
        <f>'Normalized Annual Summary'!AM15</f>
        <v>269705145</v>
      </c>
      <c r="P15" s="32">
        <v>463614.038696245</v>
      </c>
      <c r="Q15" s="50">
        <f>P15/O15</f>
        <v>1.7189662388392517E-3</v>
      </c>
      <c r="R15" s="50">
        <f t="shared" si="20"/>
        <v>1.7101591838571525E-3</v>
      </c>
      <c r="T15" s="22">
        <f>T14+1</f>
        <v>2022</v>
      </c>
      <c r="U15" s="32">
        <f>'Normalized Annual Summary'!AV15</f>
        <v>3056605</v>
      </c>
      <c r="V15" s="32">
        <v>9226.7102599999998</v>
      </c>
      <c r="W15" s="50">
        <f>V15/U15</f>
        <v>3.0186138738894949E-3</v>
      </c>
      <c r="X15" s="50">
        <f>AVERAGE(W13:W15)</f>
        <v>2.8596688337165568E-3</v>
      </c>
      <c r="Z15" s="22">
        <f>Z14+1</f>
        <v>2022</v>
      </c>
      <c r="AA15" s="32">
        <f>'Normalized Annual Summary'!BB15</f>
        <v>428801</v>
      </c>
      <c r="AB15" s="32">
        <v>1113.8044906666701</v>
      </c>
      <c r="AC15" s="50">
        <f>AB15/AA15</f>
        <v>2.5974857583510066E-3</v>
      </c>
      <c r="AD15" s="50">
        <f>AVERAGE(AC13,AC15)</f>
        <v>2.6601033583265113E-3</v>
      </c>
    </row>
    <row r="16" spans="1:30" ht="15">
      <c r="C16" s="32"/>
      <c r="D16" s="53"/>
      <c r="E16" s="50"/>
      <c r="I16" s="32"/>
      <c r="J16" s="32"/>
      <c r="K16" s="50"/>
      <c r="O16" s="32"/>
      <c r="P16" s="32"/>
      <c r="Q16" s="50"/>
      <c r="V16" s="51"/>
      <c r="AB16" s="51"/>
    </row>
    <row r="17" spans="1:31" ht="15">
      <c r="C17" s="22" t="s">
        <v>159</v>
      </c>
      <c r="D17" s="51" t="s">
        <v>160</v>
      </c>
      <c r="F17"/>
      <c r="G17"/>
      <c r="I17" s="22" t="s">
        <v>159</v>
      </c>
      <c r="J17" s="51" t="s">
        <v>160</v>
      </c>
      <c r="L17"/>
      <c r="M17"/>
      <c r="O17" s="22" t="s">
        <v>159</v>
      </c>
      <c r="P17" s="51" t="s">
        <v>160</v>
      </c>
      <c r="U17" s="22" t="s">
        <v>159</v>
      </c>
      <c r="V17" s="51" t="s">
        <v>160</v>
      </c>
      <c r="AA17" s="22" t="s">
        <v>159</v>
      </c>
      <c r="AB17" s="51" t="s">
        <v>160</v>
      </c>
      <c r="AE17" s="22" t="s">
        <v>282</v>
      </c>
    </row>
    <row r="18" spans="1:31" ht="15">
      <c r="C18" s="49" t="s">
        <v>144</v>
      </c>
      <c r="D18" s="86" t="s">
        <v>230</v>
      </c>
      <c r="E18" s="52" t="s">
        <v>228</v>
      </c>
      <c r="F18" s="88" t="s">
        <v>229</v>
      </c>
      <c r="G18"/>
      <c r="H18" s="49"/>
      <c r="I18" s="49" t="s">
        <v>144</v>
      </c>
      <c r="J18" s="86" t="s">
        <v>230</v>
      </c>
      <c r="K18" s="52" t="s">
        <v>228</v>
      </c>
      <c r="L18" s="88" t="s">
        <v>229</v>
      </c>
      <c r="M18"/>
      <c r="N18" s="49"/>
      <c r="O18" s="49" t="s">
        <v>144</v>
      </c>
      <c r="P18" s="86" t="s">
        <v>232</v>
      </c>
      <c r="Q18" s="52" t="s">
        <v>228</v>
      </c>
      <c r="R18" s="88" t="s">
        <v>229</v>
      </c>
      <c r="T18" s="49"/>
      <c r="U18" s="49" t="s">
        <v>144</v>
      </c>
      <c r="V18" s="86" t="s">
        <v>230</v>
      </c>
      <c r="W18" s="52" t="s">
        <v>228</v>
      </c>
      <c r="X18" s="88" t="s">
        <v>229</v>
      </c>
      <c r="Y18" s="49"/>
      <c r="Z18" s="49"/>
      <c r="AA18" s="49" t="s">
        <v>144</v>
      </c>
      <c r="AB18" s="86" t="s">
        <v>256</v>
      </c>
      <c r="AC18" s="52" t="s">
        <v>228</v>
      </c>
      <c r="AD18" s="88" t="s">
        <v>229</v>
      </c>
      <c r="AE18" s="49" t="s">
        <v>255</v>
      </c>
    </row>
    <row r="19" spans="1:31">
      <c r="B19" s="22">
        <v>2012</v>
      </c>
      <c r="C19" s="32">
        <f ca="1">'Normalized Annual Summary'!AA5</f>
        <v>235159138.94644171</v>
      </c>
      <c r="D19" s="53">
        <f t="shared" ref="D19:D25" ca="1" si="24">C19*E19</f>
        <v>656385.08875360596</v>
      </c>
      <c r="E19" s="126">
        <f>E20</f>
        <v>2.7912378472481985E-3</v>
      </c>
      <c r="F19" s="127" cm="1">
        <f t="array" ref="F19">TREND(F$5:F$12,B$5:B$12,B19)</f>
        <v>2.8226936177298632E-3</v>
      </c>
      <c r="H19" s="22">
        <v>2012</v>
      </c>
      <c r="I19" s="32">
        <f ca="1">'Normalized Annual Summary'!AJ5</f>
        <v>129933814.61073753</v>
      </c>
      <c r="J19" s="53">
        <f t="shared" ref="J19:J25" ca="1" si="25">I19*K19</f>
        <v>252545.83300744602</v>
      </c>
      <c r="K19" s="126">
        <f t="shared" ref="K19:K26" si="26">K20</f>
        <v>1.9436498017397236E-3</v>
      </c>
      <c r="L19" s="127" cm="1">
        <f t="array" ref="L19">TREND(L$8:L$12,H$8:H$12,H19)</f>
        <v>1.9441345949900645E-3</v>
      </c>
      <c r="N19" s="22">
        <v>2012</v>
      </c>
      <c r="O19" s="32">
        <f>'Normalized Annual Summary'!AS5</f>
        <v>270801446.98378873</v>
      </c>
      <c r="P19" s="53">
        <f t="shared" ref="P19:P27" si="27">O19*Q19</f>
        <v>455731.71732547024</v>
      </c>
      <c r="Q19" s="126">
        <f t="shared" ref="Q19:Q27" si="28">Q20</f>
        <v>1.6828998604012341E-3</v>
      </c>
      <c r="R19" s="127" cm="1">
        <f t="array" ref="R19">TREND(R$5:R$12,N$5:N$12,N19)</f>
        <v>1.7032536687409117E-3</v>
      </c>
      <c r="U19" s="32"/>
      <c r="V19" s="53"/>
      <c r="W19" s="126"/>
      <c r="X19" s="127"/>
      <c r="AA19" s="32"/>
      <c r="AB19" s="53"/>
      <c r="AC19" s="127"/>
      <c r="AD19" s="127"/>
      <c r="AE19" s="126"/>
    </row>
    <row r="20" spans="1:31">
      <c r="B20" s="22">
        <v>2013</v>
      </c>
      <c r="C20" s="32">
        <f ca="1">'Normalized Annual Summary'!AA6</f>
        <v>232742554.96975967</v>
      </c>
      <c r="D20" s="53">
        <f t="shared" ca="1" si="24"/>
        <v>649639.8280968375</v>
      </c>
      <c r="E20" s="126">
        <f t="shared" ref="E20:E26" si="29">E21</f>
        <v>2.7912378472481985E-3</v>
      </c>
      <c r="F20" s="127" cm="1">
        <f t="array" ref="F20">TREND(F$5:F$12,B$5:B$12,B20)</f>
        <v>2.8208525858098559E-3</v>
      </c>
      <c r="H20" s="22">
        <v>2013</v>
      </c>
      <c r="I20" s="32">
        <f ca="1">'Normalized Annual Summary'!AJ6</f>
        <v>128734053.18588512</v>
      </c>
      <c r="J20" s="53">
        <f t="shared" ca="1" si="25"/>
        <v>250213.91695189665</v>
      </c>
      <c r="K20" s="126">
        <f t="shared" si="26"/>
        <v>1.9436498017397236E-3</v>
      </c>
      <c r="L20" s="127" cm="1">
        <f t="array" ref="L20">TREND(L$8:L$12,H$8:H$12,H20)</f>
        <v>1.9455316445353055E-3</v>
      </c>
      <c r="N20" s="22">
        <v>2013</v>
      </c>
      <c r="O20" s="32">
        <f>'Normalized Annual Summary'!AS6</f>
        <v>269388265.23466247</v>
      </c>
      <c r="P20" s="53">
        <f t="shared" si="27"/>
        <v>453353.47395714407</v>
      </c>
      <c r="Q20" s="126">
        <f t="shared" si="28"/>
        <v>1.6828998604012341E-3</v>
      </c>
      <c r="R20" s="127" cm="1">
        <f t="array" ref="R20">TREND(R$5:R$12,N$5:N$12,N20)</f>
        <v>1.6961265839653631E-3</v>
      </c>
      <c r="U20" s="32"/>
      <c r="V20" s="53"/>
      <c r="W20" s="126"/>
      <c r="X20" s="127"/>
      <c r="AA20" s="32"/>
      <c r="AB20" s="53"/>
      <c r="AC20" s="127"/>
      <c r="AD20" s="127"/>
      <c r="AE20" s="126"/>
    </row>
    <row r="21" spans="1:31">
      <c r="B21" s="22">
        <v>2014</v>
      </c>
      <c r="C21" s="32">
        <f ca="1">'Normalized Annual Summary'!AA7</f>
        <v>224469127.58384335</v>
      </c>
      <c r="D21" s="53">
        <f t="shared" ca="1" si="24"/>
        <v>626546.72445080813</v>
      </c>
      <c r="E21" s="126">
        <f t="shared" si="29"/>
        <v>2.7912378472481985E-3</v>
      </c>
      <c r="F21" s="127" cm="1">
        <f t="array" ref="F21">TREND(F$5:F$12,B$5:B$12,B21)</f>
        <v>2.8190115538898487E-3</v>
      </c>
      <c r="H21" s="22">
        <v>2014</v>
      </c>
      <c r="I21" s="32">
        <f ca="1">'Normalized Annual Summary'!AJ7</f>
        <v>127598315.620829</v>
      </c>
      <c r="J21" s="53">
        <f t="shared" ca="1" si="25"/>
        <v>248006.44085874697</v>
      </c>
      <c r="K21" s="126">
        <f t="shared" si="26"/>
        <v>1.9436498017397236E-3</v>
      </c>
      <c r="L21" s="127" cm="1">
        <f t="array" ref="L21">TREND(L$8:L$12,H$8:H$12,H21)</f>
        <v>1.946928694080546E-3</v>
      </c>
      <c r="N21" s="22">
        <v>2014</v>
      </c>
      <c r="O21" s="32">
        <f>'Normalized Annual Summary'!AS7</f>
        <v>269128677.85260248</v>
      </c>
      <c r="P21" s="53">
        <f t="shared" si="27"/>
        <v>452916.61438811343</v>
      </c>
      <c r="Q21" s="126">
        <f t="shared" si="28"/>
        <v>1.6828998604012341E-3</v>
      </c>
      <c r="R21" s="127" cm="1">
        <f t="array" ref="R21">TREND(R$5:R$12,N$5:N$12,N21)</f>
        <v>1.6889994991898163E-3</v>
      </c>
      <c r="U21" s="32"/>
      <c r="V21" s="53"/>
      <c r="W21" s="126"/>
      <c r="X21" s="127"/>
      <c r="AA21" s="32"/>
      <c r="AB21" s="53"/>
      <c r="AC21" s="127"/>
      <c r="AD21" s="127"/>
      <c r="AE21" s="126"/>
    </row>
    <row r="22" spans="1:31">
      <c r="B22" s="22">
        <v>2015</v>
      </c>
      <c r="C22" s="32">
        <f ca="1">'Normalized Annual Summary'!AA8</f>
        <v>217830956.78281584</v>
      </c>
      <c r="D22" s="53">
        <f t="shared" ca="1" si="24"/>
        <v>608018.01087448222</v>
      </c>
      <c r="E22" s="126">
        <f t="shared" si="29"/>
        <v>2.7912378472481985E-3</v>
      </c>
      <c r="F22" s="127" cm="1">
        <f t="array" ref="F22">TREND(F$5:F$12,B$5:B$12,B22)</f>
        <v>2.8171705219698418E-3</v>
      </c>
      <c r="H22" s="22">
        <v>2015</v>
      </c>
      <c r="I22" s="32">
        <f ca="1">'Normalized Annual Summary'!AJ8</f>
        <v>126437435.34201773</v>
      </c>
      <c r="J22" s="53">
        <f t="shared" ca="1" si="25"/>
        <v>245750.09613499188</v>
      </c>
      <c r="K22" s="126">
        <f t="shared" si="26"/>
        <v>1.9436498017397236E-3</v>
      </c>
      <c r="L22" s="127" cm="1">
        <f t="array" ref="L22">TREND(L$8:L$12,H$8:H$12,H22)</f>
        <v>1.9483257436257869E-3</v>
      </c>
      <c r="N22" s="22">
        <v>2015</v>
      </c>
      <c r="O22" s="32">
        <f>'Normalized Annual Summary'!AS8</f>
        <v>268916429.50972664</v>
      </c>
      <c r="P22" s="53">
        <f t="shared" si="27"/>
        <v>452559.42168151727</v>
      </c>
      <c r="Q22" s="126">
        <f t="shared" si="28"/>
        <v>1.6828998604012341E-3</v>
      </c>
      <c r="R22" s="127" cm="1">
        <f t="array" ref="R22">TREND(R$5:R$12,N$5:N$12,N22)</f>
        <v>1.6818724144142694E-3</v>
      </c>
      <c r="U22" s="32"/>
      <c r="V22" s="53"/>
      <c r="W22" s="126"/>
      <c r="X22" s="127"/>
      <c r="AA22" s="32"/>
      <c r="AB22" s="53"/>
      <c r="AC22" s="127"/>
      <c r="AD22" s="127"/>
      <c r="AE22" s="126"/>
    </row>
    <row r="23" spans="1:31">
      <c r="B23" s="22">
        <v>2016</v>
      </c>
      <c r="C23" s="32">
        <f ca="1">'Normalized Annual Summary'!AA9</f>
        <v>212773599.93174067</v>
      </c>
      <c r="D23" s="53">
        <f t="shared" ca="1" si="24"/>
        <v>593901.72502472124</v>
      </c>
      <c r="E23" s="126">
        <f t="shared" si="29"/>
        <v>2.7912378472481985E-3</v>
      </c>
      <c r="F23" s="127" cm="1">
        <f t="array" ref="F23">TREND(F$5:F$12,B$5:B$12,B23)</f>
        <v>2.8153294900498346E-3</v>
      </c>
      <c r="H23" s="22">
        <v>2016</v>
      </c>
      <c r="I23" s="32">
        <f ca="1">'Normalized Annual Summary'!AJ9</f>
        <v>125824427.96818914</v>
      </c>
      <c r="J23" s="53">
        <f ca="1">I23*K23</f>
        <v>244558.62447438494</v>
      </c>
      <c r="K23" s="126">
        <f t="shared" si="26"/>
        <v>1.9436498017397236E-3</v>
      </c>
      <c r="L23" s="127" cm="1">
        <f t="array" ref="L23">TREND(L$8:L$12,H$8:H$12,H23)</f>
        <v>1.9497227931710279E-3</v>
      </c>
      <c r="N23" s="22">
        <v>2016</v>
      </c>
      <c r="O23" s="32">
        <f>'Normalized Annual Summary'!AS9</f>
        <v>291186057.62899107</v>
      </c>
      <c r="P23" s="53">
        <f t="shared" si="27"/>
        <v>490036.97573461477</v>
      </c>
      <c r="Q23" s="126">
        <f t="shared" si="28"/>
        <v>1.6828998604012341E-3</v>
      </c>
      <c r="R23" s="127" cm="1">
        <f t="array" ref="R23">TREND(R$5:R$12,N$5:N$12,N23)</f>
        <v>1.6747453296387226E-3</v>
      </c>
      <c r="U23" s="32"/>
      <c r="V23" s="53"/>
      <c r="W23" s="126"/>
      <c r="X23" s="127"/>
      <c r="AA23" s="32"/>
      <c r="AB23" s="53"/>
      <c r="AC23" s="127"/>
      <c r="AD23" s="127"/>
      <c r="AE23" s="126"/>
    </row>
    <row r="24" spans="1:31">
      <c r="B24" s="22">
        <v>2017</v>
      </c>
      <c r="C24" s="32">
        <f ca="1">'Normalized Annual Summary'!AA10</f>
        <v>210295017.37852398</v>
      </c>
      <c r="D24" s="53">
        <f t="shared" ca="1" si="24"/>
        <v>586983.41159465373</v>
      </c>
      <c r="E24" s="126">
        <f t="shared" si="29"/>
        <v>2.7912378472481985E-3</v>
      </c>
      <c r="F24" s="127" cm="1">
        <f t="array" ref="F24">TREND(F$5:F$12,B$5:B$12,B24)</f>
        <v>2.8134884581298273E-3</v>
      </c>
      <c r="H24" s="22">
        <v>2017</v>
      </c>
      <c r="I24" s="32">
        <f ca="1">'Normalized Annual Summary'!AJ10</f>
        <v>124877631.22148465</v>
      </c>
      <c r="J24" s="53">
        <f t="shared" ca="1" si="25"/>
        <v>242718.38316536497</v>
      </c>
      <c r="K24" s="126">
        <f t="shared" si="26"/>
        <v>1.9436498017397236E-3</v>
      </c>
      <c r="L24" s="127" cm="1">
        <f t="array" ref="L24">TREND(L$8:L$12,H$8:H$12,H24)</f>
        <v>1.9511198427162688E-3</v>
      </c>
      <c r="N24" s="22">
        <v>2017</v>
      </c>
      <c r="O24" s="32">
        <f>'Normalized Annual Summary'!AS10</f>
        <v>284912976.06874663</v>
      </c>
      <c r="P24" s="53">
        <f t="shared" si="27"/>
        <v>479480.00765259383</v>
      </c>
      <c r="Q24" s="126">
        <f t="shared" si="28"/>
        <v>1.6828998604012341E-3</v>
      </c>
      <c r="R24" s="127" cm="1">
        <f t="array" ref="R24">TREND(R$5:R$12,N$5:N$12,N24)</f>
        <v>1.6676182448631741E-3</v>
      </c>
      <c r="U24" s="32"/>
      <c r="V24" s="53"/>
      <c r="W24" s="126"/>
      <c r="X24" s="127"/>
      <c r="AA24" s="32"/>
      <c r="AB24" s="53"/>
      <c r="AC24" s="127"/>
      <c r="AD24" s="127"/>
      <c r="AE24" s="126"/>
    </row>
    <row r="25" spans="1:31">
      <c r="B25" s="22">
        <v>2018</v>
      </c>
      <c r="C25" s="32">
        <f ca="1">'Normalized Annual Summary'!AA11</f>
        <v>207155900.05748484</v>
      </c>
      <c r="D25" s="53">
        <f t="shared" ca="1" si="24"/>
        <v>578221.38852121693</v>
      </c>
      <c r="E25" s="126">
        <f t="shared" si="29"/>
        <v>2.7912378472481985E-3</v>
      </c>
      <c r="F25" s="127" cm="1">
        <f t="array" ref="F25">TREND(F$5:F$12,B$5:B$12,B25)</f>
        <v>2.8116474262098205E-3</v>
      </c>
      <c r="H25" s="22">
        <v>2018</v>
      </c>
      <c r="I25" s="32">
        <f ca="1">'Normalized Annual Summary'!AJ11</f>
        <v>124016102.93847325</v>
      </c>
      <c r="J25" s="53">
        <f t="shared" ca="1" si="25"/>
        <v>241043.87388889669</v>
      </c>
      <c r="K25" s="126">
        <f t="shared" si="26"/>
        <v>1.9436498017397236E-3</v>
      </c>
      <c r="L25" s="127" cm="1">
        <f t="array" ref="L25">TREND(L$8:L$12,H$8:H$12,H25)</f>
        <v>1.9525168922615097E-3</v>
      </c>
      <c r="N25" s="22">
        <v>2018</v>
      </c>
      <c r="O25" s="32">
        <f>'Normalized Annual Summary'!AS11</f>
        <v>284277732.79301929</v>
      </c>
      <c r="P25" s="53">
        <f t="shared" si="27"/>
        <v>478410.95683255151</v>
      </c>
      <c r="Q25" s="126">
        <f t="shared" si="28"/>
        <v>1.6828998604012341E-3</v>
      </c>
      <c r="R25" s="127" cm="1">
        <f t="array" ref="R25">TREND(R$5:R$12,N$5:N$12,N25)</f>
        <v>1.6604911600876272E-3</v>
      </c>
      <c r="U25" s="32"/>
      <c r="V25" s="53"/>
      <c r="W25" s="126"/>
      <c r="X25" s="127"/>
      <c r="AA25" s="32"/>
      <c r="AB25" s="53"/>
      <c r="AC25" s="127"/>
      <c r="AD25" s="127"/>
      <c r="AE25" s="126"/>
    </row>
    <row r="26" spans="1:31" s="35" customFormat="1">
      <c r="A26" s="22"/>
      <c r="B26" s="22">
        <v>2019</v>
      </c>
      <c r="C26" s="32">
        <f ca="1">'Normalized Annual Summary'!AA12</f>
        <v>199713030.54278296</v>
      </c>
      <c r="D26" s="53">
        <f ca="1">C26*E26</f>
        <v>557446.56943965121</v>
      </c>
      <c r="E26" s="126">
        <f t="shared" si="29"/>
        <v>2.7912378472481985E-3</v>
      </c>
      <c r="F26" s="127" cm="1">
        <f t="array" ref="F26">TREND(F$5:F$12,B$5:B$12,B26)</f>
        <v>2.8098063942898132E-3</v>
      </c>
      <c r="G26" s="22"/>
      <c r="H26" s="22">
        <v>2019</v>
      </c>
      <c r="I26" s="32">
        <f ca="1">'Normalized Annual Summary'!AJ12</f>
        <v>122411960.32458094</v>
      </c>
      <c r="J26" s="53">
        <f ca="1">I26*K26</f>
        <v>237925.98241544265</v>
      </c>
      <c r="K26" s="126">
        <f t="shared" si="26"/>
        <v>1.9436498017397236E-3</v>
      </c>
      <c r="L26" s="127" cm="1">
        <f t="array" ref="L26">TREND(L$8:L$12,H$8:H$12,H26)</f>
        <v>1.9539139418067505E-3</v>
      </c>
      <c r="M26" s="22"/>
      <c r="N26" s="22">
        <v>2019</v>
      </c>
      <c r="O26" s="32">
        <f>'Normalized Annual Summary'!AS12</f>
        <v>283745623.0312385</v>
      </c>
      <c r="P26" s="53">
        <f t="shared" si="27"/>
        <v>477515.46938873245</v>
      </c>
      <c r="Q26" s="126">
        <f t="shared" si="28"/>
        <v>1.6828998604012341E-3</v>
      </c>
      <c r="R26" s="127" cm="1">
        <f t="array" ref="R26">TREND(R$5:R$12,N$5:N$12,N26)</f>
        <v>1.6533640753120804E-3</v>
      </c>
      <c r="S26" s="22"/>
      <c r="T26" s="22"/>
      <c r="U26" s="32"/>
      <c r="V26" s="53"/>
      <c r="W26" s="126"/>
      <c r="X26" s="127"/>
      <c r="Y26" s="22"/>
      <c r="Z26" s="22"/>
      <c r="AA26" s="32"/>
      <c r="AB26" s="53"/>
      <c r="AC26" s="127"/>
      <c r="AD26" s="127"/>
      <c r="AE26" s="126"/>
    </row>
    <row r="27" spans="1:31" s="35" customFormat="1">
      <c r="B27" s="22">
        <v>2020</v>
      </c>
      <c r="C27" s="32">
        <f ca="1">'Normalized Annual Summary'!AA13</f>
        <v>192330743.89984205</v>
      </c>
      <c r="D27" s="53">
        <f t="shared" ref="D27:D28" ca="1" si="30">C27*E27</f>
        <v>536840.8515626397</v>
      </c>
      <c r="E27" s="126">
        <f>E28</f>
        <v>2.7912378472481985E-3</v>
      </c>
      <c r="F27" s="127" cm="1">
        <f t="array" ref="F27">TREND(F$5:F$12,B$5:B$12,B27)</f>
        <v>2.807965362369806E-3</v>
      </c>
      <c r="G27" s="22"/>
      <c r="H27" s="22">
        <v>2020</v>
      </c>
      <c r="I27" s="32">
        <f ca="1">'Normalized Annual Summary'!AJ13</f>
        <v>112378643.56061661</v>
      </c>
      <c r="J27" s="53">
        <f t="shared" ref="J27:J28" ca="1" si="31">I27*K27</f>
        <v>218424.72827637155</v>
      </c>
      <c r="K27" s="126">
        <f>K28</f>
        <v>1.9436498017397236E-3</v>
      </c>
      <c r="L27" s="127" cm="1">
        <f t="array" ref="L27">TREND(L$8:L$12,H$8:H$12,H27)</f>
        <v>1.9553109913519919E-3</v>
      </c>
      <c r="M27" s="22"/>
      <c r="N27" s="22">
        <v>2020</v>
      </c>
      <c r="O27" s="32">
        <f>'Normalized Annual Summary'!AS13</f>
        <v>283290519.25024903</v>
      </c>
      <c r="P27" s="53">
        <f t="shared" si="27"/>
        <v>476749.57529923721</v>
      </c>
      <c r="Q27" s="126">
        <f t="shared" si="28"/>
        <v>1.6828998604012341E-3</v>
      </c>
      <c r="R27" s="127" cm="1">
        <f t="array" ref="R27">TREND(R$5:R$12,N$5:N$12,N27)</f>
        <v>1.6462369905365336E-3</v>
      </c>
      <c r="S27" s="22"/>
      <c r="T27" s="22"/>
      <c r="U27" s="32"/>
      <c r="V27" s="53"/>
      <c r="W27" s="126"/>
      <c r="X27" s="127"/>
      <c r="Y27" s="22"/>
      <c r="Z27" s="22"/>
      <c r="AA27" s="32"/>
      <c r="AB27" s="53"/>
      <c r="AC27" s="127"/>
      <c r="AD27" s="127"/>
      <c r="AE27" s="126"/>
    </row>
    <row r="28" spans="1:31" s="35" customFormat="1">
      <c r="B28" s="22">
        <v>2021</v>
      </c>
      <c r="C28" s="32">
        <f ca="1">'Normalized Annual Summary'!AA14</f>
        <v>194304374.11158177</v>
      </c>
      <c r="D28" s="53">
        <f t="shared" ca="1" si="30"/>
        <v>542349.72290612012</v>
      </c>
      <c r="E28" s="126">
        <f>E29</f>
        <v>2.7912378472481985E-3</v>
      </c>
      <c r="F28" s="127" cm="1">
        <f t="array" ref="F28">TREND(F$5:F$12,B$5:B$12,B28)</f>
        <v>2.8061243304497992E-3</v>
      </c>
      <c r="G28" s="22"/>
      <c r="H28" s="22">
        <v>2021</v>
      </c>
      <c r="I28" s="32">
        <f ca="1">'Normalized Annual Summary'!AJ14</f>
        <v>118188570.92306292</v>
      </c>
      <c r="J28" s="53">
        <f t="shared" ca="1" si="31"/>
        <v>229717.19244251252</v>
      </c>
      <c r="K28" s="126">
        <f>K29</f>
        <v>1.9436498017397236E-3</v>
      </c>
      <c r="L28" s="127" cm="1">
        <f t="array" ref="L28">TREND(L$8:L$12,H$8:H$12,H28)</f>
        <v>1.9567080408972324E-3</v>
      </c>
      <c r="M28" s="22"/>
      <c r="N28" s="22">
        <v>2021</v>
      </c>
      <c r="O28" s="32">
        <f>'Normalized Annual Summary'!AS14</f>
        <v>281147048.66904378</v>
      </c>
      <c r="P28" s="53">
        <f>O28*Q28</f>
        <v>473142.32895735273</v>
      </c>
      <c r="Q28" s="126">
        <f>Q29</f>
        <v>1.6828998604012341E-3</v>
      </c>
      <c r="R28" s="127" cm="1">
        <f t="array" ref="R28">TREND(R$5:R$12,N$5:N$12,N28)</f>
        <v>1.6391099057609868E-3</v>
      </c>
      <c r="S28" s="22"/>
      <c r="T28" s="22">
        <v>2021</v>
      </c>
      <c r="U28" s="32">
        <f>'Normalized Annual Summary'!AY14</f>
        <v>3351424.9544093632</v>
      </c>
      <c r="V28" s="53">
        <f t="shared" ref="V28" si="32">U28*W28</f>
        <v>9228.2253507878904</v>
      </c>
      <c r="W28" s="126">
        <f>W29</f>
        <v>2.753522897371343E-3</v>
      </c>
      <c r="X28" s="127" cm="1">
        <f t="array" ref="X28">TREND(X$6:X$12,T$6:T$12,T28)</f>
        <v>2.7459637162140504E-3</v>
      </c>
      <c r="Y28" s="22"/>
      <c r="Z28" s="22">
        <v>2021</v>
      </c>
      <c r="AA28" s="32">
        <f>'Normalized Annual Summary'!BE14</f>
        <v>433167.9599999999</v>
      </c>
      <c r="AB28" s="53">
        <f>AA28*AE28</f>
        <v>1200.6649379263838</v>
      </c>
      <c r="AC28" s="50">
        <f>AC29</f>
        <v>2.7355458804382863E-3</v>
      </c>
      <c r="AD28" s="127" cm="1">
        <f t="array" ref="AD28">TREND(AD$8:AD$12,Z$8:Z$12,Z28)</f>
        <v>2.8984452137773009E-3</v>
      </c>
      <c r="AE28" s="126">
        <f>AVERAGE(AC10:AC14)</f>
        <v>2.7718230543329753E-3</v>
      </c>
    </row>
    <row r="29" spans="1:31" s="35" customFormat="1">
      <c r="B29" s="22">
        <v>2022</v>
      </c>
      <c r="C29" s="32">
        <f ca="1">'Normalized Annual Summary'!AA15</f>
        <v>191500519.42681405</v>
      </c>
      <c r="D29" s="53">
        <f t="shared" ref="D29" ca="1" si="33">C29*E29</f>
        <v>534523.49759181228</v>
      </c>
      <c r="E29" s="126">
        <f>AVERAGE(E6:E15)</f>
        <v>2.7912378472481985E-3</v>
      </c>
      <c r="F29" s="127" cm="1">
        <f t="array" ref="F29">TREND(F$5:F$12,B$5:B$12,B29)</f>
        <v>2.8042832985297919E-3</v>
      </c>
      <c r="G29" s="22"/>
      <c r="H29" s="22">
        <v>2022</v>
      </c>
      <c r="I29" s="32">
        <f ca="1">'Normalized Annual Summary'!AJ15</f>
        <v>117616738.48308</v>
      </c>
      <c r="J29" s="53">
        <f t="shared" ref="J29" ca="1" si="34">I29*K29</f>
        <v>228605.75043391137</v>
      </c>
      <c r="K29" s="126">
        <f>AVERAGE(K6:K15)</f>
        <v>1.9436498017397236E-3</v>
      </c>
      <c r="L29" s="127" cm="1">
        <f t="array" ref="L29">TREND(L$8:L$12,H$8:H$12,H29)</f>
        <v>1.9581050904424737E-3</v>
      </c>
      <c r="M29" s="22"/>
      <c r="N29" s="22">
        <v>2022</v>
      </c>
      <c r="O29" s="32">
        <f>'Normalized Annual Summary'!AS15</f>
        <v>280503393.2038967</v>
      </c>
      <c r="P29" s="53">
        <f>O29*Q29</f>
        <v>472059.12126491021</v>
      </c>
      <c r="Q29" s="126">
        <f>AVERAGE(Q6:Q15)</f>
        <v>1.6828998604012341E-3</v>
      </c>
      <c r="R29" s="127" cm="1">
        <f t="array" ref="R29">TREND(R$5:R$12,N$5:N$12,N29)</f>
        <v>1.6319828209854382E-3</v>
      </c>
      <c r="S29" s="22"/>
      <c r="T29" s="22">
        <v>2022</v>
      </c>
      <c r="U29" s="32">
        <f>'Normalized Annual Summary'!AY15</f>
        <v>3056605</v>
      </c>
      <c r="V29" s="53">
        <f t="shared" ref="V29" si="35">U29*W29</f>
        <v>8416.4318557197348</v>
      </c>
      <c r="W29" s="126">
        <f>AVERAGE(W6:W15)</f>
        <v>2.753522897371343E-3</v>
      </c>
      <c r="X29" s="127" cm="1">
        <f t="array" ref="X29">TREND(X$6:X$12,T$6:T$12,T29)</f>
        <v>2.7562272599687132E-3</v>
      </c>
      <c r="Y29" s="22"/>
      <c r="Z29" s="22">
        <v>2022</v>
      </c>
      <c r="AA29" s="32">
        <f>'Normalized Annual Summary'!BE15</f>
        <v>428801</v>
      </c>
      <c r="AB29" s="53">
        <f>AA29*AE29</f>
        <v>1173.0048090778175</v>
      </c>
      <c r="AC29" s="50">
        <f>AVERAGE(AC11:AC15)</f>
        <v>2.7355458804382863E-3</v>
      </c>
      <c r="AD29" s="127" cm="1">
        <f t="array" ref="AD29">TREND(AD$8:AD$12,Z$8:Z$12,Z29)</f>
        <v>2.9849089780918381E-3</v>
      </c>
      <c r="AE29" s="126">
        <f>AVERAGE(AC11:AC15)</f>
        <v>2.7355458804382863E-3</v>
      </c>
    </row>
    <row r="30" spans="1:31" s="35" customFormat="1">
      <c r="B30" s="35">
        <v>2023</v>
      </c>
      <c r="C30" s="36">
        <f ca="1">'Normalized Annual Summary'!AA16</f>
        <v>190815052.78498736</v>
      </c>
      <c r="D30" s="87">
        <f ca="1">C30*E30</f>
        <v>532610.19715811952</v>
      </c>
      <c r="E30" s="97">
        <f>E29</f>
        <v>2.7912378472481985E-3</v>
      </c>
      <c r="F30" s="114" cm="1">
        <f t="array" ref="F30">TREND(F$5:F$12,B$5:B$12,B30)</f>
        <v>2.8024422666097846E-3</v>
      </c>
      <c r="H30" s="35">
        <v>2023</v>
      </c>
      <c r="I30" s="36">
        <f ca="1">'Normalized Annual Summary'!AJ16</f>
        <v>116919180.05677593</v>
      </c>
      <c r="J30" s="87">
        <f ca="1">I30*K30</f>
        <v>227249.94113692359</v>
      </c>
      <c r="K30" s="97">
        <f>K29</f>
        <v>1.9436498017397236E-3</v>
      </c>
      <c r="L30" s="114" cm="1">
        <f t="array" ref="L30">TREND(L$8:L$12,H$8:H$12,H30)</f>
        <v>1.9595021399877142E-3</v>
      </c>
      <c r="N30" s="35">
        <v>2023</v>
      </c>
      <c r="O30" s="36">
        <f>'Normalized Annual Summary'!AS16</f>
        <v>280631367.87012482</v>
      </c>
      <c r="P30" s="87">
        <f>O30*Q30</f>
        <v>472274.48981284042</v>
      </c>
      <c r="Q30" s="97">
        <f>Q29</f>
        <v>1.6828998604012341E-3</v>
      </c>
      <c r="R30" s="114" cm="1">
        <f t="array" ref="R30">TREND(R$5:R$12,N$5:N$12,N30)</f>
        <v>1.6248557362098914E-3</v>
      </c>
      <c r="T30" s="35">
        <v>2023</v>
      </c>
      <c r="U30" s="36">
        <f>'Normalized Annual Summary'!AY16</f>
        <v>3061561.7829879471</v>
      </c>
      <c r="V30" s="87">
        <f>U30*W30</f>
        <v>8430.0804711743476</v>
      </c>
      <c r="W30" s="97">
        <f>W29</f>
        <v>2.753522897371343E-3</v>
      </c>
      <c r="X30" s="114" cm="1">
        <f t="array" ref="X30">TREND(X$6:X$12,T$6:T$12,T30)</f>
        <v>2.7664908037233794E-3</v>
      </c>
      <c r="Z30" s="35">
        <v>2023</v>
      </c>
      <c r="AA30" s="36">
        <f>'Normalized Annual Summary'!BE16</f>
        <v>421220.07259579725</v>
      </c>
      <c r="AB30" s="87">
        <f t="shared" ref="AB30" si="36">AA30*AE30</f>
        <v>1152.266834347349</v>
      </c>
      <c r="AC30" s="122">
        <f>AC29</f>
        <v>2.7355458804382863E-3</v>
      </c>
      <c r="AD30" s="114" cm="1">
        <f t="array" ref="AD30">TREND(AD$8:AD$12,Z$8:Z$12,Z30)</f>
        <v>3.071372742406403E-3</v>
      </c>
      <c r="AE30" s="97">
        <f>AE29</f>
        <v>2.7355458804382863E-3</v>
      </c>
    </row>
    <row r="31" spans="1:31">
      <c r="C31" s="32"/>
      <c r="D31" s="53"/>
      <c r="E31" s="50"/>
      <c r="I31" s="32"/>
      <c r="J31" s="32"/>
      <c r="K31" s="50"/>
      <c r="O31" s="32"/>
      <c r="P31" s="32"/>
      <c r="Q31" s="50"/>
      <c r="AA31" s="53"/>
      <c r="AB31" s="53"/>
    </row>
    <row r="32" spans="1:31">
      <c r="C32" s="94" t="s">
        <v>70</v>
      </c>
      <c r="D32" s="92" t="s">
        <v>74</v>
      </c>
      <c r="E32" s="50" t="s">
        <v>231</v>
      </c>
      <c r="I32" s="94" t="s">
        <v>70</v>
      </c>
      <c r="J32" s="92" t="s">
        <v>74</v>
      </c>
      <c r="K32" s="50" t="s">
        <v>231</v>
      </c>
      <c r="O32" s="94" t="s">
        <v>70</v>
      </c>
      <c r="P32" s="92" t="s">
        <v>74</v>
      </c>
      <c r="Q32" s="50" t="s">
        <v>231</v>
      </c>
      <c r="U32" s="94" t="s">
        <v>70</v>
      </c>
      <c r="V32" s="92" t="s">
        <v>74</v>
      </c>
      <c r="W32" s="50" t="s">
        <v>231</v>
      </c>
      <c r="AA32" s="94" t="s">
        <v>70</v>
      </c>
      <c r="AB32" s="92" t="s">
        <v>74</v>
      </c>
      <c r="AC32" s="50" t="s">
        <v>231</v>
      </c>
    </row>
    <row r="33" spans="1:29">
      <c r="A33" s="22" t="s">
        <v>226</v>
      </c>
      <c r="C33" s="95">
        <f>C14/C10-1</f>
        <v>-7.0105896721251892E-2</v>
      </c>
      <c r="D33" s="95">
        <f>D14/D10-1</f>
        <v>-9.0221842017645826E-2</v>
      </c>
      <c r="E33" s="99">
        <f>D33-C33</f>
        <v>-2.0115945296393933E-2</v>
      </c>
      <c r="I33" s="95">
        <f>I14/I10-1</f>
        <v>-2.1913380238232194E-2</v>
      </c>
      <c r="J33" s="95">
        <f>J14/J10-1</f>
        <v>-3.9686736963924996E-2</v>
      </c>
      <c r="K33" s="99">
        <f>J33-I33</f>
        <v>-1.7773356725692802E-2</v>
      </c>
      <c r="O33" s="95">
        <f>O14/O10-1</f>
        <v>-8.0341068722377451E-2</v>
      </c>
      <c r="P33" s="95">
        <f>P14/P10-1</f>
        <v>-1.7821135750767936E-2</v>
      </c>
      <c r="Q33" s="99">
        <f>P33-O33</f>
        <v>6.2519932971609515E-2</v>
      </c>
      <c r="U33" s="95">
        <f>U14/U10-1</f>
        <v>-0.22952017544308612</v>
      </c>
      <c r="V33" s="95">
        <f>V14/V10-1</f>
        <v>-0.20152482362745072</v>
      </c>
      <c r="W33" s="99">
        <f>V33-U33</f>
        <v>2.7995351815635394E-2</v>
      </c>
      <c r="AA33" s="95">
        <f>AA14/AA10-1</f>
        <v>-9.0599359699588877E-2</v>
      </c>
      <c r="AB33" s="95">
        <f>AB14/AB10-1</f>
        <v>-0.10288238107218051</v>
      </c>
      <c r="AC33" s="98">
        <f>AB33-AA33</f>
        <v>-1.2283021372591629E-2</v>
      </c>
    </row>
    <row r="34" spans="1:29">
      <c r="A34" s="22" t="s">
        <v>227</v>
      </c>
      <c r="C34" s="95">
        <f>C14/C5-1</f>
        <v>-0.18762122781029378</v>
      </c>
      <c r="D34" s="95">
        <f>D14/D5-1</f>
        <v>-0.19711806174457358</v>
      </c>
      <c r="E34" s="99">
        <f>D34-C34</f>
        <v>-9.4968339342798025E-3</v>
      </c>
      <c r="I34" s="95">
        <f>I14/I5-1</f>
        <v>-4.7212809278828982E-2</v>
      </c>
      <c r="J34" s="95">
        <f>J14/J5-1</f>
        <v>-5.0999764314193063E-2</v>
      </c>
      <c r="K34" s="99">
        <f>J34-I34</f>
        <v>-3.7869550353640813E-3</v>
      </c>
      <c r="O34" s="95">
        <f>O14/O5-1</f>
        <v>-2.3509765250710801E-2</v>
      </c>
      <c r="P34" s="95">
        <f>P14/P5-1</f>
        <v>2.0544984903277497E-2</v>
      </c>
      <c r="Q34" s="99">
        <f>P34-O34</f>
        <v>4.4054750153988298E-2</v>
      </c>
      <c r="U34" s="95">
        <f>U14/U5-1</f>
        <v>-0.62842316616825666</v>
      </c>
      <c r="V34" s="95">
        <f>V14/V5-1</f>
        <v>-0.61534950832624147</v>
      </c>
      <c r="W34" s="99">
        <f>V34-U34</f>
        <v>1.3073657842015196E-2</v>
      </c>
      <c r="AA34" s="95">
        <f>AA14/AA5-1</f>
        <v>-0.24357689032329832</v>
      </c>
      <c r="AB34" s="95">
        <f>AB14/AB5-1</f>
        <v>-0.12602783115832628</v>
      </c>
      <c r="AC34" s="98">
        <f>AB34-AA34</f>
        <v>0.11754905916497205</v>
      </c>
    </row>
    <row r="35" spans="1:29">
      <c r="U35" s="53"/>
      <c r="V35" s="54"/>
      <c r="AA35" s="53"/>
      <c r="AB35" s="54"/>
    </row>
    <row r="36" spans="1:29">
      <c r="D36" s="22" t="s">
        <v>284</v>
      </c>
      <c r="J36" s="22" t="s">
        <v>284</v>
      </c>
      <c r="P36" s="22" t="s">
        <v>284</v>
      </c>
      <c r="V36" s="22" t="s">
        <v>284</v>
      </c>
      <c r="AB36" s="22" t="s">
        <v>283</v>
      </c>
    </row>
    <row r="40" spans="1:29" ht="15.75" customHeight="1" thickBot="1">
      <c r="B40" s="324" t="s">
        <v>257</v>
      </c>
      <c r="C40" s="324"/>
      <c r="D40" s="324"/>
      <c r="E40" s="324"/>
    </row>
    <row r="41" spans="1:29">
      <c r="B41" s="128" t="s">
        <v>53</v>
      </c>
      <c r="C41" s="129" t="str">
        <f>B2</f>
        <v>GS&gt;50</v>
      </c>
      <c r="D41" s="129" t="str">
        <f>H2</f>
        <v>Intermediate</v>
      </c>
      <c r="E41" s="130" t="str">
        <f>N2</f>
        <v>Large Use</v>
      </c>
    </row>
    <row r="42" spans="1:29">
      <c r="B42" s="131">
        <f t="shared" ref="B42:B51" si="37">B19</f>
        <v>2012</v>
      </c>
      <c r="C42" s="108">
        <f t="shared" ref="C42:C49" ca="1" si="38">D19</f>
        <v>656385.08875360596</v>
      </c>
      <c r="D42" s="108">
        <f t="shared" ref="D42:D49" ca="1" si="39">J19</f>
        <v>252545.83300744602</v>
      </c>
      <c r="E42" s="132">
        <f t="shared" ref="E42:E49" si="40">P19</f>
        <v>455731.71732547024</v>
      </c>
    </row>
    <row r="43" spans="1:29">
      <c r="B43" s="131">
        <f t="shared" si="37"/>
        <v>2013</v>
      </c>
      <c r="C43" s="108">
        <f t="shared" ca="1" si="38"/>
        <v>649639.8280968375</v>
      </c>
      <c r="D43" s="108">
        <f t="shared" ca="1" si="39"/>
        <v>250213.91695189665</v>
      </c>
      <c r="E43" s="132">
        <f t="shared" si="40"/>
        <v>453353.47395714407</v>
      </c>
    </row>
    <row r="44" spans="1:29">
      <c r="B44" s="131">
        <f t="shared" si="37"/>
        <v>2014</v>
      </c>
      <c r="C44" s="108">
        <f t="shared" ca="1" si="38"/>
        <v>626546.72445080813</v>
      </c>
      <c r="D44" s="108">
        <f t="shared" ca="1" si="39"/>
        <v>248006.44085874697</v>
      </c>
      <c r="E44" s="132">
        <f t="shared" si="40"/>
        <v>452916.61438811343</v>
      </c>
    </row>
    <row r="45" spans="1:29">
      <c r="B45" s="131">
        <f t="shared" si="37"/>
        <v>2015</v>
      </c>
      <c r="C45" s="108">
        <f t="shared" ca="1" si="38"/>
        <v>608018.01087448222</v>
      </c>
      <c r="D45" s="108">
        <f t="shared" ca="1" si="39"/>
        <v>245750.09613499188</v>
      </c>
      <c r="E45" s="132">
        <f t="shared" si="40"/>
        <v>452559.42168151727</v>
      </c>
    </row>
    <row r="46" spans="1:29">
      <c r="B46" s="131">
        <f t="shared" si="37"/>
        <v>2016</v>
      </c>
      <c r="C46" s="108">
        <f t="shared" ca="1" si="38"/>
        <v>593901.72502472124</v>
      </c>
      <c r="D46" s="108">
        <f ca="1">J23</f>
        <v>244558.62447438494</v>
      </c>
      <c r="E46" s="132">
        <f t="shared" si="40"/>
        <v>490036.97573461477</v>
      </c>
    </row>
    <row r="47" spans="1:29">
      <c r="B47" s="131">
        <f t="shared" si="37"/>
        <v>2017</v>
      </c>
      <c r="C47" s="108">
        <f t="shared" ca="1" si="38"/>
        <v>586983.41159465373</v>
      </c>
      <c r="D47" s="108">
        <f t="shared" ca="1" si="39"/>
        <v>242718.38316536497</v>
      </c>
      <c r="E47" s="132">
        <f t="shared" si="40"/>
        <v>479480.00765259383</v>
      </c>
    </row>
    <row r="48" spans="1:29">
      <c r="B48" s="131">
        <f t="shared" si="37"/>
        <v>2018</v>
      </c>
      <c r="C48" s="108">
        <f t="shared" ca="1" si="38"/>
        <v>578221.38852121693</v>
      </c>
      <c r="D48" s="108">
        <f t="shared" ca="1" si="39"/>
        <v>241043.87388889669</v>
      </c>
      <c r="E48" s="132">
        <f t="shared" si="40"/>
        <v>478410.95683255151</v>
      </c>
    </row>
    <row r="49" spans="2:5">
      <c r="B49" s="131">
        <f t="shared" si="37"/>
        <v>2019</v>
      </c>
      <c r="C49" s="108">
        <f t="shared" ca="1" si="38"/>
        <v>557446.56943965121</v>
      </c>
      <c r="D49" s="108">
        <f t="shared" ca="1" si="39"/>
        <v>237925.98241544265</v>
      </c>
      <c r="E49" s="132">
        <f t="shared" si="40"/>
        <v>477515.46938873245</v>
      </c>
    </row>
    <row r="50" spans="2:5">
      <c r="B50" s="131">
        <f t="shared" si="37"/>
        <v>2020</v>
      </c>
      <c r="C50" s="108">
        <f t="shared" ref="C50:C51" ca="1" si="41">D27</f>
        <v>536840.8515626397</v>
      </c>
      <c r="D50" s="108">
        <f t="shared" ref="D50:D51" ca="1" si="42">J27</f>
        <v>218424.72827637155</v>
      </c>
      <c r="E50" s="132">
        <f t="shared" ref="E50:E51" si="43">P27</f>
        <v>476749.57529923721</v>
      </c>
    </row>
    <row r="51" spans="2:5" ht="13.5" thickBot="1">
      <c r="B51" s="133">
        <f t="shared" si="37"/>
        <v>2021</v>
      </c>
      <c r="C51" s="134">
        <f t="shared" ca="1" si="41"/>
        <v>542349.72290612012</v>
      </c>
      <c r="D51" s="134">
        <f t="shared" ca="1" si="42"/>
        <v>229717.19244251252</v>
      </c>
      <c r="E51" s="135">
        <f t="shared" si="43"/>
        <v>473142.32895735273</v>
      </c>
    </row>
  </sheetData>
  <mergeCells count="6">
    <mergeCell ref="B40:E40"/>
    <mergeCell ref="Z2:AD2"/>
    <mergeCell ref="B2:F2"/>
    <mergeCell ref="H2:L2"/>
    <mergeCell ref="N2:R2"/>
    <mergeCell ref="T2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FF0000"/>
  </sheetPr>
  <dimension ref="B1:P66"/>
  <sheetViews>
    <sheetView tabSelected="1" workbookViewId="0">
      <selection activeCell="N10" sqref="N10"/>
    </sheetView>
  </sheetViews>
  <sheetFormatPr defaultColWidth="7.85546875" defaultRowHeight="12.75"/>
  <cols>
    <col min="1" max="1" width="2.5703125" style="42" customWidth="1"/>
    <col min="2" max="2" width="21.85546875" style="42" bestFit="1" customWidth="1"/>
    <col min="3" max="13" width="13.5703125" style="42" customWidth="1"/>
    <col min="14" max="15" width="7.85546875" style="42"/>
    <col min="16" max="16" width="15.140625" style="42" bestFit="1" customWidth="1"/>
    <col min="17" max="17" width="13.42578125" style="42" customWidth="1"/>
    <col min="18" max="18" width="7.85546875" style="42"/>
    <col min="19" max="19" width="13.7109375" style="42" customWidth="1"/>
    <col min="20" max="16384" width="7.85546875" style="42"/>
  </cols>
  <sheetData>
    <row r="1" spans="2:16" ht="16.5" thickBot="1">
      <c r="B1" s="55" t="s">
        <v>152</v>
      </c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P1" s="333">
        <v>44970</v>
      </c>
    </row>
    <row r="2" spans="2:16">
      <c r="B2" s="56" t="s">
        <v>70</v>
      </c>
      <c r="C2" s="57" t="s">
        <v>254</v>
      </c>
      <c r="D2" s="57" t="s">
        <v>163</v>
      </c>
      <c r="E2" s="57" t="s">
        <v>164</v>
      </c>
      <c r="F2" s="57" t="s">
        <v>165</v>
      </c>
      <c r="G2" s="57" t="s">
        <v>166</v>
      </c>
      <c r="H2" s="57" t="s">
        <v>171</v>
      </c>
      <c r="I2" s="57" t="s">
        <v>241</v>
      </c>
      <c r="J2" s="57" t="s">
        <v>285</v>
      </c>
      <c r="K2" s="57" t="s">
        <v>286</v>
      </c>
      <c r="L2" s="57" t="s">
        <v>380</v>
      </c>
      <c r="M2" s="58" t="s">
        <v>287</v>
      </c>
    </row>
    <row r="3" spans="2:16">
      <c r="B3" s="59" t="s">
        <v>25</v>
      </c>
      <c r="C3" s="43">
        <f ca="1">OFFSET('Normalized Annual Summary'!$C$6,COLUMN()-3,0)</f>
        <v>255389581.63213682</v>
      </c>
      <c r="D3" s="43">
        <f ca="1">OFFSET('Normalized Annual Summary'!$C$6,COLUMN()-3,0)</f>
        <v>248491220.29588568</v>
      </c>
      <c r="E3" s="43">
        <f ca="1">OFFSET('Normalized Annual Summary'!$C$6,COLUMN()-3,0)</f>
        <v>247531814.84014043</v>
      </c>
      <c r="F3" s="43">
        <f ca="1">OFFSET('Normalized Annual Summary'!$C$6,COLUMN()-3,0)</f>
        <v>254829614.94449431</v>
      </c>
      <c r="G3" s="43">
        <f ca="1">OFFSET('Normalized Annual Summary'!$C$6,COLUMN()-3,0)</f>
        <v>243695247.75932932</v>
      </c>
      <c r="H3" s="43">
        <f ca="1">OFFSET('Normalized Annual Summary'!$C$6,COLUMN()-3,0)</f>
        <v>259006063.99240005</v>
      </c>
      <c r="I3" s="43">
        <f ca="1">OFFSET('Normalized Annual Summary'!$C$6,COLUMN()-3,0)</f>
        <v>251122549</v>
      </c>
      <c r="J3" s="43">
        <f ca="1">OFFSET('Normalized Annual Summary'!$C$6,COLUMN()-3,0)</f>
        <v>270338602</v>
      </c>
      <c r="K3" s="43">
        <f ca="1">OFFSET('Normalized Annual Summary'!$C$6,COLUMN()-3,0)</f>
        <v>275475848.21988314</v>
      </c>
      <c r="L3" s="43">
        <f ca="1">OFFSET('Normalized Annual Summary'!$C$6,COLUMN()-3,0)</f>
        <v>274162832</v>
      </c>
      <c r="M3" s="60">
        <f ca="1">OFFSET('Normalized Annual Summary'!$I$15,COLUMN(M3)-COLUMN($L3),0)</f>
        <v>268166276.74499565</v>
      </c>
    </row>
    <row r="4" spans="2:16">
      <c r="B4" s="61" t="s">
        <v>131</v>
      </c>
      <c r="C4" s="43">
        <f ca="1">OFFSET('Normalized Annual Summary'!$L$6,COLUMN()-3,0)</f>
        <v>103284258.79809758</v>
      </c>
      <c r="D4" s="43">
        <f ca="1">OFFSET('Normalized Annual Summary'!$L$6,COLUMN()-3,0)</f>
        <v>103923430.55572671</v>
      </c>
      <c r="E4" s="43">
        <f ca="1">OFFSET('Normalized Annual Summary'!$L$6,COLUMN()-3,0)</f>
        <v>104997600.1746619</v>
      </c>
      <c r="F4" s="43">
        <f ca="1">OFFSET('Normalized Annual Summary'!$L$6,COLUMN()-3,0)</f>
        <v>103858080.64192553</v>
      </c>
      <c r="G4" s="43">
        <f ca="1">OFFSET('Normalized Annual Summary'!$L$6,COLUMN()-3,0)</f>
        <v>99503004.427166715</v>
      </c>
      <c r="H4" s="43">
        <f ca="1">OFFSET('Normalized Annual Summary'!$L$6,COLUMN()-3,0)</f>
        <v>101399119.8590284</v>
      </c>
      <c r="I4" s="43">
        <f ca="1">OFFSET('Normalized Annual Summary'!$L$6,COLUMN()-3,0)</f>
        <v>101723563</v>
      </c>
      <c r="J4" s="43">
        <f ca="1">OFFSET('Normalized Annual Summary'!$L$6,COLUMN()-3,0)</f>
        <v>94820549.66929999</v>
      </c>
      <c r="K4" s="43">
        <f ca="1">OFFSET('Normalized Annual Summary'!$L$6,COLUMN()-3,0)</f>
        <v>98943526.028734013</v>
      </c>
      <c r="L4" s="43">
        <f ca="1">OFFSET('Normalized Annual Summary'!$L$6,COLUMN()-3,0)</f>
        <v>103737562</v>
      </c>
      <c r="M4" s="60">
        <f ca="1">OFFSET('Normalized Annual Summary'!$R$15,COLUMN(M4)-COLUMN($L4),0)</f>
        <v>105384033.66342761</v>
      </c>
    </row>
    <row r="5" spans="2:16">
      <c r="B5" s="61" t="s">
        <v>133</v>
      </c>
      <c r="C5" s="43">
        <f ca="1">OFFSET('Normalized Annual Summary'!$U$6,COLUMN()-3,0)</f>
        <v>233430195.35340962</v>
      </c>
      <c r="D5" s="43">
        <f ca="1">OFFSET('Normalized Annual Summary'!$U$6,COLUMN()-3,0)</f>
        <v>224657845.57076851</v>
      </c>
      <c r="E5" s="43">
        <f ca="1">OFFSET('Normalized Annual Summary'!$U$6,COLUMN()-3,0)</f>
        <v>218194347.05538249</v>
      </c>
      <c r="F5" s="43">
        <f ca="1">OFFSET('Normalized Annual Summary'!$U$6,COLUMN()-3,0)</f>
        <v>216056699.61478987</v>
      </c>
      <c r="G5" s="43">
        <f ca="1">OFFSET('Normalized Annual Summary'!$U$6,COLUMN()-3,0)</f>
        <v>204648181.01987115</v>
      </c>
      <c r="H5" s="43">
        <f ca="1">OFFSET('Normalized Annual Summary'!$U$6,COLUMN()-3,0)</f>
        <v>206166950.13402587</v>
      </c>
      <c r="I5" s="43">
        <f ca="1">OFFSET('Normalized Annual Summary'!$U$6,COLUMN()-3,0)</f>
        <v>203960179.99720001</v>
      </c>
      <c r="J5" s="43">
        <f ca="1">OFFSET('Normalized Annual Summary'!$U$6,COLUMN()-3,0)</f>
        <v>192408295.54519999</v>
      </c>
      <c r="K5" s="43">
        <f ca="1">OFFSET('Normalized Annual Summary'!$U$6,COLUMN()-3,0)</f>
        <v>190301136.7771</v>
      </c>
      <c r="L5" s="43">
        <f ca="1">OFFSET('Normalized Annual Summary'!$U$6,COLUMN()-3,0)</f>
        <v>192460921</v>
      </c>
      <c r="M5" s="60">
        <f ca="1">OFFSET('Normalized Annual Summary'!$AA$15,COLUMN(M5)-COLUMN($L5),0)</f>
        <v>190815052.78498736</v>
      </c>
    </row>
    <row r="6" spans="2:16">
      <c r="B6" s="61" t="s">
        <v>27</v>
      </c>
      <c r="C6" s="43">
        <f ca="1">OFFSET('Normalized Annual Summary'!$AD$6,COLUMN()-3,0)</f>
        <v>132211130.93339999</v>
      </c>
      <c r="D6" s="43">
        <f ca="1">OFFSET('Normalized Annual Summary'!$AD$6,COLUMN()-3,0)</f>
        <v>130549125.32099999</v>
      </c>
      <c r="E6" s="43">
        <f ca="1">OFFSET('Normalized Annual Summary'!$AD$6,COLUMN()-3,0)</f>
        <v>127712881.49879999</v>
      </c>
      <c r="F6" s="43">
        <f ca="1">OFFSET('Normalized Annual Summary'!$AD$6,COLUMN()-3,0)</f>
        <v>124246025.7656</v>
      </c>
      <c r="G6" s="43">
        <f ca="1">OFFSET('Normalized Annual Summary'!$AD$6,COLUMN()-3,0)</f>
        <v>123613582.23840001</v>
      </c>
      <c r="H6" s="43">
        <f ca="1">OFFSET('Normalized Annual Summary'!$AD$6,COLUMN()-3,0)</f>
        <v>122358953.95090002</v>
      </c>
      <c r="I6" s="43">
        <f ca="1">OFFSET('Normalized Annual Summary'!$AD$6,COLUMN()-3,0)</f>
        <v>120082524.1001</v>
      </c>
      <c r="J6" s="43">
        <f ca="1">OFFSET('Normalized Annual Summary'!$AD$6,COLUMN()-3,0)</f>
        <v>112049205.35920002</v>
      </c>
      <c r="K6" s="43">
        <f ca="1">OFFSET('Normalized Annual Summary'!$AD$6,COLUMN()-3,0)</f>
        <v>120904790.80819997</v>
      </c>
      <c r="L6" s="43">
        <f ca="1">OFFSET('Normalized Annual Summary'!$AD$6,COLUMN()-3,0)</f>
        <v>118197172</v>
      </c>
      <c r="M6" s="60">
        <f ca="1">OFFSET('Normalized Annual Summary'!$AJ$15,COLUMN(M6)-COLUMN($L6),0)</f>
        <v>116919180.05677593</v>
      </c>
    </row>
    <row r="7" spans="2:16">
      <c r="B7" s="61" t="s">
        <v>167</v>
      </c>
      <c r="C7" s="43">
        <f ca="1">OFFSET('Normalized Annual Summary'!$AM$6,COLUMN()-3,0)</f>
        <v>264004765.672095</v>
      </c>
      <c r="D7" s="43">
        <f ca="1">OFFSET('Normalized Annual Summary'!$AM$6,COLUMN()-3,0)</f>
        <v>269591766.27768004</v>
      </c>
      <c r="E7" s="43">
        <f ca="1">OFFSET('Normalized Annual Summary'!$AM$6,COLUMN()-3,0)</f>
        <v>272823999.19582504</v>
      </c>
      <c r="F7" s="43">
        <f ca="1">OFFSET('Normalized Annual Summary'!$AM$6,COLUMN()-3,0)</f>
        <v>300037282.51909494</v>
      </c>
      <c r="G7" s="43">
        <f ca="1">OFFSET('Normalized Annual Summary'!$AM$6,COLUMN()-3,0)</f>
        <v>289478993.77460253</v>
      </c>
      <c r="H7" s="43">
        <f ca="1">OFFSET('Normalized Annual Summary'!$AM$6,COLUMN()-3,0)</f>
        <v>287387431.13281</v>
      </c>
      <c r="I7" s="43">
        <f ca="1">OFFSET('Normalized Annual Summary'!$AM$6,COLUMN()-3,0)</f>
        <v>290955053</v>
      </c>
      <c r="J7" s="43">
        <f ca="1">OFFSET('Normalized Annual Summary'!$AM$6,COLUMN()-3,0)</f>
        <v>281204845.03435504</v>
      </c>
      <c r="K7" s="43">
        <f ca="1">OFFSET('Normalized Annual Summary'!$AM$6,COLUMN()-3,0)</f>
        <v>266221942.0420725</v>
      </c>
      <c r="L7" s="43">
        <f ca="1">OFFSET('Normalized Annual Summary'!$AM$6,COLUMN()-3,0)</f>
        <v>269705145</v>
      </c>
      <c r="M7" s="60">
        <f ca="1">OFFSET('Normalized Annual Summary'!$AS$15,COLUMN(M7)-COLUMN($L7),0)</f>
        <v>280631367.87012482</v>
      </c>
    </row>
    <row r="8" spans="2:16">
      <c r="B8" s="61" t="s">
        <v>149</v>
      </c>
      <c r="C8" s="43">
        <f ca="1">OFFSET('Normalized Annual Summary'!$AV$6,COLUMN()-3,0)</f>
        <v>9144166.018151382</v>
      </c>
      <c r="D8" s="43">
        <f ca="1">OFFSET('Normalized Annual Summary'!$AV$6,COLUMN()-3,0)</f>
        <v>8086583.2770350762</v>
      </c>
      <c r="E8" s="43">
        <f ca="1">OFFSET('Normalized Annual Summary'!$AV$6,COLUMN()-3,0)</f>
        <v>6427056.8045899998</v>
      </c>
      <c r="F8" s="43">
        <f ca="1">OFFSET('Normalized Annual Summary'!$AV$6,COLUMN()-3,0)</f>
        <v>5119606.1326600015</v>
      </c>
      <c r="G8" s="43">
        <f ca="1">OFFSET('Normalized Annual Summary'!$AV$6,COLUMN()-3,0)</f>
        <v>4349789.3748699967</v>
      </c>
      <c r="H8" s="43">
        <f ca="1">OFFSET('Normalized Annual Summary'!$AV$6,COLUMN()-3,0)</f>
        <v>3664817.2994635967</v>
      </c>
      <c r="I8" s="43">
        <f ca="1">OFFSET('Normalized Annual Summary'!$AV$6,COLUMN()-3,0)</f>
        <v>3457005</v>
      </c>
      <c r="J8" s="43">
        <f ca="1">OFFSET('Normalized Annual Summary'!$AV$6,COLUMN()-3,0)</f>
        <v>3449208.3879999998</v>
      </c>
      <c r="K8" s="43">
        <f ca="1">OFFSET('Normalized Annual Summary'!$AV$6,COLUMN()-3,0)</f>
        <v>3351424.9544093632</v>
      </c>
      <c r="L8" s="43">
        <f ca="1">OFFSET('Normalized Annual Summary'!$AV$6,COLUMN()-3,0)</f>
        <v>3056605</v>
      </c>
      <c r="M8" s="60">
        <f ca="1">OFFSET('Normalized Annual Summary'!$AY$15,COLUMN(M8)-COLUMN($L8),0)</f>
        <v>3061561.7829879471</v>
      </c>
    </row>
    <row r="9" spans="2:16">
      <c r="B9" s="61" t="s">
        <v>153</v>
      </c>
      <c r="C9" s="43">
        <f ca="1">OFFSET('Normalized Annual Summary'!$BB$6,COLUMN()-3,0)</f>
        <v>547347.48</v>
      </c>
      <c r="D9" s="43">
        <f ca="1">OFFSET('Normalized Annual Summary'!$BB$6,COLUMN()-3,0)</f>
        <v>536887.44000000006</v>
      </c>
      <c r="E9" s="43">
        <f ca="1">OFFSET('Normalized Annual Summary'!$BB$6,COLUMN()-3,0)</f>
        <v>507379.83599999995</v>
      </c>
      <c r="F9" s="43">
        <f ca="1">OFFSET('Normalized Annual Summary'!$BB$6,COLUMN()-3,0)</f>
        <v>497068.96799999988</v>
      </c>
      <c r="G9" s="43">
        <f ca="1">OFFSET('Normalized Annual Summary'!$BB$6,COLUMN()-3,0)</f>
        <v>476322.47087148222</v>
      </c>
      <c r="H9" s="43">
        <f ca="1">OFFSET('Normalized Annual Summary'!$BB$6,COLUMN()-3,0)</f>
        <v>453200.06129471678</v>
      </c>
      <c r="I9" s="43">
        <f ca="1">OFFSET('Normalized Annual Summary'!$BB$6,COLUMN()-3,0)</f>
        <v>474592</v>
      </c>
      <c r="J9" s="43">
        <f ca="1">OFFSET('Normalized Annual Summary'!$BB$6,COLUMN()-3,0)</f>
        <v>439110</v>
      </c>
      <c r="K9" s="43">
        <f ca="1">OFFSET('Normalized Annual Summary'!$BB$6,COLUMN()-3,0)</f>
        <v>433167.95999999985</v>
      </c>
      <c r="L9" s="43">
        <f ca="1">OFFSET('Normalized Annual Summary'!$BB$6,COLUMN()-3,0)</f>
        <v>428801</v>
      </c>
      <c r="M9" s="60">
        <f ca="1">OFFSET('Normalized Annual Summary'!$BE$15,COLUMN(M9)-COLUMN($L9),0)</f>
        <v>421220.07259579725</v>
      </c>
    </row>
    <row r="10" spans="2:16">
      <c r="B10" s="61" t="s">
        <v>71</v>
      </c>
      <c r="C10" s="43">
        <f ca="1">OFFSET('Normalized Annual Summary'!$BH$6,COLUMN()-3,0)</f>
        <v>2183026.2609067005</v>
      </c>
      <c r="D10" s="43">
        <f ca="1">OFFSET('Normalized Annual Summary'!$BH$6,COLUMN()-3,0)</f>
        <v>2203828.4995907997</v>
      </c>
      <c r="E10" s="43">
        <f ca="1">OFFSET('Normalized Annual Summary'!$BH$6,COLUMN()-3,0)</f>
        <v>2211250.1011378998</v>
      </c>
      <c r="F10" s="43">
        <f ca="1">OFFSET('Normalized Annual Summary'!$BH$6,COLUMN()-3,0)</f>
        <v>2221666.6957900003</v>
      </c>
      <c r="G10" s="43">
        <f ca="1">OFFSET('Normalized Annual Summary'!$BH$6,COLUMN()-3,0)</f>
        <v>2156982.068929255</v>
      </c>
      <c r="H10" s="43">
        <f ca="1">OFFSET('Normalized Annual Summary'!$BH$6,COLUMN()-3,0)</f>
        <v>2052963.2462899708</v>
      </c>
      <c r="I10" s="43">
        <f ca="1">OFFSET('Normalized Annual Summary'!$BH$6,COLUMN()-3,0)</f>
        <v>2202858</v>
      </c>
      <c r="J10" s="43">
        <f ca="1">OFFSET('Normalized Annual Summary'!$BH$6,COLUMN()-3,0)</f>
        <v>2209114</v>
      </c>
      <c r="K10" s="43">
        <f ca="1">OFFSET('Normalized Annual Summary'!$BH$6,COLUMN()-3,0)</f>
        <v>2181430.8754999968</v>
      </c>
      <c r="L10" s="43">
        <f ca="1">OFFSET('Normalized Annual Summary'!$BH$6,COLUMN()-3,0)</f>
        <v>2168627</v>
      </c>
      <c r="M10" s="60">
        <f>'Normalized Annual Summary'!BQ16</f>
        <v>2198298.2178996359</v>
      </c>
    </row>
    <row r="11" spans="2:16" ht="13.5" thickBot="1">
      <c r="B11" s="62" t="s">
        <v>23</v>
      </c>
      <c r="C11" s="63">
        <f ca="1">SUM(C3:C10)</f>
        <v>1000194472.1481973</v>
      </c>
      <c r="D11" s="63">
        <f t="shared" ref="D11:L11" ca="1" si="0">SUM(D3:D10)</f>
        <v>988040687.23768687</v>
      </c>
      <c r="E11" s="63">
        <f t="shared" ca="1" si="0"/>
        <v>980406329.50653768</v>
      </c>
      <c r="F11" s="63">
        <f t="shared" ca="1" si="0"/>
        <v>1006866045.2823547</v>
      </c>
      <c r="G11" s="63">
        <f t="shared" ca="1" si="0"/>
        <v>967922103.13404036</v>
      </c>
      <c r="H11" s="63">
        <f t="shared" ca="1" si="0"/>
        <v>982489499.67621267</v>
      </c>
      <c r="I11" s="63">
        <f t="shared" ca="1" si="0"/>
        <v>973978324.09730005</v>
      </c>
      <c r="J11" s="63">
        <f t="shared" ref="J11:K11" ca="1" si="1">SUM(J3:J10)</f>
        <v>956918929.99605501</v>
      </c>
      <c r="K11" s="63">
        <f t="shared" ca="1" si="1"/>
        <v>957813267.66589904</v>
      </c>
      <c r="L11" s="63">
        <f t="shared" ca="1" si="0"/>
        <v>963917665</v>
      </c>
      <c r="M11" s="64">
        <f ca="1">SUM(M3:M10)</f>
        <v>967596991.19379485</v>
      </c>
    </row>
    <row r="13" spans="2:16" ht="16.5" thickBot="1">
      <c r="B13" s="55" t="s">
        <v>168</v>
      </c>
      <c r="C13" s="55"/>
      <c r="E13" s="224"/>
      <c r="I13" s="43"/>
      <c r="J13" s="43"/>
    </row>
    <row r="14" spans="2:16" ht="38.25">
      <c r="B14" s="56" t="s">
        <v>70</v>
      </c>
      <c r="C14" s="65" t="s">
        <v>288</v>
      </c>
      <c r="D14" s="65" t="s">
        <v>169</v>
      </c>
      <c r="E14" s="66" t="s">
        <v>289</v>
      </c>
    </row>
    <row r="15" spans="2:16">
      <c r="B15" s="59" t="str">
        <f t="shared" ref="B15:B22" si="2">B3</f>
        <v>Residential</v>
      </c>
      <c r="C15" s="43">
        <f t="shared" ref="C15:C22" ca="1" si="3">M3</f>
        <v>268166276.74499565</v>
      </c>
      <c r="D15" s="43">
        <f>'CDM Adjustment'!L7</f>
        <v>290062.38452908327</v>
      </c>
      <c r="E15" s="60">
        <f ca="1">C15-D15</f>
        <v>267876214.36046657</v>
      </c>
    </row>
    <row r="16" spans="2:16" ht="12.75" customHeight="1">
      <c r="B16" s="61" t="str">
        <f t="shared" si="2"/>
        <v>GS &lt; 50</v>
      </c>
      <c r="C16" s="43">
        <f t="shared" ca="1" si="3"/>
        <v>105384033.66342761</v>
      </c>
      <c r="D16" s="43">
        <f>'CDM Adjustment'!L8</f>
        <v>624037.55212880205</v>
      </c>
      <c r="E16" s="60">
        <f ca="1">C16-D16</f>
        <v>104759996.1112988</v>
      </c>
      <c r="G16" s="326" t="s">
        <v>246</v>
      </c>
      <c r="H16" s="326"/>
      <c r="I16" s="326"/>
      <c r="J16" s="326"/>
      <c r="K16" s="326"/>
    </row>
    <row r="17" spans="2:13">
      <c r="B17" s="61" t="str">
        <f t="shared" si="2"/>
        <v>GS &gt; 50</v>
      </c>
      <c r="C17" s="43">
        <f t="shared" ca="1" si="3"/>
        <v>190815052.78498736</v>
      </c>
      <c r="D17" s="43">
        <f>'CDM Adjustment'!L9</f>
        <v>2812327.7582543185</v>
      </c>
      <c r="E17" s="60">
        <f t="shared" ref="E17:E22" ca="1" si="4">C17-D17</f>
        <v>188002725.02673304</v>
      </c>
      <c r="G17" s="326"/>
      <c r="H17" s="326"/>
      <c r="I17" s="326"/>
      <c r="J17" s="326"/>
      <c r="K17" s="326"/>
    </row>
    <row r="18" spans="2:13">
      <c r="B18" s="61" t="str">
        <f t="shared" si="2"/>
        <v>Intermediate</v>
      </c>
      <c r="C18" s="43">
        <f t="shared" ca="1" si="3"/>
        <v>116919180.05677593</v>
      </c>
      <c r="D18" s="43">
        <f>'CDM Adjustment'!L10</f>
        <v>2726593.2086866563</v>
      </c>
      <c r="E18" s="60">
        <f t="shared" ca="1" si="4"/>
        <v>114192586.84808928</v>
      </c>
      <c r="G18" s="326"/>
      <c r="H18" s="326"/>
      <c r="I18" s="326"/>
      <c r="J18" s="326"/>
      <c r="K18" s="326"/>
    </row>
    <row r="19" spans="2:13">
      <c r="B19" s="61" t="str">
        <f t="shared" si="2"/>
        <v>Large User</v>
      </c>
      <c r="C19" s="43">
        <f t="shared" ca="1" si="3"/>
        <v>280631367.87012482</v>
      </c>
      <c r="D19" s="43">
        <f>'CDM Adjustment'!L11</f>
        <v>418049.20278649009</v>
      </c>
      <c r="E19" s="60">
        <f t="shared" ca="1" si="4"/>
        <v>280213318.66733831</v>
      </c>
      <c r="G19" s="113"/>
    </row>
    <row r="20" spans="2:13">
      <c r="B20" s="61" t="str">
        <f t="shared" si="2"/>
        <v>Street Light</v>
      </c>
      <c r="C20" s="43">
        <f t="shared" ca="1" si="3"/>
        <v>3061561.7829879471</v>
      </c>
      <c r="D20" s="43">
        <f>'CDM Adjustment'!L12</f>
        <v>0</v>
      </c>
      <c r="E20" s="60">
        <f t="shared" ca="1" si="4"/>
        <v>3061561.7829879471</v>
      </c>
    </row>
    <row r="21" spans="2:13">
      <c r="B21" s="61" t="str">
        <f t="shared" si="2"/>
        <v>Sentinel Light</v>
      </c>
      <c r="C21" s="43">
        <f t="shared" ca="1" si="3"/>
        <v>421220.07259579725</v>
      </c>
      <c r="D21" s="43">
        <f>'CDM Adjustment'!L13</f>
        <v>0</v>
      </c>
      <c r="E21" s="60">
        <f t="shared" ca="1" si="4"/>
        <v>421220.07259579725</v>
      </c>
    </row>
    <row r="22" spans="2:13">
      <c r="B22" s="61" t="str">
        <f t="shared" si="2"/>
        <v>USL</v>
      </c>
      <c r="C22" s="43">
        <f t="shared" si="3"/>
        <v>2198298.2178996359</v>
      </c>
      <c r="D22" s="43">
        <f>'CDM Adjustment'!L14</f>
        <v>0</v>
      </c>
      <c r="E22" s="60">
        <f t="shared" si="4"/>
        <v>2198298.2178996359</v>
      </c>
    </row>
    <row r="23" spans="2:13" ht="13.5" thickBot="1">
      <c r="B23" s="62" t="s">
        <v>23</v>
      </c>
      <c r="C23" s="63">
        <f ca="1">SUM(C15:C22)</f>
        <v>967596991.19379485</v>
      </c>
      <c r="D23" s="63">
        <f>SUM(D15:D22)</f>
        <v>6871070.1063853502</v>
      </c>
      <c r="E23" s="64">
        <f ca="1">SUM(E15:E22)</f>
        <v>960725921.0874095</v>
      </c>
      <c r="F23" s="265"/>
    </row>
    <row r="25" spans="2:13" ht="16.5" thickBot="1">
      <c r="B25" s="55" t="s">
        <v>152</v>
      </c>
      <c r="C25" s="55"/>
    </row>
    <row r="26" spans="2:13">
      <c r="B26" s="56" t="s">
        <v>74</v>
      </c>
      <c r="C26" s="57" t="s">
        <v>254</v>
      </c>
      <c r="D26" s="57" t="s">
        <v>163</v>
      </c>
      <c r="E26" s="57" t="s">
        <v>164</v>
      </c>
      <c r="F26" s="57" t="s">
        <v>165</v>
      </c>
      <c r="G26" s="57" t="s">
        <v>166</v>
      </c>
      <c r="H26" s="57" t="s">
        <v>171</v>
      </c>
      <c r="I26" s="57" t="s">
        <v>241</v>
      </c>
      <c r="J26" s="57" t="s">
        <v>285</v>
      </c>
      <c r="K26" s="57" t="s">
        <v>286</v>
      </c>
      <c r="L26" s="57" t="s">
        <v>380</v>
      </c>
      <c r="M26" s="58" t="s">
        <v>287</v>
      </c>
    </row>
    <row r="27" spans="2:13">
      <c r="B27" s="61" t="s">
        <v>133</v>
      </c>
      <c r="C27" s="43">
        <f ca="1">OFFSET('kW Forecast'!$D$6,COLUMN()-3,0)</f>
        <v>653752.23119593621</v>
      </c>
      <c r="D27" s="43">
        <f ca="1">OFFSET('kW Forecast'!$D$6,COLUMN()-3,0)</f>
        <v>633553.39923646743</v>
      </c>
      <c r="E27" s="43">
        <f ca="1">OFFSET('kW Forecast'!$D$6,COLUMN()-3,0)</f>
        <v>608069.44267424359</v>
      </c>
      <c r="F27" s="43">
        <f ca="1">OFFSET('kW Forecast'!$D$6,COLUMN()-3,0)</f>
        <v>600288.69688747183</v>
      </c>
      <c r="G27" s="43">
        <f ca="1">OFFSET('kW Forecast'!$D$6,COLUMN()-3,0)</f>
        <v>586835.88546844746</v>
      </c>
      <c r="H27" s="43">
        <f ca="1">OFFSET('kW Forecast'!$D$6,COLUMN()-3,0)</f>
        <v>584727.66599405033</v>
      </c>
      <c r="I27" s="43">
        <f ca="1">OFFSET('kW Forecast'!$D$6,COLUMN()-3,0)</f>
        <v>559697.61001746764</v>
      </c>
      <c r="J27" s="43">
        <f ca="1">OFFSET('kW Forecast'!$D$6,COLUMN()-3,0)</f>
        <v>535863.81596164464</v>
      </c>
      <c r="K27" s="43">
        <f ca="1">OFFSET('kW Forecast'!$D$6,COLUMN()-3,0)</f>
        <v>533890.47091942793</v>
      </c>
      <c r="L27" s="43">
        <f ca="1">OFFSET('kW Forecast'!$D$6,COLUMN()-3,0)</f>
        <v>517343.49320147402</v>
      </c>
      <c r="M27" s="60">
        <f ca="1">OFFSET('kW Forecast'!$D$29,COLUMN()-12,0)</f>
        <v>532610.19715811952</v>
      </c>
    </row>
    <row r="28" spans="2:13">
      <c r="B28" s="61" t="str">
        <f>B18</f>
        <v>Intermediate</v>
      </c>
      <c r="C28" s="43">
        <f ca="1">OFFSET('kW Forecast'!$J$6,COLUMN()-3,0)</f>
        <v>252595.35793681574</v>
      </c>
      <c r="D28" s="43">
        <f ca="1">OFFSET('kW Forecast'!$J$6,COLUMN()-3,0)</f>
        <v>258573.08062859904</v>
      </c>
      <c r="E28" s="43">
        <f ca="1">OFFSET('kW Forecast'!$J$6,COLUMN()-3,0)</f>
        <v>250508.13627718703</v>
      </c>
      <c r="F28" s="43">
        <f ca="1">OFFSET('kW Forecast'!$J$6,COLUMN()-3,0)</f>
        <v>237319.93888641059</v>
      </c>
      <c r="G28" s="43">
        <f ca="1">OFFSET('kW Forecast'!$J$6,COLUMN()-3,0)</f>
        <v>242929.6181180173</v>
      </c>
      <c r="H28" s="43">
        <f ca="1">OFFSET('kW Forecast'!$J$6,COLUMN()-3,0)</f>
        <v>241691.09115046132</v>
      </c>
      <c r="I28" s="43">
        <f ca="1">OFFSET('kW Forecast'!$J$6,COLUMN()-3,0)</f>
        <v>232237.65558253234</v>
      </c>
      <c r="J28" s="43">
        <f ca="1">OFFSET('kW Forecast'!$J$6,COLUMN()-3,0)</f>
        <v>216944.89655174536</v>
      </c>
      <c r="K28" s="43">
        <f ca="1">OFFSET('kW Forecast'!$J$6,COLUMN()-3,0)</f>
        <v>233288.53426302079</v>
      </c>
      <c r="L28" s="43">
        <f ca="1">OFFSET('kW Forecast'!$J$6,COLUMN()-3,0)</f>
        <v>228541.24081292099</v>
      </c>
      <c r="M28" s="60">
        <f ca="1">OFFSET('kW Forecast'!$J$29,COLUMN()-12,0)</f>
        <v>227249.94113692359</v>
      </c>
    </row>
    <row r="29" spans="2:13">
      <c r="B29" s="61" t="str">
        <f>B19</f>
        <v>Large User</v>
      </c>
      <c r="C29" s="43">
        <f ca="1">OFFSET('kW Forecast'!$P$6,COLUMN()-3,0)</f>
        <v>446265.186827072</v>
      </c>
      <c r="D29" s="43">
        <f ca="1">OFFSET('kW Forecast'!$P$6,COLUMN()-3,0)</f>
        <v>465256.08118981717</v>
      </c>
      <c r="E29" s="43">
        <f ca="1">OFFSET('kW Forecast'!$P$6,COLUMN()-3,0)</f>
        <v>459246.2355485693</v>
      </c>
      <c r="F29" s="43">
        <f ca="1">OFFSET('kW Forecast'!$P$6,COLUMN()-3,0)</f>
        <v>481850.01605768601</v>
      </c>
      <c r="G29" s="43">
        <f ca="1">OFFSET('kW Forecast'!$P$6,COLUMN()-3,0)</f>
        <v>479867.14926132001</v>
      </c>
      <c r="H29" s="43">
        <f ca="1">OFFSET('kW Forecast'!$P$6,COLUMN()-3,0)</f>
        <v>486458.82030932442</v>
      </c>
      <c r="I29" s="43">
        <f ca="1">OFFSET('kW Forecast'!$P$6,COLUMN()-3,0)</f>
        <v>477956</v>
      </c>
      <c r="J29" s="43">
        <f ca="1">OFFSET('kW Forecast'!$P$6,COLUMN()-3,0)</f>
        <v>461492.62948073435</v>
      </c>
      <c r="K29" s="43">
        <f ca="1">OFFSET('kW Forecast'!$P$6,COLUMN()-3,0)</f>
        <v>471315.371652</v>
      </c>
      <c r="L29" s="43">
        <f ca="1">OFFSET('kW Forecast'!$P$6,COLUMN()-3,0)</f>
        <v>463614.038696245</v>
      </c>
      <c r="M29" s="60">
        <f ca="1">OFFSET('kW Forecast'!$P$29,COLUMN()-12,0)</f>
        <v>472274.48981284042</v>
      </c>
    </row>
    <row r="30" spans="2:13">
      <c r="B30" s="61" t="s">
        <v>149</v>
      </c>
      <c r="C30" s="43">
        <f ca="1">OFFSET('kW Forecast'!$V$6,COLUMN()-3,0)</f>
        <v>24350.724000000002</v>
      </c>
      <c r="D30" s="43">
        <f ca="1">OFFSET('kW Forecast'!$V$6,COLUMN()-3,0)</f>
        <v>21697.097001631322</v>
      </c>
      <c r="E30" s="43">
        <f ca="1">OFFSET('kW Forecast'!$V$6,COLUMN()-3,0)</f>
        <v>17286.991099999996</v>
      </c>
      <c r="F30" s="43">
        <f ca="1">OFFSET('kW Forecast'!$V$6,COLUMN()-3,0)</f>
        <v>13685.656021495031</v>
      </c>
      <c r="G30" s="43">
        <f ca="1">OFFSET('kW Forecast'!$V$6,COLUMN()-3,0)</f>
        <v>11694.634499999998</v>
      </c>
      <c r="H30" s="43">
        <f ca="1">OFFSET('kW Forecast'!$V$6,COLUMN()-3,0)</f>
        <v>10173.279999999999</v>
      </c>
      <c r="I30" s="43">
        <f ca="1">OFFSET('kW Forecast'!$V$6,COLUMN()-3,0)</f>
        <v>9620</v>
      </c>
      <c r="J30" s="43">
        <f ca="1">OFFSET('kW Forecast'!$V$6,COLUMN()-3,0)</f>
        <v>9568.6293999999998</v>
      </c>
      <c r="K30" s="43">
        <f ca="1">OFFSET('kW Forecast'!$V$6,COLUMN()-3,0)</f>
        <v>9337.8753449999986</v>
      </c>
      <c r="L30" s="43">
        <f ca="1">OFFSET('kW Forecast'!$V$6,COLUMN()-3,0)</f>
        <v>9226.7102599999998</v>
      </c>
      <c r="M30" s="60">
        <f ca="1">OFFSET('kW Forecast'!$V$29,COLUMN()-12,0)</f>
        <v>8430.0804711743476</v>
      </c>
    </row>
    <row r="31" spans="2:13">
      <c r="B31" s="61" t="s">
        <v>153</v>
      </c>
      <c r="C31" s="43">
        <f ca="1">OFFSET('kW Forecast'!$AB$6,COLUMN()-3,0)</f>
        <v>1313.0620000000001</v>
      </c>
      <c r="D31" s="43">
        <f ca="1">OFFSET('kW Forecast'!$AB$6,COLUMN()-3,0)</f>
        <v>1278.0620000000001</v>
      </c>
      <c r="E31" s="43">
        <f ca="1">OFFSET('kW Forecast'!$AB$6,COLUMN()-3,0)</f>
        <v>1253.884</v>
      </c>
      <c r="F31" s="43">
        <f ca="1">OFFSET('kW Forecast'!$AB$6,COLUMN()-3,0)</f>
        <v>1204.954</v>
      </c>
      <c r="G31" s="43">
        <f ca="1">OFFSET('kW Forecast'!$AB$6,COLUMN()-3,0)</f>
        <v>1323.6390000000001</v>
      </c>
      <c r="H31" s="43">
        <f ca="1">OFFSET('kW Forecast'!$AB$6,COLUMN()-3,0)</f>
        <v>1301.942</v>
      </c>
      <c r="I31" s="43">
        <f ca="1">OFFSET('kW Forecast'!$AB$6,COLUMN()-3,0)</f>
        <v>1302</v>
      </c>
      <c r="J31" s="43">
        <f ca="1">OFFSET('kW Forecast'!$AB$6,COLUMN()-3,0)</f>
        <v>1195.5739999999983</v>
      </c>
      <c r="K31" s="43">
        <f ca="1">OFFSET('kW Forecast'!$AB$6,COLUMN()-3,0)</f>
        <v>1187.4598680000001</v>
      </c>
      <c r="L31" s="43">
        <f ca="1">OFFSET('kW Forecast'!$AB$6,COLUMN()-3,0)</f>
        <v>1113.8044906666701</v>
      </c>
      <c r="M31" s="60">
        <f ca="1">OFFSET('kW Forecast'!$AB$29,COLUMN()-12,0)</f>
        <v>1152.266834347349</v>
      </c>
    </row>
    <row r="32" spans="2:13" ht="13.5" thickBot="1">
      <c r="B32" s="62" t="s">
        <v>23</v>
      </c>
      <c r="C32" s="63">
        <f ca="1">SUM(C24:C31)</f>
        <v>1378276.5619598238</v>
      </c>
      <c r="D32" s="63">
        <f t="shared" ref="D32:I32" ca="1" si="5">SUM(D24:D31)</f>
        <v>1380357.7200565147</v>
      </c>
      <c r="E32" s="63">
        <f t="shared" ca="1" si="5"/>
        <v>1336364.6895999999</v>
      </c>
      <c r="F32" s="63">
        <f t="shared" ca="1" si="5"/>
        <v>1334349.2618530635</v>
      </c>
      <c r="G32" s="63">
        <f t="shared" ca="1" si="5"/>
        <v>1322650.9263477847</v>
      </c>
      <c r="H32" s="63">
        <f t="shared" ca="1" si="5"/>
        <v>1324352.7994538362</v>
      </c>
      <c r="I32" s="63">
        <f t="shared" ca="1" si="5"/>
        <v>1280813.2656</v>
      </c>
      <c r="J32" s="63">
        <f t="shared" ref="J32:K32" ca="1" si="6">SUM(J24:J31)</f>
        <v>1225065.5453941245</v>
      </c>
      <c r="K32" s="63">
        <f t="shared" ca="1" si="6"/>
        <v>1249019.7120474488</v>
      </c>
      <c r="L32" s="63">
        <f t="shared" ref="L32" ca="1" si="7">SUM(L24:L31)</f>
        <v>1219839.2874613067</v>
      </c>
      <c r="M32" s="64">
        <f t="shared" ref="M32" ca="1" si="8">SUM(M24:M31)</f>
        <v>1241716.9754134051</v>
      </c>
    </row>
    <row r="34" spans="2:14" ht="16.5" thickBot="1">
      <c r="B34" s="55" t="s">
        <v>168</v>
      </c>
      <c r="C34" s="55"/>
    </row>
    <row r="35" spans="2:14" ht="38.25">
      <c r="B35" s="56" t="s">
        <v>74</v>
      </c>
      <c r="C35" s="65" t="s">
        <v>288</v>
      </c>
      <c r="D35" s="65" t="s">
        <v>169</v>
      </c>
      <c r="E35" s="66" t="s">
        <v>289</v>
      </c>
    </row>
    <row r="36" spans="2:14">
      <c r="B36" s="61" t="str">
        <f>B27</f>
        <v>GS &gt; 50</v>
      </c>
      <c r="C36" s="43">
        <f ca="1">M27</f>
        <v>532610.19715811952</v>
      </c>
      <c r="D36" s="43">
        <f ca="1">'CDM Adjustment'!G23</f>
        <v>7849.8756777061362</v>
      </c>
      <c r="E36" s="60">
        <f ca="1">C36-D36</f>
        <v>524760.32148041343</v>
      </c>
      <c r="H36" s="43"/>
    </row>
    <row r="37" spans="2:14">
      <c r="B37" s="61" t="str">
        <f>B28</f>
        <v>Intermediate</v>
      </c>
      <c r="C37" s="43">
        <f ca="1">M28</f>
        <v>227249.94113692359</v>
      </c>
      <c r="D37" s="43">
        <f ca="1">'CDM Adjustment'!G24</f>
        <v>5299.5423494886963</v>
      </c>
      <c r="E37" s="60">
        <f ca="1">C37-D37</f>
        <v>221950.39878743488</v>
      </c>
    </row>
    <row r="38" spans="2:14">
      <c r="B38" s="61" t="str">
        <f>B29</f>
        <v>Large User</v>
      </c>
      <c r="C38" s="43">
        <f ca="1">M29</f>
        <v>472274.48981284042</v>
      </c>
      <c r="D38" s="43">
        <f>'CDM Adjustment'!G25</f>
        <v>703.53494501023135</v>
      </c>
      <c r="E38" s="60">
        <f ca="1">C38-D38</f>
        <v>471570.95486783021</v>
      </c>
    </row>
    <row r="39" spans="2:14">
      <c r="B39" s="61" t="str">
        <f>B30</f>
        <v>Street Light</v>
      </c>
      <c r="C39" s="43">
        <f ca="1">M30</f>
        <v>8430.0804711743476</v>
      </c>
      <c r="D39" s="43">
        <f>'CDM Adjustment'!G26</f>
        <v>0</v>
      </c>
      <c r="E39" s="60">
        <f ca="1">C39-D39</f>
        <v>8430.0804711743476</v>
      </c>
    </row>
    <row r="40" spans="2:14">
      <c r="B40" s="61" t="str">
        <f>B31</f>
        <v>Sentinel Light</v>
      </c>
      <c r="C40" s="43">
        <f ca="1">M31</f>
        <v>1152.266834347349</v>
      </c>
      <c r="D40" s="43">
        <f>'CDM Adjustment'!G27</f>
        <v>0</v>
      </c>
      <c r="E40" s="60">
        <f ca="1">C40-D40</f>
        <v>1152.266834347349</v>
      </c>
    </row>
    <row r="41" spans="2:14" ht="13.5" thickBot="1">
      <c r="B41" s="62" t="s">
        <v>23</v>
      </c>
      <c r="C41" s="63">
        <f ca="1">SUM(C36:C40)</f>
        <v>1241716.9754134051</v>
      </c>
      <c r="D41" s="63">
        <f ca="1">SUM(D36:D40)</f>
        <v>13852.952972205063</v>
      </c>
      <c r="E41" s="64">
        <f ca="1">SUM(E36:E40)</f>
        <v>1227864.0224412002</v>
      </c>
    </row>
    <row r="43" spans="2:14" ht="16.5" thickBot="1">
      <c r="B43" s="55" t="s">
        <v>170</v>
      </c>
      <c r="C43" s="55"/>
      <c r="N43" s="125"/>
    </row>
    <row r="44" spans="2:14">
      <c r="B44" s="56" t="s">
        <v>74</v>
      </c>
      <c r="C44" s="57" t="s">
        <v>254</v>
      </c>
      <c r="D44" s="57" t="s">
        <v>163</v>
      </c>
      <c r="E44" s="57" t="s">
        <v>164</v>
      </c>
      <c r="F44" s="57" t="s">
        <v>165</v>
      </c>
      <c r="G44" s="57" t="s">
        <v>166</v>
      </c>
      <c r="H44" s="57" t="s">
        <v>171</v>
      </c>
      <c r="I44" s="57" t="s">
        <v>241</v>
      </c>
      <c r="J44" s="57" t="s">
        <v>285</v>
      </c>
      <c r="K44" s="57" t="s">
        <v>286</v>
      </c>
      <c r="L44" s="57" t="s">
        <v>380</v>
      </c>
      <c r="M44" s="58" t="s">
        <v>287</v>
      </c>
    </row>
    <row r="45" spans="2:14">
      <c r="B45" s="59" t="str">
        <f t="shared" ref="B45:B52" si="9">B3</f>
        <v>Residential</v>
      </c>
      <c r="C45" s="43">
        <f ca="1">OFFSET('Connection Count'!$C$7,COLUMN()-COLUMN($C$45),0)</f>
        <v>32001.75</v>
      </c>
      <c r="D45" s="43">
        <f ca="1">OFFSET('Connection Count'!$C$7,COLUMN()-COLUMN($C$45),0)</f>
        <v>32139</v>
      </c>
      <c r="E45" s="43">
        <f ca="1">OFFSET('Connection Count'!$C$7,COLUMN()-COLUMN($C$45),0)</f>
        <v>32276.666666666668</v>
      </c>
      <c r="F45" s="43">
        <f ca="1">OFFSET('Connection Count'!$C$7,COLUMN()-COLUMN($C$45),0)</f>
        <v>32434.25</v>
      </c>
      <c r="G45" s="43">
        <f ca="1">OFFSET('Connection Count'!$C$7,COLUMN()-COLUMN($C$45),0)</f>
        <v>32604.666666666668</v>
      </c>
      <c r="H45" s="43">
        <f ca="1">OFFSET('Connection Count'!$C$7,COLUMN()-COLUMN($C$45),0)</f>
        <v>32755.333333333332</v>
      </c>
      <c r="I45" s="43">
        <f ca="1">OFFSET('Connection Count'!$C$7,COLUMN()-COLUMN($C$45),0)</f>
        <v>32861.75</v>
      </c>
      <c r="J45" s="43">
        <f ca="1">OFFSET('Connection Count'!$C$7,COLUMN()-COLUMN($C$45),0)</f>
        <v>32990.166666666664</v>
      </c>
      <c r="K45" s="43">
        <f ca="1">OFFSET('Connection Count'!$C$7,COLUMN()-COLUMN($C$45),0)</f>
        <v>33113</v>
      </c>
      <c r="L45" s="148">
        <f ca="1">OFFSET('Connection Count'!$C$23,COLUMN()-COLUMN($L$45),0)</f>
        <v>33273.25</v>
      </c>
      <c r="M45" s="149">
        <f ca="1">OFFSET('Connection Count'!$C$23,COLUMN()-COLUMN($L$45),0)</f>
        <v>33417.610000000008</v>
      </c>
      <c r="N45" s="123"/>
    </row>
    <row r="46" spans="2:14">
      <c r="B46" s="61" t="str">
        <f t="shared" si="9"/>
        <v>GS &lt; 50</v>
      </c>
      <c r="C46" s="43">
        <f ca="1">OFFSET('Connection Count'!$G$7,COLUMN()-COLUMN($C$45),0)</f>
        <v>3471.5833333333335</v>
      </c>
      <c r="D46" s="43">
        <f ca="1">OFFSET('Connection Count'!$G$7,COLUMN()-COLUMN($C$45),0)</f>
        <v>3494.5</v>
      </c>
      <c r="E46" s="43">
        <f ca="1">OFFSET('Connection Count'!$G$7,COLUMN()-COLUMN($C$45),0)</f>
        <v>3497.0833333333335</v>
      </c>
      <c r="F46" s="43">
        <f ca="1">OFFSET('Connection Count'!$G$7,COLUMN()-COLUMN($C$45),0)</f>
        <v>3474.75</v>
      </c>
      <c r="G46" s="43">
        <f ca="1">OFFSET('Connection Count'!$G$7,COLUMN()-COLUMN($C$45),0)</f>
        <v>3477.75</v>
      </c>
      <c r="H46" s="43">
        <f ca="1">OFFSET('Connection Count'!$G$7,COLUMN()-COLUMN($C$45),0)</f>
        <v>3468.0833333333335</v>
      </c>
      <c r="I46" s="43">
        <f ca="1">OFFSET('Connection Count'!$G$7,COLUMN()-COLUMN($C$45),0)</f>
        <v>3485.0833333333335</v>
      </c>
      <c r="J46" s="43">
        <f ca="1">OFFSET('Connection Count'!$G$7,COLUMN()-COLUMN($C$45),0)</f>
        <v>3490.4166666666665</v>
      </c>
      <c r="K46" s="43">
        <f ca="1">OFFSET('Connection Count'!$G$7,COLUMN()-COLUMN($C$45),0)</f>
        <v>3459.1666666666665</v>
      </c>
      <c r="L46" s="148">
        <f ca="1">OFFSET('Connection Count'!$G$23,COLUMN()-COLUMN($L$45),0)</f>
        <v>3455.1666666666665</v>
      </c>
      <c r="M46" s="149">
        <f ca="1">OFFSET('Connection Count'!$G$23,COLUMN()-COLUMN($L$45),0)</f>
        <v>3451.17</v>
      </c>
      <c r="N46" s="123"/>
    </row>
    <row r="47" spans="2:14">
      <c r="B47" s="61" t="str">
        <f t="shared" si="9"/>
        <v>GS &gt; 50</v>
      </c>
      <c r="C47" s="43">
        <f ca="1">OFFSET('Connection Count'!$K$7,COLUMN()-COLUMN($C$45),0)</f>
        <v>428.33333333333331</v>
      </c>
      <c r="D47" s="43">
        <f ca="1">OFFSET('Connection Count'!$K$7,COLUMN()-COLUMN($C$45),0)</f>
        <v>393.16666666666669</v>
      </c>
      <c r="E47" s="43">
        <f ca="1">OFFSET('Connection Count'!$K$7,COLUMN()-COLUMN($C$45),0)</f>
        <v>376.91666666666669</v>
      </c>
      <c r="F47" s="43">
        <f ca="1">OFFSET('Connection Count'!$K$7,COLUMN()-COLUMN($C$45),0)</f>
        <v>373</v>
      </c>
      <c r="G47" s="43">
        <f ca="1">OFFSET('Connection Count'!$K$7,COLUMN()-COLUMN($C$45),0)</f>
        <v>382.16666666666669</v>
      </c>
      <c r="H47" s="43">
        <f ca="1">OFFSET('Connection Count'!$K$7,COLUMN()-COLUMN($C$45),0)</f>
        <v>389.41666666666669</v>
      </c>
      <c r="I47" s="43">
        <f ca="1">OFFSET('Connection Count'!$K$7,COLUMN()-COLUMN($C$45),0)</f>
        <v>372.33333333333331</v>
      </c>
      <c r="J47" s="43">
        <f ca="1">OFFSET('Connection Count'!$K$7,COLUMN()-COLUMN($C$45),0)</f>
        <v>368.5</v>
      </c>
      <c r="K47" s="43">
        <f ca="1">OFFSET('Connection Count'!$K$7,COLUMN()-COLUMN($C$45),0)</f>
        <v>372.25</v>
      </c>
      <c r="L47" s="148">
        <f ca="1">OFFSET('Connection Count'!$K$23,COLUMN()-COLUMN($L$45),0)</f>
        <v>370</v>
      </c>
      <c r="M47" s="149">
        <f ca="1">OFFSET('Connection Count'!$K$23,COLUMN()-COLUMN($L$45),0)</f>
        <v>364.03000000000014</v>
      </c>
      <c r="N47" s="123"/>
    </row>
    <row r="48" spans="2:14">
      <c r="B48" s="61" t="str">
        <f t="shared" si="9"/>
        <v>Intermediate</v>
      </c>
      <c r="C48" s="43">
        <f ca="1">OFFSET('Connection Count'!$O$7,COLUMN()-COLUMN($C$45),0)</f>
        <v>12.5</v>
      </c>
      <c r="D48" s="43">
        <f ca="1">OFFSET('Connection Count'!$O$7,COLUMN()-COLUMN($C$45),0)</f>
        <v>12</v>
      </c>
      <c r="E48" s="43">
        <f ca="1">OFFSET('Connection Count'!$O$7,COLUMN()-COLUMN($C$45),0)</f>
        <v>12</v>
      </c>
      <c r="F48" s="43">
        <f ca="1">OFFSET('Connection Count'!$O$7,COLUMN()-COLUMN($C$45),0)</f>
        <v>11.583333333333334</v>
      </c>
      <c r="G48" s="43">
        <f ca="1">OFFSET('Connection Count'!$O$7,COLUMN()-COLUMN($C$45),0)</f>
        <v>11</v>
      </c>
      <c r="H48" s="43">
        <f ca="1">OFFSET('Connection Count'!$O$7,COLUMN()-COLUMN($C$45),0)</f>
        <v>11</v>
      </c>
      <c r="I48" s="43">
        <f ca="1">OFFSET('Connection Count'!$O$7,COLUMN()-COLUMN($C$45),0)</f>
        <v>11</v>
      </c>
      <c r="J48" s="43">
        <f ca="1">OFFSET('Connection Count'!$O$7,COLUMN()-COLUMN($C$45),0)</f>
        <v>10</v>
      </c>
      <c r="K48" s="43">
        <f ca="1">OFFSET('Connection Count'!$O$7,COLUMN()-COLUMN($C$45),0)</f>
        <v>9</v>
      </c>
      <c r="L48" s="148">
        <f ca="1">OFFSET('Connection Count'!$O$23,COLUMN()-COLUMN($L$45),0)</f>
        <v>9</v>
      </c>
      <c r="M48" s="149">
        <f ca="1">OFFSET('Connection Count'!$O$23,COLUMN()-COLUMN($L$45),0)</f>
        <v>8</v>
      </c>
    </row>
    <row r="49" spans="2:14">
      <c r="B49" s="61" t="str">
        <f t="shared" si="9"/>
        <v>Large User</v>
      </c>
      <c r="C49" s="43">
        <f ca="1">OFFSET('Connection Count'!$S$7,COLUMN()-COLUMN($C$45),0)</f>
        <v>3</v>
      </c>
      <c r="D49" s="43">
        <f ca="1">OFFSET('Connection Count'!$S$7,COLUMN()-COLUMN($C$45),0)</f>
        <v>3</v>
      </c>
      <c r="E49" s="43">
        <f ca="1">OFFSET('Connection Count'!$S$7,COLUMN()-COLUMN($C$45),0)</f>
        <v>3</v>
      </c>
      <c r="F49" s="43">
        <f ca="1">OFFSET('Connection Count'!$S$7,COLUMN()-COLUMN($C$45),0)</f>
        <v>3.4166666666666665</v>
      </c>
      <c r="G49" s="43">
        <f ca="1">OFFSET('Connection Count'!$S$7,COLUMN()-COLUMN($C$45),0)</f>
        <v>4</v>
      </c>
      <c r="H49" s="43">
        <f ca="1">OFFSET('Connection Count'!$S$7,COLUMN()-COLUMN($C$45),0)</f>
        <v>4</v>
      </c>
      <c r="I49" s="43">
        <f ca="1">OFFSET('Connection Count'!$S$7,COLUMN()-COLUMN($C$45),0)</f>
        <v>4</v>
      </c>
      <c r="J49" s="43">
        <f ca="1">OFFSET('Connection Count'!$S$7,COLUMN()-COLUMN($C$45),0)</f>
        <v>4</v>
      </c>
      <c r="K49" s="43">
        <f ca="1">OFFSET('Connection Count'!$S$7,COLUMN()-COLUMN($C$45),0)</f>
        <v>4</v>
      </c>
      <c r="L49" s="148">
        <f ca="1">OFFSET('Connection Count'!$S$23,COLUMN()-COLUMN($L$45),0)</f>
        <v>4</v>
      </c>
      <c r="M49" s="149">
        <f ca="1">OFFSET('Connection Count'!$S$23,COLUMN()-COLUMN($L$45),0)</f>
        <v>4</v>
      </c>
    </row>
    <row r="50" spans="2:14">
      <c r="B50" s="61" t="str">
        <f t="shared" si="9"/>
        <v>Street Light</v>
      </c>
      <c r="C50" s="43">
        <f ca="1">OFFSET('Connection Count'!$W$7,COLUMN()-COLUMN($C$45),0)</f>
        <v>10029.5</v>
      </c>
      <c r="D50" s="43">
        <f ca="1">OFFSET('Connection Count'!$W$7,COLUMN()-COLUMN($C$45),0)</f>
        <v>10050.833333333334</v>
      </c>
      <c r="E50" s="43">
        <f ca="1">OFFSET('Connection Count'!$W$7,COLUMN()-COLUMN($C$45),0)</f>
        <v>10012.833333333334</v>
      </c>
      <c r="F50" s="43">
        <f ca="1">OFFSET('Connection Count'!$W$7,COLUMN()-COLUMN($C$45),0)</f>
        <v>10018.083333333334</v>
      </c>
      <c r="G50" s="43">
        <f ca="1">OFFSET('Connection Count'!$W$7,COLUMN()-COLUMN($C$45),0)</f>
        <v>10042</v>
      </c>
      <c r="H50" s="43">
        <f ca="1">OFFSET('Connection Count'!$W$7,COLUMN()-COLUMN($C$45),0)</f>
        <v>10067.666666666666</v>
      </c>
      <c r="I50" s="43">
        <f ca="1">OFFSET('Connection Count'!$W$7,COLUMN()-COLUMN($C$45),0)</f>
        <v>10100.416666666666</v>
      </c>
      <c r="J50" s="43">
        <f ca="1">OFFSET('Connection Count'!$W$7,COLUMN()-COLUMN($C$45),0)</f>
        <v>10136.333333333334</v>
      </c>
      <c r="K50" s="43">
        <f ca="1">OFFSET('Connection Count'!$W$7,COLUMN()-COLUMN($C$45),0)</f>
        <v>10161</v>
      </c>
      <c r="L50" s="148">
        <f ca="1">OFFSET('Connection Count'!$W$23,COLUMN()-COLUMN($L$45),0)</f>
        <v>10176.833333333334</v>
      </c>
      <c r="M50" s="149">
        <f ca="1">OFFSET('Connection Count'!$W$23,COLUMN()-COLUMN($L$45),0)</f>
        <v>10193.340000000002</v>
      </c>
      <c r="N50" s="124"/>
    </row>
    <row r="51" spans="2:14">
      <c r="B51" s="61" t="str">
        <f t="shared" si="9"/>
        <v>Sentinel Light</v>
      </c>
      <c r="C51" s="43">
        <f ca="1">OFFSET('Connection Count'!$AA$7,COLUMN()-COLUMN($C$45),0)</f>
        <v>427.58333333333331</v>
      </c>
      <c r="D51" s="43">
        <f ca="1">OFFSET('Connection Count'!$AA$7,COLUMN()-COLUMN($C$45),0)</f>
        <v>417.91666666666669</v>
      </c>
      <c r="E51" s="43">
        <f ca="1">OFFSET('Connection Count'!$AA$7,COLUMN()-COLUMN($C$45),0)</f>
        <v>412.25</v>
      </c>
      <c r="F51" s="43">
        <f ca="1">OFFSET('Connection Count'!$AA$7,COLUMN()-COLUMN($C$45),0)</f>
        <v>407.33333333333331</v>
      </c>
      <c r="G51" s="43">
        <f ca="1">OFFSET('Connection Count'!$AA$7,COLUMN()-COLUMN($C$45),0)</f>
        <v>391.33333333333331</v>
      </c>
      <c r="H51" s="43">
        <f ca="1">OFFSET('Connection Count'!$AA$7,COLUMN()-COLUMN($C$45),0)</f>
        <v>384.5</v>
      </c>
      <c r="I51" s="43">
        <f ca="1">OFFSET('Connection Count'!$AA$7,COLUMN()-COLUMN($C$45),0)</f>
        <v>385.16666666666669</v>
      </c>
      <c r="J51" s="43">
        <f ca="1">OFFSET('Connection Count'!$AA$7,COLUMN()-COLUMN($C$45),0)</f>
        <v>370.58333333333331</v>
      </c>
      <c r="K51" s="43">
        <f ca="1">OFFSET('Connection Count'!$AA$7,COLUMN()-COLUMN($C$45),0)</f>
        <v>366.91666666666669</v>
      </c>
      <c r="L51" s="148">
        <f ca="1">OFFSET('Connection Count'!$AA$23,COLUMN()-COLUMN($L$45),0)</f>
        <v>364.16666666666669</v>
      </c>
      <c r="M51" s="149">
        <f ca="1">OFFSET('Connection Count'!$AA$23,COLUMN()-COLUMN($L$45),0)</f>
        <v>357.73000000000008</v>
      </c>
      <c r="N51" s="123"/>
    </row>
    <row r="52" spans="2:14">
      <c r="B52" s="61" t="str">
        <f t="shared" si="9"/>
        <v>USL</v>
      </c>
      <c r="C52" s="43">
        <f ca="1">OFFSET('Connection Count'!$AE$7,COLUMN()-COLUMN($C$45),0)</f>
        <v>262.08333333333331</v>
      </c>
      <c r="D52" s="43">
        <f ca="1">OFFSET('Connection Count'!$AE$7,COLUMN()-COLUMN($C$45),0)</f>
        <v>261.91666666666669</v>
      </c>
      <c r="E52" s="43">
        <f ca="1">OFFSET('Connection Count'!$AE$7,COLUMN()-COLUMN($C$45),0)</f>
        <v>262.41666666666669</v>
      </c>
      <c r="F52" s="43">
        <f ca="1">OFFSET('Connection Count'!$AE$7,COLUMN()-COLUMN($C$45),0)</f>
        <v>261.08333333333331</v>
      </c>
      <c r="G52" s="43">
        <f ca="1">OFFSET('Connection Count'!$AE$7,COLUMN()-COLUMN($C$45),0)</f>
        <v>258.41666666666669</v>
      </c>
      <c r="H52" s="43">
        <f ca="1">OFFSET('Connection Count'!$AE$7,COLUMN()-COLUMN($C$45),0)</f>
        <v>256.41666666666669</v>
      </c>
      <c r="I52" s="43">
        <f ca="1">OFFSET('Connection Count'!$AE$7,COLUMN()-COLUMN($C$45),0)</f>
        <v>256.58333333333331</v>
      </c>
      <c r="J52" s="43">
        <f ca="1">OFFSET('Connection Count'!$AE$7,COLUMN()-COLUMN($C$45),0)</f>
        <v>253.25</v>
      </c>
      <c r="K52" s="43">
        <f ca="1">OFFSET('Connection Count'!$AE$7,COLUMN()-COLUMN($C$45),0)</f>
        <v>242.91666666666666</v>
      </c>
      <c r="L52" s="148">
        <f ca="1">OFFSET('Connection Count'!$AE$23,COLUMN()-COLUMN($L$45),0)</f>
        <v>236.33333333333334</v>
      </c>
      <c r="M52" s="149">
        <f ca="1">OFFSET('Connection Count'!$AE$23,COLUMN()-COLUMN($L$45),0)</f>
        <v>336.62999999999994</v>
      </c>
      <c r="N52" s="123"/>
    </row>
    <row r="53" spans="2:14" ht="13.5" thickBot="1">
      <c r="B53" s="62" t="s">
        <v>23</v>
      </c>
      <c r="C53" s="63">
        <f ca="1">SUM(C45:C52)</f>
        <v>46636.333333333343</v>
      </c>
      <c r="D53" s="63">
        <f ca="1">SUM(D45:D52)</f>
        <v>46772.333333333328</v>
      </c>
      <c r="E53" s="63">
        <f t="shared" ref="E53:I53" ca="1" si="10">SUM(E45:E52)</f>
        <v>46853.166666666664</v>
      </c>
      <c r="F53" s="63">
        <f t="shared" ca="1" si="10"/>
        <v>46983.500000000007</v>
      </c>
      <c r="G53" s="63">
        <f t="shared" ca="1" si="10"/>
        <v>47171.333333333336</v>
      </c>
      <c r="H53" s="63">
        <f t="shared" ca="1" si="10"/>
        <v>47336.416666666657</v>
      </c>
      <c r="I53" s="63">
        <f t="shared" ca="1" si="10"/>
        <v>47476.333333333336</v>
      </c>
      <c r="J53" s="63">
        <f t="shared" ref="J53" ca="1" si="11">SUM(J45:J52)</f>
        <v>47623.25</v>
      </c>
      <c r="K53" s="63">
        <f t="shared" ref="K53:L53" ca="1" si="12">SUM(K45:K52)</f>
        <v>47728.249999999993</v>
      </c>
      <c r="L53" s="63">
        <f t="shared" ca="1" si="12"/>
        <v>47888.75</v>
      </c>
      <c r="M53" s="64">
        <f t="shared" ref="M53" ca="1" si="13">SUM(M45:M52)</f>
        <v>48132.510000000009</v>
      </c>
    </row>
    <row r="56" spans="2:14" ht="16.5" thickBot="1">
      <c r="B56" s="55" t="s">
        <v>341</v>
      </c>
      <c r="C56" s="55"/>
    </row>
    <row r="57" spans="2:14" ht="25.5">
      <c r="B57" s="219">
        <v>2023</v>
      </c>
      <c r="C57" s="65" t="s">
        <v>70</v>
      </c>
      <c r="D57" s="65" t="s">
        <v>74</v>
      </c>
      <c r="E57" s="66" t="s">
        <v>170</v>
      </c>
    </row>
    <row r="58" spans="2:14">
      <c r="B58" s="59" t="s">
        <v>25</v>
      </c>
      <c r="C58" s="43">
        <f ca="1">E15</f>
        <v>267876214.36046657</v>
      </c>
      <c r="D58" s="43"/>
      <c r="E58" s="60">
        <f ca="1">M45</f>
        <v>33417.610000000008</v>
      </c>
    </row>
    <row r="59" spans="2:14">
      <c r="B59" s="61" t="s">
        <v>131</v>
      </c>
      <c r="C59" s="43">
        <f t="shared" ref="C59:C65" ca="1" si="14">E16</f>
        <v>104759996.1112988</v>
      </c>
      <c r="D59" s="43"/>
      <c r="E59" s="60">
        <f t="shared" ref="E59:E65" ca="1" si="15">M46</f>
        <v>3451.17</v>
      </c>
    </row>
    <row r="60" spans="2:14">
      <c r="B60" s="61" t="s">
        <v>133</v>
      </c>
      <c r="C60" s="43">
        <f t="shared" ca="1" si="14"/>
        <v>188002725.02673304</v>
      </c>
      <c r="D60" s="43">
        <f ca="1">E36</f>
        <v>524760.32148041343</v>
      </c>
      <c r="E60" s="60">
        <f t="shared" ca="1" si="15"/>
        <v>364.03000000000014</v>
      </c>
    </row>
    <row r="61" spans="2:14">
      <c r="B61" s="61" t="s">
        <v>27</v>
      </c>
      <c r="C61" s="43">
        <f t="shared" ca="1" si="14"/>
        <v>114192586.84808928</v>
      </c>
      <c r="D61" s="43">
        <f t="shared" ref="D61:D64" ca="1" si="16">E37</f>
        <v>221950.39878743488</v>
      </c>
      <c r="E61" s="60">
        <f t="shared" ca="1" si="15"/>
        <v>8</v>
      </c>
    </row>
    <row r="62" spans="2:14">
      <c r="B62" s="61" t="s">
        <v>167</v>
      </c>
      <c r="C62" s="43">
        <f t="shared" ca="1" si="14"/>
        <v>280213318.66733831</v>
      </c>
      <c r="D62" s="43">
        <f t="shared" ca="1" si="16"/>
        <v>471570.95486783021</v>
      </c>
      <c r="E62" s="60">
        <f t="shared" ca="1" si="15"/>
        <v>4</v>
      </c>
    </row>
    <row r="63" spans="2:14">
      <c r="B63" s="61" t="s">
        <v>149</v>
      </c>
      <c r="C63" s="43">
        <f t="shared" ca="1" si="14"/>
        <v>3061561.7829879471</v>
      </c>
      <c r="D63" s="43">
        <f t="shared" ca="1" si="16"/>
        <v>8430.0804711743476</v>
      </c>
      <c r="E63" s="60">
        <f t="shared" ca="1" si="15"/>
        <v>10193.340000000002</v>
      </c>
    </row>
    <row r="64" spans="2:14">
      <c r="B64" s="61" t="s">
        <v>153</v>
      </c>
      <c r="C64" s="43">
        <f t="shared" ca="1" si="14"/>
        <v>421220.07259579725</v>
      </c>
      <c r="D64" s="43">
        <f t="shared" ca="1" si="16"/>
        <v>1152.266834347349</v>
      </c>
      <c r="E64" s="60">
        <f t="shared" ca="1" si="15"/>
        <v>357.73000000000008</v>
      </c>
    </row>
    <row r="65" spans="2:5">
      <c r="B65" s="61" t="s">
        <v>71</v>
      </c>
      <c r="C65" s="43">
        <f t="shared" si="14"/>
        <v>2198298.2178996359</v>
      </c>
      <c r="D65" s="43"/>
      <c r="E65" s="60">
        <f t="shared" ca="1" si="15"/>
        <v>336.62999999999994</v>
      </c>
    </row>
    <row r="66" spans="2:5" ht="13.5" thickBot="1">
      <c r="B66" s="62" t="s">
        <v>23</v>
      </c>
      <c r="C66" s="220">
        <f ca="1">SUM(C58:C65)</f>
        <v>960725921.0874095</v>
      </c>
      <c r="D66" s="220">
        <f t="shared" ref="D66:E66" ca="1" si="17">SUM(D58:D65)</f>
        <v>1227864.0224412002</v>
      </c>
      <c r="E66" s="221">
        <f t="shared" ca="1" si="17"/>
        <v>48132.510000000009</v>
      </c>
    </row>
  </sheetData>
  <mergeCells count="1">
    <mergeCell ref="G16:K18"/>
  </mergeCells>
  <phoneticPr fontId="29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B1:Q66"/>
  <sheetViews>
    <sheetView topLeftCell="A34" workbookViewId="0">
      <selection activeCell="D60" sqref="D60:D64"/>
    </sheetView>
  </sheetViews>
  <sheetFormatPr defaultColWidth="7.85546875" defaultRowHeight="12.75"/>
  <cols>
    <col min="1" max="1" width="2.5703125" style="42" customWidth="1"/>
    <col min="2" max="2" width="20.140625" style="42" customWidth="1"/>
    <col min="3" max="3" width="13.42578125" style="42" bestFit="1" customWidth="1"/>
    <col min="4" max="4" width="11.28515625" style="42" bestFit="1" customWidth="1"/>
    <col min="5" max="5" width="12.140625" style="42" bestFit="1" customWidth="1"/>
    <col min="6" max="6" width="12.7109375" style="42" bestFit="1" customWidth="1"/>
    <col min="7" max="10" width="11.28515625" style="42" bestFit="1" customWidth="1"/>
    <col min="11" max="13" width="13.5703125" style="42" customWidth="1"/>
    <col min="14" max="14" width="15" style="42" customWidth="1"/>
    <col min="15" max="15" width="7.85546875" style="42"/>
    <col min="16" max="16" width="10.5703125" style="42" customWidth="1"/>
    <col min="17" max="16384" width="7.85546875" style="42"/>
  </cols>
  <sheetData>
    <row r="1" spans="2:17" ht="16.5" thickBot="1">
      <c r="B1" s="55" t="s">
        <v>152</v>
      </c>
      <c r="C1" s="55"/>
    </row>
    <row r="2" spans="2:17">
      <c r="B2" s="239" t="s">
        <v>70</v>
      </c>
      <c r="C2" s="57" t="s">
        <v>254</v>
      </c>
      <c r="D2" s="57" t="s">
        <v>163</v>
      </c>
      <c r="E2" s="57" t="s">
        <v>164</v>
      </c>
      <c r="F2" s="57" t="s">
        <v>165</v>
      </c>
      <c r="G2" s="57" t="s">
        <v>166</v>
      </c>
      <c r="H2" s="57" t="s">
        <v>171</v>
      </c>
      <c r="I2" s="57" t="s">
        <v>241</v>
      </c>
      <c r="J2" s="57" t="s">
        <v>285</v>
      </c>
      <c r="K2" s="57" t="s">
        <v>286</v>
      </c>
      <c r="L2" s="57" t="s">
        <v>380</v>
      </c>
      <c r="M2" s="58" t="s">
        <v>287</v>
      </c>
    </row>
    <row r="3" spans="2:17">
      <c r="B3" s="59" t="s">
        <v>25</v>
      </c>
      <c r="C3" s="43">
        <v>255389581.63213682</v>
      </c>
      <c r="D3" s="43">
        <v>248491220.29588568</v>
      </c>
      <c r="E3" s="43">
        <v>247531814.84014043</v>
      </c>
      <c r="F3" s="43">
        <v>254829614.94449431</v>
      </c>
      <c r="G3" s="43">
        <v>243695247.75932932</v>
      </c>
      <c r="H3" s="43">
        <v>259006063.74540004</v>
      </c>
      <c r="I3" s="43">
        <v>251122548.57699993</v>
      </c>
      <c r="J3" s="43">
        <v>270338602</v>
      </c>
      <c r="K3" s="43">
        <v>275475848.21988314</v>
      </c>
      <c r="L3" s="43">
        <v>274162832</v>
      </c>
      <c r="M3" s="60">
        <f ca="1">OFFSET('Normalized Annual Summary'!$I$15,COLUMN(M3)-COLUMN($L3),0)</f>
        <v>268166276.74499565</v>
      </c>
      <c r="P3" s="43"/>
      <c r="Q3" s="43"/>
    </row>
    <row r="4" spans="2:17">
      <c r="B4" s="61" t="s">
        <v>131</v>
      </c>
      <c r="C4" s="43">
        <v>103284258.79809758</v>
      </c>
      <c r="D4" s="43">
        <v>103923430.55572671</v>
      </c>
      <c r="E4" s="43">
        <v>104997600.1746619</v>
      </c>
      <c r="F4" s="43">
        <v>103858080.64192553</v>
      </c>
      <c r="G4" s="43">
        <v>99503004.427166715</v>
      </c>
      <c r="H4" s="43">
        <v>101399119.93037812</v>
      </c>
      <c r="I4" s="43">
        <v>101723564.16653225</v>
      </c>
      <c r="J4" s="43">
        <v>94820549.66929999</v>
      </c>
      <c r="K4" s="43">
        <v>98943526.028734013</v>
      </c>
      <c r="L4" s="43">
        <v>103737562</v>
      </c>
      <c r="M4" s="60">
        <f ca="1">OFFSET('Normalized Annual Summary'!$R$15,COLUMN(M4)-COLUMN($L4),0)</f>
        <v>105384033.66342761</v>
      </c>
    </row>
    <row r="5" spans="2:17">
      <c r="B5" s="61" t="s">
        <v>133</v>
      </c>
      <c r="C5" s="43">
        <v>222721187.63730961</v>
      </c>
      <c r="D5" s="43">
        <v>216401666.1707685</v>
      </c>
      <c r="E5" s="43">
        <v>210203756.6353825</v>
      </c>
      <c r="F5" s="43">
        <v>207887226.69478989</v>
      </c>
      <c r="G5" s="43">
        <v>196589569.31987116</v>
      </c>
      <c r="H5" s="43">
        <v>198076032.34647661</v>
      </c>
      <c r="I5" s="43">
        <v>193322393.28949997</v>
      </c>
      <c r="J5" s="43">
        <v>182593245.67520002</v>
      </c>
      <c r="K5" s="43">
        <v>185117330.57710001</v>
      </c>
      <c r="L5" s="43">
        <v>187172697</v>
      </c>
      <c r="M5" s="60">
        <f ca="1">OFFSET('Normalized Annual Summary'!$AA$15,COLUMN(M5)-COLUMN($L5),0)</f>
        <v>190815052.78498736</v>
      </c>
    </row>
    <row r="6" spans="2:17">
      <c r="B6" s="61" t="s">
        <v>27</v>
      </c>
      <c r="C6" s="43">
        <v>161171662.80959997</v>
      </c>
      <c r="D6" s="43">
        <v>159033210.38159999</v>
      </c>
      <c r="E6" s="43">
        <v>158080304.69489998</v>
      </c>
      <c r="F6" s="43">
        <v>156593665.49840003</v>
      </c>
      <c r="G6" s="43">
        <v>137456442.62400001</v>
      </c>
      <c r="H6" s="43">
        <v>136386984.9118</v>
      </c>
      <c r="I6" s="43">
        <v>131667229.59170002</v>
      </c>
      <c r="J6" s="43">
        <v>121864255.22920004</v>
      </c>
      <c r="K6" s="43">
        <v>126088597.00819999</v>
      </c>
      <c r="L6" s="43">
        <v>123485396</v>
      </c>
      <c r="M6" s="60">
        <f ca="1">OFFSET('Normalized Annual Summary'!$AJ$15,COLUMN(M6)-COLUMN($L6),0)</f>
        <v>116919180.05677593</v>
      </c>
    </row>
    <row r="7" spans="2:17">
      <c r="B7" s="61" t="s">
        <v>167</v>
      </c>
      <c r="C7" s="43">
        <v>251680101.073695</v>
      </c>
      <c r="D7" s="43">
        <v>255196632.46968001</v>
      </c>
      <c r="E7" s="43">
        <v>255903895.89022502</v>
      </c>
      <c r="F7" s="43">
        <v>281637470.56549501</v>
      </c>
      <c r="G7" s="43">
        <v>289478993.77460253</v>
      </c>
      <c r="H7" s="43">
        <v>287387431.61559749</v>
      </c>
      <c r="I7" s="43">
        <v>290955053.35515743</v>
      </c>
      <c r="J7" s="43">
        <v>281204845.03435504</v>
      </c>
      <c r="K7" s="43">
        <v>266221942.0420725</v>
      </c>
      <c r="L7" s="43">
        <v>269705145</v>
      </c>
      <c r="M7" s="60">
        <f ca="1">OFFSET('Normalized Annual Summary'!$AS$15,COLUMN(M7)-COLUMN($L7),0)</f>
        <v>280631367.87012482</v>
      </c>
    </row>
    <row r="8" spans="2:17">
      <c r="B8" s="61" t="s">
        <v>149</v>
      </c>
      <c r="C8" s="43">
        <v>9144166.018151382</v>
      </c>
      <c r="D8" s="43">
        <v>8086583.2770350762</v>
      </c>
      <c r="E8" s="43">
        <v>6427056.8045899998</v>
      </c>
      <c r="F8" s="43">
        <v>5119606.1326600015</v>
      </c>
      <c r="G8" s="43">
        <v>4349789.3748699967</v>
      </c>
      <c r="H8" s="43">
        <v>3664817.7103454689</v>
      </c>
      <c r="I8" s="43">
        <v>3457006.3222000003</v>
      </c>
      <c r="J8" s="43">
        <v>3449208.3879999998</v>
      </c>
      <c r="K8" s="43">
        <v>3351424.9544093632</v>
      </c>
      <c r="L8" s="43">
        <v>3056605</v>
      </c>
      <c r="M8" s="60">
        <f ca="1">OFFSET('Normalized Annual Summary'!$AY$15,COLUMN(M8)-COLUMN($L8),0)</f>
        <v>3061561.7829879471</v>
      </c>
    </row>
    <row r="9" spans="2:17">
      <c r="B9" s="61" t="s">
        <v>153</v>
      </c>
      <c r="C9" s="43">
        <v>547347.48</v>
      </c>
      <c r="D9" s="43">
        <v>536887.44000000006</v>
      </c>
      <c r="E9" s="43">
        <v>507379.83599999995</v>
      </c>
      <c r="F9" s="43">
        <v>497068.96799999988</v>
      </c>
      <c r="G9" s="43">
        <v>476322.47087148222</v>
      </c>
      <c r="H9" s="43">
        <v>453199.62951037817</v>
      </c>
      <c r="I9" s="43">
        <v>474593.75599999999</v>
      </c>
      <c r="J9" s="43">
        <v>439110</v>
      </c>
      <c r="K9" s="43">
        <v>433167.95999999985</v>
      </c>
      <c r="L9" s="43">
        <v>428801</v>
      </c>
      <c r="M9" s="60">
        <f ca="1">OFFSET('Normalized Annual Summary'!$BE$15,COLUMN(M9)-COLUMN($L9),0)</f>
        <v>421220.07259579725</v>
      </c>
    </row>
    <row r="10" spans="2:17">
      <c r="B10" s="61" t="s">
        <v>71</v>
      </c>
      <c r="C10" s="43">
        <v>2183026.2609067005</v>
      </c>
      <c r="D10" s="43">
        <v>2203828.4995907997</v>
      </c>
      <c r="E10" s="43">
        <v>2211250.1011378998</v>
      </c>
      <c r="F10" s="43">
        <v>2221666.6957900003</v>
      </c>
      <c r="G10" s="43">
        <v>2156982.068929255</v>
      </c>
      <c r="H10" s="43">
        <v>2052963.2891298411</v>
      </c>
      <c r="I10" s="43">
        <v>2202857.2019999996</v>
      </c>
      <c r="J10" s="43">
        <v>2209114</v>
      </c>
      <c r="K10" s="43">
        <v>2181430.8754999968</v>
      </c>
      <c r="L10" s="43">
        <v>2168627</v>
      </c>
      <c r="M10" s="60">
        <f>'Normalized Annual Summary'!BQ16</f>
        <v>2198298.2178996359</v>
      </c>
    </row>
    <row r="11" spans="2:17" ht="13.5" thickBot="1">
      <c r="B11" s="62" t="s">
        <v>23</v>
      </c>
      <c r="C11" s="63">
        <f>SUM(C3:C10)</f>
        <v>1006121331.7098972</v>
      </c>
      <c r="D11" s="63">
        <f t="shared" ref="D11:K11" si="0">SUM(D3:D10)</f>
        <v>993873459.09028673</v>
      </c>
      <c r="E11" s="63">
        <f t="shared" si="0"/>
        <v>985863058.97703779</v>
      </c>
      <c r="F11" s="63">
        <f t="shared" si="0"/>
        <v>1012644400.1415548</v>
      </c>
      <c r="G11" s="63">
        <f t="shared" si="0"/>
        <v>973706351.8196404</v>
      </c>
      <c r="H11" s="63">
        <f t="shared" si="0"/>
        <v>988426613.17863798</v>
      </c>
      <c r="I11" s="63">
        <f t="shared" si="0"/>
        <v>974925246.26008976</v>
      </c>
      <c r="J11" s="63">
        <f t="shared" si="0"/>
        <v>956918929.99605501</v>
      </c>
      <c r="K11" s="63">
        <f t="shared" si="0"/>
        <v>957813267.66589904</v>
      </c>
      <c r="L11" s="63">
        <f t="shared" ref="L11" si="1">SUM(L3:L10)</f>
        <v>963917665</v>
      </c>
      <c r="M11" s="64">
        <f ca="1">SUM(M3:M10)</f>
        <v>967596991.19379485</v>
      </c>
    </row>
    <row r="13" spans="2:17" ht="16.5" thickBot="1">
      <c r="B13" s="55" t="s">
        <v>168</v>
      </c>
      <c r="C13" s="55"/>
      <c r="I13" s="43"/>
      <c r="J13" s="43"/>
    </row>
    <row r="14" spans="2:17" ht="38.25">
      <c r="B14" s="219" t="s">
        <v>70</v>
      </c>
      <c r="C14" s="65" t="s">
        <v>288</v>
      </c>
      <c r="D14" s="65" t="s">
        <v>169</v>
      </c>
      <c r="E14" s="66" t="s">
        <v>289</v>
      </c>
    </row>
    <row r="15" spans="2:17">
      <c r="B15" s="59" t="str">
        <f t="shared" ref="B15:B22" si="2">B3</f>
        <v>Residential</v>
      </c>
      <c r="C15" s="43">
        <f ca="1">M3</f>
        <v>268166276.74499565</v>
      </c>
      <c r="D15" s="43">
        <f>'CDM Adjustment'!L7</f>
        <v>290062.38452908327</v>
      </c>
      <c r="E15" s="60">
        <f ca="1">C15-D15</f>
        <v>267876214.36046657</v>
      </c>
    </row>
    <row r="16" spans="2:17" ht="12.75" customHeight="1">
      <c r="B16" s="61" t="str">
        <f t="shared" si="2"/>
        <v>GS &lt; 50</v>
      </c>
      <c r="C16" s="43">
        <f t="shared" ref="C16:C22" ca="1" si="3">M4</f>
        <v>105384033.66342761</v>
      </c>
      <c r="D16" s="43">
        <f>'CDM Adjustment'!L8</f>
        <v>624037.55212880205</v>
      </c>
      <c r="E16" s="60">
        <f ca="1">C16-D16</f>
        <v>104759996.1112988</v>
      </c>
      <c r="G16" s="326" t="s">
        <v>253</v>
      </c>
      <c r="H16" s="326"/>
      <c r="I16" s="326"/>
      <c r="J16" s="326"/>
      <c r="K16" s="326"/>
    </row>
    <row r="17" spans="2:13">
      <c r="B17" s="61" t="str">
        <f t="shared" si="2"/>
        <v>GS &gt; 50</v>
      </c>
      <c r="C17" s="43">
        <f t="shared" ca="1" si="3"/>
        <v>190815052.78498736</v>
      </c>
      <c r="D17" s="43">
        <f>'CDM Adjustment'!L9</f>
        <v>2812327.7582543185</v>
      </c>
      <c r="E17" s="60">
        <f t="shared" ref="E17:E22" ca="1" si="4">C17-D17</f>
        <v>188002725.02673304</v>
      </c>
      <c r="G17" s="326"/>
      <c r="H17" s="326"/>
      <c r="I17" s="326"/>
      <c r="J17" s="326"/>
      <c r="K17" s="326"/>
    </row>
    <row r="18" spans="2:13">
      <c r="B18" s="61" t="str">
        <f t="shared" si="2"/>
        <v>Intermediate</v>
      </c>
      <c r="C18" s="43">
        <f t="shared" ca="1" si="3"/>
        <v>116919180.05677593</v>
      </c>
      <c r="D18" s="43">
        <f>'CDM Adjustment'!L10</f>
        <v>2726593.2086866563</v>
      </c>
      <c r="E18" s="60">
        <f t="shared" ca="1" si="4"/>
        <v>114192586.84808928</v>
      </c>
      <c r="G18" s="326"/>
      <c r="H18" s="326"/>
      <c r="I18" s="326"/>
      <c r="J18" s="326"/>
      <c r="K18" s="326"/>
    </row>
    <row r="19" spans="2:13">
      <c r="B19" s="61" t="str">
        <f t="shared" si="2"/>
        <v>Large User</v>
      </c>
      <c r="C19" s="43">
        <f t="shared" ca="1" si="3"/>
        <v>280631367.87012482</v>
      </c>
      <c r="D19" s="43">
        <f>'CDM Adjustment'!L11</f>
        <v>418049.20278649009</v>
      </c>
      <c r="E19" s="60">
        <f t="shared" ca="1" si="4"/>
        <v>280213318.66733831</v>
      </c>
    </row>
    <row r="20" spans="2:13">
      <c r="B20" s="61" t="str">
        <f t="shared" si="2"/>
        <v>Street Light</v>
      </c>
      <c r="C20" s="43">
        <f t="shared" ca="1" si="3"/>
        <v>3061561.7829879471</v>
      </c>
      <c r="D20" s="43">
        <f>'CDM Adjustment'!L12</f>
        <v>0</v>
      </c>
      <c r="E20" s="60">
        <f t="shared" ca="1" si="4"/>
        <v>3061561.7829879471</v>
      </c>
    </row>
    <row r="21" spans="2:13">
      <c r="B21" s="61" t="str">
        <f t="shared" si="2"/>
        <v>Sentinel Light</v>
      </c>
      <c r="C21" s="43">
        <f t="shared" ca="1" si="3"/>
        <v>421220.07259579725</v>
      </c>
      <c r="D21" s="43">
        <f>'CDM Adjustment'!L13</f>
        <v>0</v>
      </c>
      <c r="E21" s="60">
        <f t="shared" ca="1" si="4"/>
        <v>421220.07259579725</v>
      </c>
    </row>
    <row r="22" spans="2:13">
      <c r="B22" s="61" t="str">
        <f t="shared" si="2"/>
        <v>USL</v>
      </c>
      <c r="C22" s="43">
        <f t="shared" si="3"/>
        <v>2198298.2178996359</v>
      </c>
      <c r="D22" s="43">
        <f>'CDM Adjustment'!L14</f>
        <v>0</v>
      </c>
      <c r="E22" s="60">
        <f t="shared" si="4"/>
        <v>2198298.2178996359</v>
      </c>
    </row>
    <row r="23" spans="2:13" ht="13.5" thickBot="1">
      <c r="B23" s="62" t="s">
        <v>23</v>
      </c>
      <c r="C23" s="63">
        <f ca="1">SUM(C15:C22)</f>
        <v>967596991.19379485</v>
      </c>
      <c r="D23" s="63">
        <f>SUM(D15:D22)</f>
        <v>6871070.1063853502</v>
      </c>
      <c r="E23" s="64">
        <f ca="1">SUM(E15:E22)</f>
        <v>960725921.0874095</v>
      </c>
    </row>
    <row r="25" spans="2:13" ht="16.5" thickBot="1">
      <c r="B25" s="55" t="s">
        <v>152</v>
      </c>
      <c r="C25" s="55"/>
    </row>
    <row r="26" spans="2:13">
      <c r="B26" s="219" t="s">
        <v>74</v>
      </c>
      <c r="C26" s="57" t="s">
        <v>254</v>
      </c>
      <c r="D26" s="57" t="s">
        <v>163</v>
      </c>
      <c r="E26" s="57" t="s">
        <v>164</v>
      </c>
      <c r="F26" s="57" t="s">
        <v>165</v>
      </c>
      <c r="G26" s="57" t="s">
        <v>166</v>
      </c>
      <c r="H26" s="57" t="s">
        <v>171</v>
      </c>
      <c r="I26" s="57" t="s">
        <v>241</v>
      </c>
      <c r="J26" s="57" t="s">
        <v>285</v>
      </c>
      <c r="K26" s="57" t="s">
        <v>286</v>
      </c>
      <c r="L26" s="57" t="s">
        <v>380</v>
      </c>
      <c r="M26" s="58" t="s">
        <v>287</v>
      </c>
    </row>
    <row r="27" spans="2:13">
      <c r="B27" s="61" t="s">
        <v>133</v>
      </c>
      <c r="C27" s="43">
        <v>622926.36540000001</v>
      </c>
      <c r="D27" s="43">
        <v>607208.4791</v>
      </c>
      <c r="E27" s="43">
        <v>582473.47649999999</v>
      </c>
      <c r="F27" s="43">
        <v>575500.88030000008</v>
      </c>
      <c r="G27" s="43">
        <v>560226.11819999991</v>
      </c>
      <c r="H27" s="43">
        <v>559687.58880000003</v>
      </c>
      <c r="I27" s="43">
        <v>528419.62360000005</v>
      </c>
      <c r="J27" s="43">
        <v>511400.64709999994</v>
      </c>
      <c r="K27" s="43">
        <v>522128.64825299999</v>
      </c>
      <c r="L27" s="43">
        <v>505124.49320147402</v>
      </c>
      <c r="M27" s="60">
        <f ca="1">OFFSET('kW Forecast'!$D$29,COLUMN()-12,0)</f>
        <v>532610.19715811952</v>
      </c>
    </row>
    <row r="28" spans="2:13">
      <c r="B28" s="61" t="str">
        <f>B18</f>
        <v>Intermediate</v>
      </c>
      <c r="C28" s="43">
        <v>346643.00034970703</v>
      </c>
      <c r="D28" s="43">
        <v>359106.53127523244</v>
      </c>
      <c r="E28" s="43">
        <v>346801.92660000001</v>
      </c>
      <c r="F28" s="43">
        <v>320386.04587388254</v>
      </c>
      <c r="G28" s="43">
        <v>281957.11378646491</v>
      </c>
      <c r="H28" s="43">
        <v>279318.63187880488</v>
      </c>
      <c r="I28" s="43">
        <v>265773.19241516507</v>
      </c>
      <c r="J28" s="43">
        <v>241408.06541339</v>
      </c>
      <c r="K28" s="43">
        <v>245050.35692944867</v>
      </c>
      <c r="L28" s="43">
        <v>240760.24081292099</v>
      </c>
      <c r="M28" s="60">
        <f ca="1">OFFSET('kW Forecast'!$J$29,COLUMN()-12,0)</f>
        <v>227249.94113692359</v>
      </c>
    </row>
    <row r="29" spans="2:13">
      <c r="B29" s="61" t="str">
        <f>B19</f>
        <v>Large User</v>
      </c>
      <c r="C29" s="43">
        <v>396800.29181011702</v>
      </c>
      <c r="D29" s="43">
        <v>404063.79547965137</v>
      </c>
      <c r="E29" s="43">
        <v>400651.24060000008</v>
      </c>
      <c r="F29" s="43">
        <v>436453.20965768601</v>
      </c>
      <c r="G29" s="43">
        <v>479867.14926132001</v>
      </c>
      <c r="H29" s="43">
        <v>486458.73490579193</v>
      </c>
      <c r="I29" s="43">
        <v>477954.67204705748</v>
      </c>
      <c r="J29" s="43">
        <v>461492.62948073435</v>
      </c>
      <c r="K29" s="43">
        <v>471315.371652</v>
      </c>
      <c r="L29" s="43">
        <v>463614.038696245</v>
      </c>
      <c r="M29" s="60">
        <f ca="1">OFFSET('kW Forecast'!$P$29,COLUMN()-12,0)</f>
        <v>472274.48981284042</v>
      </c>
    </row>
    <row r="30" spans="2:13">
      <c r="B30" s="61" t="s">
        <v>149</v>
      </c>
      <c r="C30" s="43">
        <v>24350.724000000002</v>
      </c>
      <c r="D30" s="43">
        <v>21697.097001631322</v>
      </c>
      <c r="E30" s="43">
        <v>17286.991099999996</v>
      </c>
      <c r="F30" s="43">
        <v>13685.656021495031</v>
      </c>
      <c r="G30" s="43">
        <v>11694.634499999998</v>
      </c>
      <c r="H30" s="43">
        <v>10173.615699999998</v>
      </c>
      <c r="I30" s="43">
        <v>9620.8356999999996</v>
      </c>
      <c r="J30" s="43">
        <v>9568.6293999999998</v>
      </c>
      <c r="K30" s="43">
        <v>9337.8753449999986</v>
      </c>
      <c r="L30" s="43">
        <v>9226.7102599999998</v>
      </c>
      <c r="M30" s="60">
        <f ca="1">OFFSET('kW Forecast'!$V$29,COLUMN()-12,0)</f>
        <v>8430.0804711743476</v>
      </c>
    </row>
    <row r="31" spans="2:13">
      <c r="B31" s="61" t="s">
        <v>153</v>
      </c>
      <c r="C31" s="43">
        <v>1313.0620000000001</v>
      </c>
      <c r="D31" s="43">
        <v>1278.0620000000001</v>
      </c>
      <c r="E31" s="43">
        <v>1253.884</v>
      </c>
      <c r="F31" s="43">
        <v>1204.954</v>
      </c>
      <c r="G31" s="43">
        <v>1323.6390000000001</v>
      </c>
      <c r="H31" s="43">
        <v>1302.1600000000001</v>
      </c>
      <c r="I31" s="43">
        <v>1299.3539999999985</v>
      </c>
      <c r="J31" s="43">
        <v>1195.5739999999983</v>
      </c>
      <c r="K31" s="43">
        <v>1187.4598680000001</v>
      </c>
      <c r="L31" s="43">
        <v>1113.8044906666701</v>
      </c>
      <c r="M31" s="60">
        <f ca="1">OFFSET('kW Forecast'!$AB$29,COLUMN()-12,0)</f>
        <v>1152.266834347349</v>
      </c>
    </row>
    <row r="32" spans="2:13" ht="13.5" thickBot="1">
      <c r="B32" s="62" t="s">
        <v>23</v>
      </c>
      <c r="C32" s="63">
        <f>SUM(C24:C31)</f>
        <v>1392033.4435598238</v>
      </c>
      <c r="D32" s="63">
        <f t="shared" ref="D32:L32" si="5">SUM(D24:D31)</f>
        <v>1393353.9648565149</v>
      </c>
      <c r="E32" s="63">
        <f t="shared" si="5"/>
        <v>1348467.5188000002</v>
      </c>
      <c r="F32" s="63">
        <f t="shared" si="5"/>
        <v>1347230.7458530637</v>
      </c>
      <c r="G32" s="63">
        <f t="shared" si="5"/>
        <v>1335068.6547477848</v>
      </c>
      <c r="H32" s="63">
        <f t="shared" si="5"/>
        <v>1336940.7312845967</v>
      </c>
      <c r="I32" s="63">
        <f t="shared" si="5"/>
        <v>1283067.6777622225</v>
      </c>
      <c r="J32" s="63">
        <f t="shared" si="5"/>
        <v>1225065.5453941245</v>
      </c>
      <c r="K32" s="63">
        <f t="shared" si="5"/>
        <v>1249019.7120474486</v>
      </c>
      <c r="L32" s="63">
        <f t="shared" si="5"/>
        <v>1219839.2874613067</v>
      </c>
      <c r="M32" s="64">
        <f ca="1">SUM(M24:M31)</f>
        <v>1241716.9754134051</v>
      </c>
    </row>
    <row r="34" spans="2:14" ht="16.5" thickBot="1">
      <c r="B34" s="55" t="s">
        <v>168</v>
      </c>
      <c r="C34" s="55"/>
    </row>
    <row r="35" spans="2:14" ht="38.25">
      <c r="B35" s="219" t="s">
        <v>74</v>
      </c>
      <c r="C35" s="65" t="s">
        <v>288</v>
      </c>
      <c r="D35" s="65" t="s">
        <v>169</v>
      </c>
      <c r="E35" s="66" t="s">
        <v>289</v>
      </c>
    </row>
    <row r="36" spans="2:14">
      <c r="B36" s="61" t="str">
        <f>B27</f>
        <v>GS &gt; 50</v>
      </c>
      <c r="C36" s="43">
        <f ca="1">M27</f>
        <v>532610.19715811952</v>
      </c>
      <c r="D36" s="43">
        <f ca="1">'CDM Adjustment'!G23</f>
        <v>7849.8756777061362</v>
      </c>
      <c r="E36" s="60">
        <f ca="1">C36-D36</f>
        <v>524760.32148041343</v>
      </c>
      <c r="H36" s="43"/>
    </row>
    <row r="37" spans="2:14">
      <c r="B37" s="61" t="str">
        <f>B28</f>
        <v>Intermediate</v>
      </c>
      <c r="C37" s="43">
        <f ca="1">M28</f>
        <v>227249.94113692359</v>
      </c>
      <c r="D37" s="43">
        <f ca="1">'CDM Adjustment'!G24</f>
        <v>5299.5423494886963</v>
      </c>
      <c r="E37" s="60">
        <f ca="1">C37-D37</f>
        <v>221950.39878743488</v>
      </c>
    </row>
    <row r="38" spans="2:14">
      <c r="B38" s="61" t="str">
        <f>B29</f>
        <v>Large User</v>
      </c>
      <c r="C38" s="43">
        <f ca="1">M29</f>
        <v>472274.48981284042</v>
      </c>
      <c r="D38" s="43">
        <f>'CDM Adjustment'!G25</f>
        <v>703.53494501023135</v>
      </c>
      <c r="E38" s="60">
        <f ca="1">C38-D38</f>
        <v>471570.95486783021</v>
      </c>
    </row>
    <row r="39" spans="2:14">
      <c r="B39" s="61" t="str">
        <f>B30</f>
        <v>Street Light</v>
      </c>
      <c r="C39" s="43">
        <f ca="1">M30</f>
        <v>8430.0804711743476</v>
      </c>
      <c r="D39" s="43">
        <f>'CDM Adjustment'!G26</f>
        <v>0</v>
      </c>
      <c r="E39" s="60">
        <f ca="1">C39-D39</f>
        <v>8430.0804711743476</v>
      </c>
    </row>
    <row r="40" spans="2:14">
      <c r="B40" s="61" t="str">
        <f>B31</f>
        <v>Sentinel Light</v>
      </c>
      <c r="C40" s="43">
        <f ca="1">M31</f>
        <v>1152.266834347349</v>
      </c>
      <c r="D40" s="43">
        <f>'CDM Adjustment'!G27</f>
        <v>0</v>
      </c>
      <c r="E40" s="60">
        <f ca="1">C40-D40</f>
        <v>1152.266834347349</v>
      </c>
    </row>
    <row r="41" spans="2:14" ht="13.5" thickBot="1">
      <c r="B41" s="62" t="s">
        <v>23</v>
      </c>
      <c r="C41" s="63">
        <f ca="1">SUM(C36:C40)</f>
        <v>1241716.9754134051</v>
      </c>
      <c r="D41" s="63">
        <f ca="1">SUM(D36:D40)</f>
        <v>13852.952972205063</v>
      </c>
      <c r="E41" s="64">
        <f ca="1">SUM(E36:E40)</f>
        <v>1227864.0224412002</v>
      </c>
    </row>
    <row r="43" spans="2:14" ht="16.5" thickBot="1">
      <c r="B43" s="55" t="s">
        <v>170</v>
      </c>
      <c r="C43" s="55"/>
      <c r="N43" s="125"/>
    </row>
    <row r="44" spans="2:14">
      <c r="B44" s="56" t="s">
        <v>74</v>
      </c>
      <c r="C44" s="57" t="s">
        <v>254</v>
      </c>
      <c r="D44" s="57" t="s">
        <v>163</v>
      </c>
      <c r="E44" s="57" t="s">
        <v>164</v>
      </c>
      <c r="F44" s="57" t="s">
        <v>165</v>
      </c>
      <c r="G44" s="57" t="s">
        <v>166</v>
      </c>
      <c r="H44" s="57" t="s">
        <v>171</v>
      </c>
      <c r="I44" s="57" t="s">
        <v>241</v>
      </c>
      <c r="J44" s="57" t="s">
        <v>285</v>
      </c>
      <c r="K44" s="57" t="s">
        <v>286</v>
      </c>
      <c r="L44" s="57" t="s">
        <v>380</v>
      </c>
      <c r="M44" s="58" t="s">
        <v>287</v>
      </c>
    </row>
    <row r="45" spans="2:14">
      <c r="B45" s="59" t="str">
        <f t="shared" ref="B45:B52" si="6">B3</f>
        <v>Residential</v>
      </c>
      <c r="C45" s="43">
        <v>32001.75</v>
      </c>
      <c r="D45" s="43">
        <v>32139</v>
      </c>
      <c r="E45" s="43">
        <v>32276.666666666668</v>
      </c>
      <c r="F45" s="43">
        <v>32434.25</v>
      </c>
      <c r="G45" s="43">
        <v>32604.666666666668</v>
      </c>
      <c r="H45" s="43">
        <v>32755.333333333332</v>
      </c>
      <c r="I45" s="43">
        <v>32861.75</v>
      </c>
      <c r="J45" s="43">
        <v>32990.166666666664</v>
      </c>
      <c r="K45" s="43">
        <v>33113</v>
      </c>
      <c r="L45" s="148">
        <f ca="1">OFFSET('Connection Count'!$C$23,COLUMN()-COLUMN($L$45),0)</f>
        <v>33273.25</v>
      </c>
      <c r="M45" s="149">
        <f ca="1">OFFSET('Connection Count'!$C$23,COLUMN()-COLUMN($L$45),0)</f>
        <v>33417.610000000008</v>
      </c>
      <c r="N45" s="123"/>
    </row>
    <row r="46" spans="2:14">
      <c r="B46" s="61" t="str">
        <f t="shared" si="6"/>
        <v>GS &lt; 50</v>
      </c>
      <c r="C46" s="43">
        <v>3471.5833333333335</v>
      </c>
      <c r="D46" s="43">
        <v>3494.5</v>
      </c>
      <c r="E46" s="43">
        <v>3497.0833333333335</v>
      </c>
      <c r="F46" s="43">
        <v>3474.75</v>
      </c>
      <c r="G46" s="43">
        <v>3477.75</v>
      </c>
      <c r="H46" s="43">
        <v>3468.0833333333335</v>
      </c>
      <c r="I46" s="43">
        <v>3485.0833333333335</v>
      </c>
      <c r="J46" s="43">
        <v>3490.4166666666665</v>
      </c>
      <c r="K46" s="43">
        <v>3459.1666666666665</v>
      </c>
      <c r="L46" s="148">
        <f ca="1">OFFSET('Connection Count'!$G$23,COLUMN()-COLUMN($L$45),0)</f>
        <v>3455.1666666666665</v>
      </c>
      <c r="M46" s="149">
        <f ca="1">OFFSET('Connection Count'!$G$23,COLUMN()-COLUMN($L$45),0)</f>
        <v>3451.17</v>
      </c>
      <c r="N46" s="123"/>
    </row>
    <row r="47" spans="2:14">
      <c r="B47" s="61" t="str">
        <f t="shared" si="6"/>
        <v>GS &gt; 50</v>
      </c>
      <c r="C47" s="43">
        <v>428.33333333333331</v>
      </c>
      <c r="D47" s="43">
        <v>393.16666666666669</v>
      </c>
      <c r="E47" s="43">
        <v>376.91666666666669</v>
      </c>
      <c r="F47" s="43">
        <v>373</v>
      </c>
      <c r="G47" s="43">
        <v>382.16666666666669</v>
      </c>
      <c r="H47" s="43">
        <v>389.41666666666669</v>
      </c>
      <c r="I47" s="43">
        <v>372.33333333333331</v>
      </c>
      <c r="J47" s="43">
        <v>368.5</v>
      </c>
      <c r="K47" s="43">
        <v>372.25</v>
      </c>
      <c r="L47" s="148">
        <f ca="1">OFFSET('Connection Count'!$K$23,COLUMN()-COLUMN($L$45),0)</f>
        <v>370</v>
      </c>
      <c r="M47" s="149">
        <f ca="1">OFFSET('Connection Count'!$K$23,COLUMN()-COLUMN($L$45),0)</f>
        <v>364.03000000000014</v>
      </c>
      <c r="N47" s="123"/>
    </row>
    <row r="48" spans="2:14">
      <c r="B48" s="61" t="str">
        <f t="shared" si="6"/>
        <v>Intermediate</v>
      </c>
      <c r="C48" s="43">
        <v>12.5</v>
      </c>
      <c r="D48" s="43">
        <v>12</v>
      </c>
      <c r="E48" s="43">
        <v>12</v>
      </c>
      <c r="F48" s="43">
        <v>11.583333333333334</v>
      </c>
      <c r="G48" s="43">
        <v>11</v>
      </c>
      <c r="H48" s="43">
        <v>11</v>
      </c>
      <c r="I48" s="43">
        <v>11</v>
      </c>
      <c r="J48" s="43">
        <v>10</v>
      </c>
      <c r="K48" s="43">
        <v>9</v>
      </c>
      <c r="L48" s="148">
        <f ca="1">OFFSET('Connection Count'!$O$23,COLUMN()-COLUMN($L$45),0)</f>
        <v>9</v>
      </c>
      <c r="M48" s="149">
        <f ca="1">OFFSET('Connection Count'!$O$23,COLUMN()-COLUMN($L$45),0)</f>
        <v>8</v>
      </c>
    </row>
    <row r="49" spans="2:14">
      <c r="B49" s="61" t="str">
        <f t="shared" si="6"/>
        <v>Large User</v>
      </c>
      <c r="C49" s="43">
        <v>3</v>
      </c>
      <c r="D49" s="43">
        <v>3</v>
      </c>
      <c r="E49" s="43">
        <v>3</v>
      </c>
      <c r="F49" s="43">
        <v>3.4166666666666665</v>
      </c>
      <c r="G49" s="43">
        <v>4</v>
      </c>
      <c r="H49" s="43">
        <v>4</v>
      </c>
      <c r="I49" s="43">
        <v>4</v>
      </c>
      <c r="J49" s="43">
        <v>4</v>
      </c>
      <c r="K49" s="43">
        <v>4</v>
      </c>
      <c r="L49" s="148">
        <f ca="1">OFFSET('Connection Count'!$S$23,COLUMN()-COLUMN($L$45),0)</f>
        <v>4</v>
      </c>
      <c r="M49" s="149">
        <f ca="1">OFFSET('Connection Count'!$S$23,COLUMN()-COLUMN($L$45),0)</f>
        <v>4</v>
      </c>
    </row>
    <row r="50" spans="2:14">
      <c r="B50" s="61" t="str">
        <f t="shared" si="6"/>
        <v>Street Light</v>
      </c>
      <c r="C50" s="43">
        <v>10029.5</v>
      </c>
      <c r="D50" s="43">
        <v>10050.833333333334</v>
      </c>
      <c r="E50" s="43">
        <v>10012.833333333334</v>
      </c>
      <c r="F50" s="43">
        <v>10018.083333333334</v>
      </c>
      <c r="G50" s="43">
        <v>10042</v>
      </c>
      <c r="H50" s="43">
        <v>10067.666666666666</v>
      </c>
      <c r="I50" s="43">
        <v>10100.416666666666</v>
      </c>
      <c r="J50" s="43">
        <v>10136.333333333334</v>
      </c>
      <c r="K50" s="43">
        <v>10161</v>
      </c>
      <c r="L50" s="148">
        <f ca="1">OFFSET('Connection Count'!$W$23,COLUMN()-COLUMN($L$45),0)</f>
        <v>10176.833333333334</v>
      </c>
      <c r="M50" s="149">
        <f ca="1">OFFSET('Connection Count'!$W$23,COLUMN()-COLUMN($L$45),0)</f>
        <v>10193.340000000002</v>
      </c>
      <c r="N50" s="124"/>
    </row>
    <row r="51" spans="2:14">
      <c r="B51" s="61" t="str">
        <f t="shared" si="6"/>
        <v>Sentinel Light</v>
      </c>
      <c r="C51" s="43">
        <v>427.58333333333331</v>
      </c>
      <c r="D51" s="43">
        <v>417.91666666666669</v>
      </c>
      <c r="E51" s="43">
        <v>412.25</v>
      </c>
      <c r="F51" s="43">
        <v>407.33333333333331</v>
      </c>
      <c r="G51" s="43">
        <v>391.33333333333331</v>
      </c>
      <c r="H51" s="43">
        <v>384.5</v>
      </c>
      <c r="I51" s="43">
        <v>385.16666666666669</v>
      </c>
      <c r="J51" s="43">
        <v>370.58333333333331</v>
      </c>
      <c r="K51" s="43">
        <v>366.91666666666669</v>
      </c>
      <c r="L51" s="148">
        <f ca="1">OFFSET('Connection Count'!$AA$23,COLUMN()-COLUMN($L$45),0)</f>
        <v>364.16666666666669</v>
      </c>
      <c r="M51" s="149">
        <f ca="1">OFFSET('Connection Count'!$AA$23,COLUMN()-COLUMN($L$45),0)</f>
        <v>357.73000000000008</v>
      </c>
      <c r="N51" s="123"/>
    </row>
    <row r="52" spans="2:14">
      <c r="B52" s="61" t="str">
        <f t="shared" si="6"/>
        <v>USL</v>
      </c>
      <c r="C52" s="43">
        <v>262.08333333333331</v>
      </c>
      <c r="D52" s="43">
        <v>261.91666666666669</v>
      </c>
      <c r="E52" s="43">
        <v>262.41666666666669</v>
      </c>
      <c r="F52" s="43">
        <v>261.08333333333331</v>
      </c>
      <c r="G52" s="43">
        <v>258.41666666666669</v>
      </c>
      <c r="H52" s="43">
        <v>256.41666666666669</v>
      </c>
      <c r="I52" s="43">
        <v>256.58333333333331</v>
      </c>
      <c r="J52" s="43">
        <v>253.25</v>
      </c>
      <c r="K52" s="43">
        <v>242.91666666666666</v>
      </c>
      <c r="L52" s="148">
        <f ca="1">OFFSET('Connection Count'!$AE$23,COLUMN()-COLUMN($L$45),0)</f>
        <v>236.33333333333334</v>
      </c>
      <c r="M52" s="149">
        <f ca="1">OFFSET('Connection Count'!$AE$23,COLUMN()-COLUMN($L$45),0)</f>
        <v>336.62999999999994</v>
      </c>
      <c r="N52" s="123"/>
    </row>
    <row r="53" spans="2:14" ht="13.5" thickBot="1">
      <c r="B53" s="62" t="s">
        <v>23</v>
      </c>
      <c r="C53" s="63">
        <f>SUM(C45:C52)</f>
        <v>46636.333333333343</v>
      </c>
      <c r="D53" s="63">
        <f>SUM(D45:D52)</f>
        <v>46772.333333333328</v>
      </c>
      <c r="E53" s="63">
        <f t="shared" ref="E53:L53" si="7">SUM(E45:E52)</f>
        <v>46853.166666666664</v>
      </c>
      <c r="F53" s="63">
        <f t="shared" si="7"/>
        <v>46983.500000000007</v>
      </c>
      <c r="G53" s="63">
        <f t="shared" si="7"/>
        <v>47171.333333333336</v>
      </c>
      <c r="H53" s="63">
        <f t="shared" si="7"/>
        <v>47336.416666666657</v>
      </c>
      <c r="I53" s="63">
        <f t="shared" si="7"/>
        <v>47476.333333333336</v>
      </c>
      <c r="J53" s="63">
        <f t="shared" si="7"/>
        <v>47623.25</v>
      </c>
      <c r="K53" s="63">
        <f t="shared" si="7"/>
        <v>47728.249999999993</v>
      </c>
      <c r="L53" s="63">
        <f t="shared" ca="1" si="7"/>
        <v>47888.75</v>
      </c>
      <c r="M53" s="64">
        <f ca="1">SUM(M45:M52)</f>
        <v>48132.510000000009</v>
      </c>
    </row>
    <row r="56" spans="2:14" ht="16.5" thickBot="1">
      <c r="B56" s="55" t="s">
        <v>341</v>
      </c>
      <c r="C56" s="55"/>
    </row>
    <row r="57" spans="2:14" ht="25.5">
      <c r="B57" s="219">
        <v>2023</v>
      </c>
      <c r="C57" s="65" t="s">
        <v>70</v>
      </c>
      <c r="D57" s="65" t="s">
        <v>74</v>
      </c>
      <c r="E57" s="66" t="s">
        <v>170</v>
      </c>
    </row>
    <row r="58" spans="2:14">
      <c r="B58" s="59" t="s">
        <v>25</v>
      </c>
      <c r="C58" s="43">
        <f ca="1">E15</f>
        <v>267876214.36046657</v>
      </c>
      <c r="D58" s="43"/>
      <c r="E58" s="60">
        <f ca="1">M45</f>
        <v>33417.610000000008</v>
      </c>
    </row>
    <row r="59" spans="2:14">
      <c r="B59" s="61" t="s">
        <v>131</v>
      </c>
      <c r="C59" s="43">
        <f t="shared" ref="C59:C65" ca="1" si="8">E16</f>
        <v>104759996.1112988</v>
      </c>
      <c r="D59" s="43"/>
      <c r="E59" s="60">
        <f t="shared" ref="E59:E65" ca="1" si="9">M46</f>
        <v>3451.17</v>
      </c>
    </row>
    <row r="60" spans="2:14">
      <c r="B60" s="61" t="s">
        <v>133</v>
      </c>
      <c r="C60" s="43"/>
      <c r="D60" s="43">
        <f ca="1">E36</f>
        <v>524760.32148041343</v>
      </c>
      <c r="E60" s="60">
        <f t="shared" ca="1" si="9"/>
        <v>364.03000000000014</v>
      </c>
    </row>
    <row r="61" spans="2:14">
      <c r="B61" s="61" t="s">
        <v>27</v>
      </c>
      <c r="C61" s="43"/>
      <c r="D61" s="43">
        <f t="shared" ref="D61:D64" ca="1" si="10">E37</f>
        <v>221950.39878743488</v>
      </c>
      <c r="E61" s="60">
        <f t="shared" ca="1" si="9"/>
        <v>8</v>
      </c>
    </row>
    <row r="62" spans="2:14">
      <c r="B62" s="61" t="s">
        <v>167</v>
      </c>
      <c r="C62" s="43"/>
      <c r="D62" s="43">
        <f t="shared" ca="1" si="10"/>
        <v>471570.95486783021</v>
      </c>
      <c r="E62" s="60">
        <f t="shared" ca="1" si="9"/>
        <v>4</v>
      </c>
    </row>
    <row r="63" spans="2:14">
      <c r="B63" s="61" t="s">
        <v>149</v>
      </c>
      <c r="C63" s="43"/>
      <c r="D63" s="43">
        <f t="shared" ca="1" si="10"/>
        <v>8430.0804711743476</v>
      </c>
      <c r="E63" s="60">
        <f t="shared" ca="1" si="9"/>
        <v>10193.340000000002</v>
      </c>
    </row>
    <row r="64" spans="2:14">
      <c r="B64" s="61" t="s">
        <v>153</v>
      </c>
      <c r="C64" s="43"/>
      <c r="D64" s="43">
        <f t="shared" ca="1" si="10"/>
        <v>1152.266834347349</v>
      </c>
      <c r="E64" s="60">
        <f t="shared" ca="1" si="9"/>
        <v>357.73000000000008</v>
      </c>
    </row>
    <row r="65" spans="2:5">
      <c r="B65" s="61" t="s">
        <v>71</v>
      </c>
      <c r="C65" s="43">
        <f t="shared" si="8"/>
        <v>2198298.2178996359</v>
      </c>
      <c r="D65" s="43"/>
      <c r="E65" s="60">
        <f t="shared" ca="1" si="9"/>
        <v>336.62999999999994</v>
      </c>
    </row>
    <row r="66" spans="2:5" ht="13.5" thickBot="1">
      <c r="B66" s="62" t="s">
        <v>23</v>
      </c>
      <c r="C66" s="220">
        <f ca="1">SUM(C58:C65)</f>
        <v>374834508.68966502</v>
      </c>
      <c r="D66" s="220">
        <f t="shared" ref="D66:E66" ca="1" si="11">SUM(D58:D65)</f>
        <v>1227864.0224412002</v>
      </c>
      <c r="E66" s="221">
        <f t="shared" ca="1" si="11"/>
        <v>48132.510000000009</v>
      </c>
    </row>
  </sheetData>
  <mergeCells count="1">
    <mergeCell ref="G16:K18"/>
  </mergeCells>
  <phoneticPr fontId="29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7"/>
  <sheetViews>
    <sheetView workbookViewId="0">
      <selection activeCell="J26" sqref="J26"/>
    </sheetView>
  </sheetViews>
  <sheetFormatPr defaultRowHeight="15"/>
  <cols>
    <col min="1" max="1" width="20.5703125" customWidth="1"/>
    <col min="2" max="8" width="15" customWidth="1"/>
  </cols>
  <sheetData>
    <row r="2" spans="1:8" ht="15.75" thickBot="1"/>
    <row r="3" spans="1:8" ht="15.75" thickBot="1">
      <c r="A3" s="285"/>
      <c r="B3" s="327" t="s">
        <v>389</v>
      </c>
      <c r="C3" s="328"/>
      <c r="D3" s="329"/>
      <c r="E3" s="327" t="s">
        <v>390</v>
      </c>
      <c r="F3" s="328"/>
      <c r="G3" s="330"/>
      <c r="H3" s="331" t="s">
        <v>391</v>
      </c>
    </row>
    <row r="4" spans="1:8" ht="15.75" thickBot="1">
      <c r="A4" s="286" t="s">
        <v>233</v>
      </c>
      <c r="B4" s="287" t="s">
        <v>286</v>
      </c>
      <c r="C4" s="287" t="s">
        <v>380</v>
      </c>
      <c r="D4" s="287" t="s">
        <v>392</v>
      </c>
      <c r="E4" s="287" t="s">
        <v>286</v>
      </c>
      <c r="F4" s="287" t="s">
        <v>380</v>
      </c>
      <c r="G4" s="285" t="s">
        <v>393</v>
      </c>
      <c r="H4" s="332"/>
    </row>
    <row r="5" spans="1:8" ht="15.75" thickBot="1">
      <c r="A5" s="282" t="s">
        <v>25</v>
      </c>
      <c r="B5" s="283">
        <v>33113</v>
      </c>
      <c r="C5" s="283">
        <v>33273.25</v>
      </c>
      <c r="D5" s="283">
        <f>C5-B5</f>
        <v>160.25</v>
      </c>
      <c r="E5" s="283">
        <f ca="1">'Summary Tables (Class Adj)'!K3</f>
        <v>275475848.21988314</v>
      </c>
      <c r="F5" s="283">
        <f ca="1">'Summary Tables (Class Adj)'!L3</f>
        <v>274162832</v>
      </c>
      <c r="G5" s="283" t="s">
        <v>70</v>
      </c>
      <c r="H5" s="283">
        <f ca="1">F5-E5</f>
        <v>-1313016.2198831439</v>
      </c>
    </row>
    <row r="6" spans="1:8" ht="15.75" thickBot="1">
      <c r="A6" s="282" t="s">
        <v>394</v>
      </c>
      <c r="B6" s="283">
        <v>3459.1666666666665</v>
      </c>
      <c r="C6" s="283">
        <v>3455.1666666666665</v>
      </c>
      <c r="D6" s="283">
        <f t="shared" ref="D6:D12" si="0">C6-B6</f>
        <v>-4</v>
      </c>
      <c r="E6" s="283">
        <f ca="1">'Summary Tables (Class Adj)'!K4</f>
        <v>98943526.028734013</v>
      </c>
      <c r="F6" s="283">
        <f ca="1">'Summary Tables (Class Adj)'!L4</f>
        <v>103737562</v>
      </c>
      <c r="G6" s="283" t="s">
        <v>70</v>
      </c>
      <c r="H6" s="283">
        <f t="shared" ref="H6:H12" ca="1" si="1">F6-E6</f>
        <v>4794035.9712659866</v>
      </c>
    </row>
    <row r="7" spans="1:8" ht="15.75" thickBot="1">
      <c r="A7" s="282" t="s">
        <v>395</v>
      </c>
      <c r="B7" s="283">
        <v>372.25</v>
      </c>
      <c r="C7" s="283">
        <v>370</v>
      </c>
      <c r="D7" s="283">
        <f t="shared" si="0"/>
        <v>-2.25</v>
      </c>
      <c r="E7" s="283">
        <f ca="1">'Summary Tables (Class Adj)'!K27</f>
        <v>533890.47091942793</v>
      </c>
      <c r="F7" s="283">
        <f ca="1">'Summary Tables (Class Adj)'!L27</f>
        <v>517343.49320147402</v>
      </c>
      <c r="G7" s="283" t="s">
        <v>74</v>
      </c>
      <c r="H7" s="283">
        <f t="shared" ca="1" si="1"/>
        <v>-16546.977717953909</v>
      </c>
    </row>
    <row r="8" spans="1:8" ht="15.75" thickBot="1">
      <c r="A8" s="282" t="s">
        <v>27</v>
      </c>
      <c r="B8" s="283">
        <v>9</v>
      </c>
      <c r="C8" s="283">
        <v>9</v>
      </c>
      <c r="D8" s="283">
        <f t="shared" si="0"/>
        <v>0</v>
      </c>
      <c r="E8" s="283">
        <f ca="1">'Summary Tables (Class Adj)'!K28</f>
        <v>233288.53426302079</v>
      </c>
      <c r="F8" s="283">
        <f ca="1">'Summary Tables (Class Adj)'!L28</f>
        <v>228541.24081292099</v>
      </c>
      <c r="G8" s="283" t="s">
        <v>74</v>
      </c>
      <c r="H8" s="283">
        <f t="shared" ca="1" si="1"/>
        <v>-4747.2934500997944</v>
      </c>
    </row>
    <row r="9" spans="1:8" ht="15.75" thickBot="1">
      <c r="A9" s="282" t="s">
        <v>167</v>
      </c>
      <c r="B9" s="284">
        <v>4</v>
      </c>
      <c r="C9" s="284">
        <v>4</v>
      </c>
      <c r="D9" s="283">
        <f t="shared" si="0"/>
        <v>0</v>
      </c>
      <c r="E9" s="283">
        <f ca="1">'Summary Tables (Class Adj)'!K29</f>
        <v>471315.371652</v>
      </c>
      <c r="F9" s="283">
        <f ca="1">'Summary Tables (Class Adj)'!L29</f>
        <v>463614.038696245</v>
      </c>
      <c r="G9" s="283" t="s">
        <v>74</v>
      </c>
      <c r="H9" s="283">
        <f t="shared" ca="1" si="1"/>
        <v>-7701.3329557550023</v>
      </c>
    </row>
    <row r="10" spans="1:8" ht="15.75" thickBot="1">
      <c r="A10" s="282" t="s">
        <v>149</v>
      </c>
      <c r="B10" s="283">
        <v>10161</v>
      </c>
      <c r="C10" s="283">
        <v>10176.833333333334</v>
      </c>
      <c r="D10" s="283">
        <f t="shared" si="0"/>
        <v>15.83333333333394</v>
      </c>
      <c r="E10" s="283">
        <f ca="1">'Summary Tables (Class Adj)'!K30</f>
        <v>9337.8753449999986</v>
      </c>
      <c r="F10" s="283">
        <f ca="1">'Summary Tables (Class Adj)'!L30</f>
        <v>9226.7102599999998</v>
      </c>
      <c r="G10" s="283" t="s">
        <v>74</v>
      </c>
      <c r="H10" s="283">
        <f t="shared" ca="1" si="1"/>
        <v>-111.16508499999873</v>
      </c>
    </row>
    <row r="11" spans="1:8" ht="15.75" thickBot="1">
      <c r="A11" s="282" t="s">
        <v>153</v>
      </c>
      <c r="B11" s="283">
        <v>366.91666666666669</v>
      </c>
      <c r="C11" s="283">
        <v>364.16666666666669</v>
      </c>
      <c r="D11" s="283">
        <f t="shared" si="0"/>
        <v>-2.75</v>
      </c>
      <c r="E11" s="283">
        <f ca="1">'Summary Tables (Class Adj)'!K31</f>
        <v>1187.4598680000001</v>
      </c>
      <c r="F11" s="283">
        <f ca="1">'Summary Tables (Class Adj)'!L31</f>
        <v>1113.8044906666701</v>
      </c>
      <c r="G11" s="283" t="s">
        <v>74</v>
      </c>
      <c r="H11" s="283">
        <f t="shared" ca="1" si="1"/>
        <v>-73.65537733333008</v>
      </c>
    </row>
    <row r="12" spans="1:8" ht="15.75" thickBot="1">
      <c r="A12" s="282" t="s">
        <v>71</v>
      </c>
      <c r="B12" s="283">
        <v>242.91666666666666</v>
      </c>
      <c r="C12" s="283">
        <v>236.33333333333334</v>
      </c>
      <c r="D12" s="283">
        <f t="shared" si="0"/>
        <v>-6.5833333333333144</v>
      </c>
      <c r="E12" s="283">
        <f ca="1">'Summary Tables (Class Adj)'!K10</f>
        <v>2181430.8754999968</v>
      </c>
      <c r="F12" s="283">
        <f ca="1">'Summary Tables (Class Adj)'!L10</f>
        <v>2168627</v>
      </c>
      <c r="G12" s="283" t="s">
        <v>70</v>
      </c>
      <c r="H12" s="283">
        <f t="shared" ca="1" si="1"/>
        <v>-12803.875499996822</v>
      </c>
    </row>
    <row r="13" spans="1:8" ht="15.75" thickBot="1">
      <c r="A13" s="288" t="s">
        <v>23</v>
      </c>
      <c r="B13" s="289">
        <v>47728.249999999993</v>
      </c>
      <c r="C13" s="289">
        <f>SUM(C5:C12)</f>
        <v>47888.75</v>
      </c>
      <c r="D13" s="289">
        <f>SUM(D5:D12)</f>
        <v>160.50000000000063</v>
      </c>
      <c r="E13" s="289"/>
      <c r="F13" s="289"/>
      <c r="G13" s="289"/>
      <c r="H13" s="290"/>
    </row>
    <row r="14" spans="1:8">
      <c r="A14" s="22"/>
      <c r="B14" s="22"/>
      <c r="C14" s="22"/>
      <c r="D14" s="22"/>
      <c r="E14" s="22"/>
      <c r="F14" s="22"/>
      <c r="G14" s="22"/>
      <c r="H14" s="22"/>
    </row>
    <row r="15" spans="1:8">
      <c r="A15" s="22"/>
      <c r="B15" s="22"/>
      <c r="C15" s="22"/>
      <c r="D15" s="22"/>
      <c r="E15" s="22"/>
      <c r="F15" s="22"/>
      <c r="G15" s="22"/>
      <c r="H15" s="22"/>
    </row>
    <row r="16" spans="1:8" ht="15.75" thickBot="1">
      <c r="A16" s="22"/>
      <c r="B16" s="22"/>
      <c r="C16" s="22"/>
      <c r="D16" s="22"/>
      <c r="E16" s="22"/>
      <c r="F16" s="22"/>
      <c r="G16" s="22"/>
      <c r="H16" s="22"/>
    </row>
    <row r="17" spans="1:8" ht="15.75" customHeight="1" thickBot="1">
      <c r="A17" s="285"/>
      <c r="B17" s="327" t="s">
        <v>389</v>
      </c>
      <c r="C17" s="328"/>
      <c r="D17" s="329"/>
      <c r="E17" s="327" t="s">
        <v>390</v>
      </c>
      <c r="F17" s="328"/>
      <c r="G17" s="330"/>
      <c r="H17" s="331" t="s">
        <v>391</v>
      </c>
    </row>
    <row r="18" spans="1:8" ht="15.75" thickBot="1">
      <c r="A18" s="286" t="str">
        <f>A4</f>
        <v>Rate Class</v>
      </c>
      <c r="B18" s="287" t="s">
        <v>380</v>
      </c>
      <c r="C18" s="287" t="s">
        <v>396</v>
      </c>
      <c r="D18" s="287" t="s">
        <v>392</v>
      </c>
      <c r="E18" s="287" t="s">
        <v>380</v>
      </c>
      <c r="F18" s="287" t="s">
        <v>396</v>
      </c>
      <c r="G18" s="285" t="s">
        <v>393</v>
      </c>
      <c r="H18" s="332"/>
    </row>
    <row r="19" spans="1:8" ht="15.75" thickBot="1">
      <c r="A19" s="282" t="str">
        <f>A5</f>
        <v>Residential</v>
      </c>
      <c r="B19" s="283">
        <f>C5</f>
        <v>33273.25</v>
      </c>
      <c r="C19" s="283">
        <f ca="1">'Summary Tables (Class Adj)'!M45</f>
        <v>33417.610000000008</v>
      </c>
      <c r="D19" s="283">
        <f ca="1">C19-B19</f>
        <v>144.36000000000786</v>
      </c>
      <c r="E19" s="283">
        <f ca="1">F5</f>
        <v>274162832</v>
      </c>
      <c r="F19" s="283">
        <f ca="1">'Summary Tables (Class Adj)'!E15</f>
        <v>267876214.36046657</v>
      </c>
      <c r="G19" s="283" t="str">
        <f>G5</f>
        <v>kWh</v>
      </c>
      <c r="H19" s="283">
        <f ca="1">F19-E19</f>
        <v>-6286617.6395334303</v>
      </c>
    </row>
    <row r="20" spans="1:8" ht="15.75" thickBot="1">
      <c r="A20" s="282" t="str">
        <f t="shared" ref="A20:A26" si="2">A6</f>
        <v>GS &lt; 50 kW</v>
      </c>
      <c r="B20" s="283">
        <f t="shared" ref="B20:B25" si="3">C6</f>
        <v>3455.1666666666665</v>
      </c>
      <c r="C20" s="283">
        <f ca="1">'Summary Tables (Class Adj)'!M46</f>
        <v>3451.17</v>
      </c>
      <c r="D20" s="283">
        <f t="shared" ref="D20:D26" ca="1" si="4">C20-B20</f>
        <v>-3.9966666666664423</v>
      </c>
      <c r="E20" s="283">
        <f t="shared" ref="E20:E26" ca="1" si="5">F6</f>
        <v>103737562</v>
      </c>
      <c r="F20" s="283">
        <f ca="1">'Summary Tables (Class Adj)'!E16</f>
        <v>104759996.1112988</v>
      </c>
      <c r="G20" s="283" t="str">
        <f t="shared" ref="G20:G26" si="6">G6</f>
        <v>kWh</v>
      </c>
      <c r="H20" s="283">
        <f t="shared" ref="H20:H26" ca="1" si="7">F20-E20</f>
        <v>1022434.1112987995</v>
      </c>
    </row>
    <row r="21" spans="1:8" ht="15.75" thickBot="1">
      <c r="A21" s="282" t="str">
        <f t="shared" si="2"/>
        <v>GS &gt; 50 kW</v>
      </c>
      <c r="B21" s="283">
        <f t="shared" si="3"/>
        <v>370</v>
      </c>
      <c r="C21" s="283">
        <f ca="1">'Summary Tables (Class Adj)'!M47</f>
        <v>364.03000000000014</v>
      </c>
      <c r="D21" s="283">
        <f t="shared" ca="1" si="4"/>
        <v>-5.9699999999998568</v>
      </c>
      <c r="E21" s="283">
        <f t="shared" ca="1" si="5"/>
        <v>517343.49320147402</v>
      </c>
      <c r="F21" s="283">
        <f ca="1">'Summary Tables (Class Adj)'!E36</f>
        <v>524760.32148041343</v>
      </c>
      <c r="G21" s="283" t="str">
        <f t="shared" si="6"/>
        <v>kW</v>
      </c>
      <c r="H21" s="283">
        <f t="shared" ca="1" si="7"/>
        <v>7416.8282789394143</v>
      </c>
    </row>
    <row r="22" spans="1:8" ht="15.75" thickBot="1">
      <c r="A22" s="282" t="str">
        <f t="shared" si="2"/>
        <v>Intermediate</v>
      </c>
      <c r="B22" s="283">
        <f t="shared" si="3"/>
        <v>9</v>
      </c>
      <c r="C22" s="283">
        <f ca="1">'Summary Tables (Class Adj)'!M48</f>
        <v>8</v>
      </c>
      <c r="D22" s="283">
        <f t="shared" ca="1" si="4"/>
        <v>-1</v>
      </c>
      <c r="E22" s="283">
        <f t="shared" ca="1" si="5"/>
        <v>228541.24081292099</v>
      </c>
      <c r="F22" s="283">
        <f ca="1">'Summary Tables (Class Adj)'!E37</f>
        <v>221950.39878743488</v>
      </c>
      <c r="G22" s="283" t="str">
        <f t="shared" si="6"/>
        <v>kW</v>
      </c>
      <c r="H22" s="283">
        <f t="shared" ca="1" si="7"/>
        <v>-6590.8420254861121</v>
      </c>
    </row>
    <row r="23" spans="1:8" ht="15.75" thickBot="1">
      <c r="A23" s="282" t="str">
        <f t="shared" si="2"/>
        <v>Large User</v>
      </c>
      <c r="B23" s="284">
        <f t="shared" si="3"/>
        <v>4</v>
      </c>
      <c r="C23" s="284">
        <f ca="1">'Summary Tables (Class Adj)'!M49</f>
        <v>4</v>
      </c>
      <c r="D23" s="283">
        <f t="shared" ca="1" si="4"/>
        <v>0</v>
      </c>
      <c r="E23" s="283">
        <f t="shared" ca="1" si="5"/>
        <v>463614.038696245</v>
      </c>
      <c r="F23" s="283">
        <f ca="1">'Summary Tables (Class Adj)'!E38</f>
        <v>471570.95486783021</v>
      </c>
      <c r="G23" s="283" t="str">
        <f t="shared" si="6"/>
        <v>kW</v>
      </c>
      <c r="H23" s="283">
        <f t="shared" ca="1" si="7"/>
        <v>7956.9161715852097</v>
      </c>
    </row>
    <row r="24" spans="1:8" ht="15.75" thickBot="1">
      <c r="A24" s="282" t="str">
        <f t="shared" si="2"/>
        <v>Street Light</v>
      </c>
      <c r="B24" s="283">
        <f t="shared" si="3"/>
        <v>10176.833333333334</v>
      </c>
      <c r="C24" s="283">
        <f ca="1">'Summary Tables (Class Adj)'!M50</f>
        <v>10193.340000000002</v>
      </c>
      <c r="D24" s="283">
        <f t="shared" ca="1" si="4"/>
        <v>16.506666666668025</v>
      </c>
      <c r="E24" s="283">
        <f t="shared" ca="1" si="5"/>
        <v>9226.7102599999998</v>
      </c>
      <c r="F24" s="283">
        <f ca="1">'Summary Tables (Class Adj)'!E39</f>
        <v>8430.0804711743476</v>
      </c>
      <c r="G24" s="283" t="str">
        <f t="shared" si="6"/>
        <v>kW</v>
      </c>
      <c r="H24" s="283">
        <f t="shared" ca="1" si="7"/>
        <v>-796.62978882565221</v>
      </c>
    </row>
    <row r="25" spans="1:8" ht="15.75" thickBot="1">
      <c r="A25" s="282" t="str">
        <f t="shared" si="2"/>
        <v>Sentinel Light</v>
      </c>
      <c r="B25" s="283">
        <f t="shared" si="3"/>
        <v>364.16666666666669</v>
      </c>
      <c r="C25" s="283">
        <f ca="1">'Summary Tables (Class Adj)'!M51</f>
        <v>357.73000000000008</v>
      </c>
      <c r="D25" s="283">
        <f t="shared" ca="1" si="4"/>
        <v>-6.4366666666666106</v>
      </c>
      <c r="E25" s="283">
        <f t="shared" ca="1" si="5"/>
        <v>1113.8044906666701</v>
      </c>
      <c r="F25" s="283">
        <f ca="1">'Summary Tables (Class Adj)'!E40</f>
        <v>1152.266834347349</v>
      </c>
      <c r="G25" s="283" t="str">
        <f t="shared" si="6"/>
        <v>kW</v>
      </c>
      <c r="H25" s="283">
        <f t="shared" ca="1" si="7"/>
        <v>38.462343680678941</v>
      </c>
    </row>
    <row r="26" spans="1:8" ht="15.75" thickBot="1">
      <c r="A26" s="282" t="str">
        <f t="shared" si="2"/>
        <v>USL</v>
      </c>
      <c r="B26" s="283">
        <f>C12</f>
        <v>236.33333333333334</v>
      </c>
      <c r="C26" s="283">
        <f ca="1">'Summary Tables (Class Adj)'!M52</f>
        <v>336.62999999999994</v>
      </c>
      <c r="D26" s="283">
        <f t="shared" ca="1" si="4"/>
        <v>100.2966666666666</v>
      </c>
      <c r="E26" s="283">
        <f t="shared" ca="1" si="5"/>
        <v>2168627</v>
      </c>
      <c r="F26" s="283">
        <f>'Summary Tables (Class Adj)'!E22</f>
        <v>2198298.2178996359</v>
      </c>
      <c r="G26" s="283" t="str">
        <f t="shared" si="6"/>
        <v>kWh</v>
      </c>
      <c r="H26" s="283">
        <f t="shared" ca="1" si="7"/>
        <v>29671.2178996359</v>
      </c>
    </row>
    <row r="27" spans="1:8" ht="15.75" thickBot="1">
      <c r="A27" s="288" t="s">
        <v>23</v>
      </c>
      <c r="B27" s="289">
        <f>SUM(B19:B26)</f>
        <v>47888.75</v>
      </c>
      <c r="C27" s="289">
        <f ca="1">SUM(C19:C26)</f>
        <v>48132.510000000009</v>
      </c>
      <c r="D27" s="289">
        <f ca="1">SUM(D19:D26)</f>
        <v>243.76000000000957</v>
      </c>
      <c r="E27" s="289"/>
      <c r="F27" s="289"/>
      <c r="G27" s="289"/>
      <c r="H27" s="290"/>
    </row>
  </sheetData>
  <mergeCells count="6">
    <mergeCell ref="B3:D3"/>
    <mergeCell ref="E3:G3"/>
    <mergeCell ref="H3:H4"/>
    <mergeCell ref="B17:D17"/>
    <mergeCell ref="E17:G17"/>
    <mergeCell ref="H17:H1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T289"/>
  <sheetViews>
    <sheetView workbookViewId="0">
      <pane xSplit="2" ySplit="1" topLeftCell="C32" activePane="bottomRight" state="frozen"/>
      <selection activeCell="P80" sqref="P80"/>
      <selection pane="topRight" activeCell="P80" sqref="P80"/>
      <selection pane="bottomLeft" activeCell="P80" sqref="P80"/>
      <selection pane="bottomRight" activeCell="S60" sqref="S60"/>
    </sheetView>
  </sheetViews>
  <sheetFormatPr defaultRowHeight="15"/>
  <cols>
    <col min="48" max="48" width="9.5703125" bestFit="1" customWidth="1"/>
    <col min="120" max="120" width="14.28515625" bestFit="1" customWidth="1"/>
    <col min="121" max="121" width="13.28515625" bestFit="1" customWidth="1"/>
    <col min="122" max="124" width="14.28515625" bestFit="1" customWidth="1"/>
  </cols>
  <sheetData>
    <row r="1" spans="1:124">
      <c r="A1" t="s">
        <v>53</v>
      </c>
      <c r="B1" t="s">
        <v>52</v>
      </c>
      <c r="C1" t="s">
        <v>173</v>
      </c>
      <c r="D1" t="s">
        <v>174</v>
      </c>
      <c r="E1" t="s">
        <v>175</v>
      </c>
      <c r="F1" t="s">
        <v>176</v>
      </c>
      <c r="G1" t="s">
        <v>177</v>
      </c>
      <c r="H1" t="s">
        <v>178</v>
      </c>
      <c r="I1" t="s">
        <v>179</v>
      </c>
      <c r="J1" t="s">
        <v>180</v>
      </c>
      <c r="K1" t="s">
        <v>181</v>
      </c>
      <c r="L1" t="s">
        <v>182</v>
      </c>
      <c r="M1" t="s">
        <v>127</v>
      </c>
      <c r="N1" t="s">
        <v>128</v>
      </c>
      <c r="O1" t="s">
        <v>183</v>
      </c>
      <c r="P1" t="s">
        <v>184</v>
      </c>
      <c r="Q1" t="s">
        <v>185</v>
      </c>
      <c r="U1" t="s">
        <v>51</v>
      </c>
      <c r="DP1" t="str">
        <f>'Monthly Data'!F1</f>
        <v>ReskWh_NoCDM</v>
      </c>
      <c r="DQ1" t="str">
        <f>'Monthly Data'!J1</f>
        <v>GSlt50kWh_NoCDM</v>
      </c>
      <c r="DR1" t="str">
        <f>'Monthly Data'!N1</f>
        <v>GSgt50kWh_NoCDM</v>
      </c>
      <c r="DS1" t="str">
        <f>'Monthly Data'!S1</f>
        <v>IntkWh_NoCDM</v>
      </c>
      <c r="DT1" t="str">
        <f>'Monthly Data'!X1</f>
        <v>LUkWh_NoCDM</v>
      </c>
    </row>
    <row r="2" spans="1:124">
      <c r="A2">
        <v>1999</v>
      </c>
      <c r="B2">
        <v>1</v>
      </c>
      <c r="C2">
        <v>806.70000000000016</v>
      </c>
      <c r="D2">
        <v>0</v>
      </c>
      <c r="E2">
        <v>744.70000000000016</v>
      </c>
      <c r="F2">
        <v>0</v>
      </c>
      <c r="G2">
        <v>682.7</v>
      </c>
      <c r="H2">
        <v>0</v>
      </c>
      <c r="I2">
        <v>620.69999999999993</v>
      </c>
      <c r="J2">
        <v>0</v>
      </c>
      <c r="K2">
        <v>558.69999999999993</v>
      </c>
      <c r="L2">
        <v>0</v>
      </c>
      <c r="M2">
        <v>496.69999999999987</v>
      </c>
      <c r="N2">
        <v>0</v>
      </c>
      <c r="O2">
        <v>434.69999999999987</v>
      </c>
      <c r="P2">
        <v>0</v>
      </c>
      <c r="Q2">
        <v>-6.0225806451612884</v>
      </c>
      <c r="U2" t="s">
        <v>342</v>
      </c>
    </row>
    <row r="3" spans="1:124">
      <c r="A3">
        <v>1999</v>
      </c>
      <c r="B3">
        <v>2</v>
      </c>
      <c r="C3">
        <v>586.69999999999993</v>
      </c>
      <c r="D3">
        <v>0</v>
      </c>
      <c r="E3">
        <v>530.69999999999993</v>
      </c>
      <c r="F3">
        <v>0</v>
      </c>
      <c r="G3">
        <v>474.70000000000005</v>
      </c>
      <c r="H3">
        <v>0</v>
      </c>
      <c r="I3">
        <v>418.70000000000005</v>
      </c>
      <c r="J3">
        <v>0</v>
      </c>
      <c r="K3">
        <v>362.7</v>
      </c>
      <c r="L3">
        <v>0</v>
      </c>
      <c r="M3">
        <v>306.7</v>
      </c>
      <c r="N3">
        <v>0</v>
      </c>
      <c r="O3">
        <v>252.20000000000002</v>
      </c>
      <c r="P3">
        <v>1.5</v>
      </c>
      <c r="Q3">
        <v>-0.95357142857142851</v>
      </c>
    </row>
    <row r="4" spans="1:124">
      <c r="A4">
        <v>1999</v>
      </c>
      <c r="B4">
        <v>3</v>
      </c>
      <c r="C4">
        <v>623.69999999999993</v>
      </c>
      <c r="D4">
        <v>0</v>
      </c>
      <c r="E4">
        <v>561.69999999999993</v>
      </c>
      <c r="F4">
        <v>0</v>
      </c>
      <c r="G4">
        <v>499.69999999999993</v>
      </c>
      <c r="H4">
        <v>0</v>
      </c>
      <c r="I4">
        <v>437.7</v>
      </c>
      <c r="J4">
        <v>0</v>
      </c>
      <c r="K4">
        <v>376.69999999999993</v>
      </c>
      <c r="L4">
        <v>1</v>
      </c>
      <c r="M4">
        <v>316.69999999999987</v>
      </c>
      <c r="N4">
        <v>3</v>
      </c>
      <c r="O4">
        <v>258.59999999999997</v>
      </c>
      <c r="P4">
        <v>6.9</v>
      </c>
      <c r="Q4">
        <v>-0.11935483870967774</v>
      </c>
      <c r="U4" s="13" t="s">
        <v>173</v>
      </c>
      <c r="V4" s="1" t="s">
        <v>50</v>
      </c>
      <c r="W4" s="1" t="s">
        <v>49</v>
      </c>
      <c r="X4" s="1" t="s">
        <v>48</v>
      </c>
      <c r="Y4" s="1" t="s">
        <v>47</v>
      </c>
      <c r="Z4" s="1" t="s">
        <v>36</v>
      </c>
      <c r="AA4" s="1" t="s">
        <v>35</v>
      </c>
      <c r="AB4" s="1" t="s">
        <v>34</v>
      </c>
      <c r="AC4" s="12" t="s">
        <v>33</v>
      </c>
      <c r="AD4" s="12" t="s">
        <v>46</v>
      </c>
      <c r="AE4" s="12" t="s">
        <v>45</v>
      </c>
      <c r="AF4" s="12" t="s">
        <v>44</v>
      </c>
      <c r="AG4" s="12" t="s">
        <v>43</v>
      </c>
      <c r="AI4" s="13" t="s">
        <v>175</v>
      </c>
      <c r="AJ4" s="1" t="s">
        <v>50</v>
      </c>
      <c r="AK4" s="1" t="s">
        <v>49</v>
      </c>
      <c r="AL4" s="1" t="s">
        <v>48</v>
      </c>
      <c r="AM4" s="1" t="s">
        <v>47</v>
      </c>
      <c r="AN4" s="1" t="s">
        <v>36</v>
      </c>
      <c r="AO4" s="1" t="s">
        <v>35</v>
      </c>
      <c r="AP4" s="1" t="s">
        <v>34</v>
      </c>
      <c r="AQ4" s="12" t="s">
        <v>33</v>
      </c>
      <c r="AR4" s="12" t="s">
        <v>46</v>
      </c>
      <c r="AS4" s="12" t="s">
        <v>45</v>
      </c>
      <c r="AT4" s="12" t="s">
        <v>44</v>
      </c>
      <c r="AU4" s="12" t="s">
        <v>43</v>
      </c>
      <c r="AW4" s="13" t="s">
        <v>177</v>
      </c>
      <c r="AX4" s="1" t="s">
        <v>50</v>
      </c>
      <c r="AY4" s="1" t="s">
        <v>49</v>
      </c>
      <c r="AZ4" s="1" t="s">
        <v>48</v>
      </c>
      <c r="BA4" s="1" t="s">
        <v>47</v>
      </c>
      <c r="BB4" s="1" t="s">
        <v>36</v>
      </c>
      <c r="BC4" s="1" t="s">
        <v>35</v>
      </c>
      <c r="BD4" s="1" t="s">
        <v>34</v>
      </c>
      <c r="BE4" s="12" t="s">
        <v>33</v>
      </c>
      <c r="BF4" s="12" t="s">
        <v>46</v>
      </c>
      <c r="BG4" s="12" t="s">
        <v>45</v>
      </c>
      <c r="BH4" s="12" t="s">
        <v>44</v>
      </c>
      <c r="BI4" s="12" t="s">
        <v>43</v>
      </c>
      <c r="BK4" s="13" t="s">
        <v>179</v>
      </c>
      <c r="BL4" s="1" t="s">
        <v>50</v>
      </c>
      <c r="BM4" s="1" t="s">
        <v>49</v>
      </c>
      <c r="BN4" s="1" t="s">
        <v>48</v>
      </c>
      <c r="BO4" s="1" t="s">
        <v>47</v>
      </c>
      <c r="BP4" s="1" t="s">
        <v>36</v>
      </c>
      <c r="BQ4" s="1" t="s">
        <v>35</v>
      </c>
      <c r="BR4" s="1" t="s">
        <v>34</v>
      </c>
      <c r="BS4" s="12" t="s">
        <v>33</v>
      </c>
      <c r="BT4" s="12" t="s">
        <v>46</v>
      </c>
      <c r="BU4" s="12" t="s">
        <v>45</v>
      </c>
      <c r="BV4" s="12" t="s">
        <v>44</v>
      </c>
      <c r="BW4" s="12" t="s">
        <v>43</v>
      </c>
      <c r="BY4" s="13" t="s">
        <v>181</v>
      </c>
      <c r="BZ4" s="1" t="s">
        <v>50</v>
      </c>
      <c r="CA4" s="1" t="s">
        <v>49</v>
      </c>
      <c r="CB4" s="1" t="s">
        <v>48</v>
      </c>
      <c r="CC4" s="1" t="s">
        <v>47</v>
      </c>
      <c r="CD4" s="1" t="s">
        <v>36</v>
      </c>
      <c r="CE4" s="1" t="s">
        <v>35</v>
      </c>
      <c r="CF4" s="1" t="s">
        <v>34</v>
      </c>
      <c r="CG4" s="12" t="s">
        <v>33</v>
      </c>
      <c r="CH4" s="12" t="s">
        <v>46</v>
      </c>
      <c r="CI4" s="12" t="s">
        <v>45</v>
      </c>
      <c r="CJ4" s="12" t="s">
        <v>44</v>
      </c>
      <c r="CK4" s="12" t="s">
        <v>43</v>
      </c>
      <c r="CM4" s="13" t="s">
        <v>127</v>
      </c>
      <c r="CN4" s="1" t="s">
        <v>50</v>
      </c>
      <c r="CO4" s="1" t="s">
        <v>49</v>
      </c>
      <c r="CP4" s="1" t="s">
        <v>48</v>
      </c>
      <c r="CQ4" s="1" t="s">
        <v>47</v>
      </c>
      <c r="CR4" s="1" t="s">
        <v>36</v>
      </c>
      <c r="CS4" s="1" t="s">
        <v>35</v>
      </c>
      <c r="CT4" s="1" t="s">
        <v>34</v>
      </c>
      <c r="CU4" s="12" t="s">
        <v>33</v>
      </c>
      <c r="CV4" s="12" t="s">
        <v>46</v>
      </c>
      <c r="CW4" s="12" t="s">
        <v>45</v>
      </c>
      <c r="CX4" s="12" t="s">
        <v>44</v>
      </c>
      <c r="CY4" s="12" t="s">
        <v>43</v>
      </c>
      <c r="DA4" s="13" t="s">
        <v>183</v>
      </c>
      <c r="DB4" s="1" t="s">
        <v>50</v>
      </c>
      <c r="DC4" s="1" t="s">
        <v>49</v>
      </c>
      <c r="DD4" s="1" t="s">
        <v>48</v>
      </c>
      <c r="DE4" s="1" t="s">
        <v>47</v>
      </c>
      <c r="DF4" s="1" t="s">
        <v>36</v>
      </c>
      <c r="DG4" s="1" t="s">
        <v>35</v>
      </c>
      <c r="DH4" s="1" t="s">
        <v>34</v>
      </c>
      <c r="DI4" s="12" t="s">
        <v>33</v>
      </c>
      <c r="DJ4" s="12" t="s">
        <v>46</v>
      </c>
      <c r="DK4" s="12" t="s">
        <v>45</v>
      </c>
      <c r="DL4" s="12" t="s">
        <v>44</v>
      </c>
      <c r="DM4" s="12" t="s">
        <v>43</v>
      </c>
    </row>
    <row r="5" spans="1:124">
      <c r="A5">
        <v>1999</v>
      </c>
      <c r="B5">
        <v>4</v>
      </c>
      <c r="C5">
        <v>356.40000000000003</v>
      </c>
      <c r="D5">
        <v>0</v>
      </c>
      <c r="E5">
        <v>296.39999999999998</v>
      </c>
      <c r="F5">
        <v>0</v>
      </c>
      <c r="G5">
        <v>237.60000000000002</v>
      </c>
      <c r="H5">
        <v>1.1999999999999993</v>
      </c>
      <c r="I5">
        <v>181.90000000000003</v>
      </c>
      <c r="J5">
        <v>5.5</v>
      </c>
      <c r="K5">
        <v>128.4</v>
      </c>
      <c r="L5">
        <v>12</v>
      </c>
      <c r="M5">
        <v>79.699999999999989</v>
      </c>
      <c r="N5">
        <v>23.299999999999997</v>
      </c>
      <c r="O5">
        <v>41.29999999999999</v>
      </c>
      <c r="P5">
        <v>44.899999999999991</v>
      </c>
      <c r="Q5">
        <v>8.1199999999999992</v>
      </c>
      <c r="U5">
        <v>2002</v>
      </c>
      <c r="V5">
        <f ca="1">OFFSET($C$38,(ROW()-5)*12+COLUMN()-22,0)</f>
        <v>642.9</v>
      </c>
      <c r="W5">
        <f t="shared" ref="W5:AG5" ca="1" si="0">OFFSET($C$38,(ROW()-5)*12+COLUMN()-22,0)</f>
        <v>589.90000000000009</v>
      </c>
      <c r="X5">
        <f t="shared" ca="1" si="0"/>
        <v>609.5</v>
      </c>
      <c r="Y5">
        <f t="shared" ca="1" si="0"/>
        <v>383.59999999999997</v>
      </c>
      <c r="Z5">
        <f t="shared" ca="1" si="0"/>
        <v>292.50000000000006</v>
      </c>
      <c r="AA5">
        <f t="shared" ca="1" si="0"/>
        <v>74.699999999999989</v>
      </c>
      <c r="AB5">
        <f t="shared" ca="1" si="0"/>
        <v>13.499999999999996</v>
      </c>
      <c r="AC5">
        <f t="shared" ca="1" si="0"/>
        <v>25.3</v>
      </c>
      <c r="AD5">
        <f t="shared" ca="1" si="0"/>
        <v>59.599999999999994</v>
      </c>
      <c r="AE5">
        <f t="shared" ca="1" si="0"/>
        <v>348.59999999999997</v>
      </c>
      <c r="AF5">
        <f t="shared" ca="1" si="0"/>
        <v>496.70000000000005</v>
      </c>
      <c r="AG5">
        <f t="shared" ca="1" si="0"/>
        <v>695.2</v>
      </c>
      <c r="AI5">
        <v>2002</v>
      </c>
      <c r="AJ5">
        <f ca="1">OFFSET($E$38,(ROW()-5)*12+COLUMN()-36,0)</f>
        <v>580.90000000000009</v>
      </c>
      <c r="AK5">
        <f t="shared" ref="AK5:AU20" ca="1" si="1">OFFSET($E$38,(ROW()-5)*12+COLUMN()-36,0)</f>
        <v>533.90000000000009</v>
      </c>
      <c r="AL5">
        <f t="shared" ca="1" si="1"/>
        <v>547.5</v>
      </c>
      <c r="AM5">
        <f t="shared" ca="1" si="1"/>
        <v>329.4</v>
      </c>
      <c r="AN5">
        <f t="shared" ca="1" si="1"/>
        <v>236.2</v>
      </c>
      <c r="AO5">
        <f t="shared" ca="1" si="1"/>
        <v>43.8</v>
      </c>
      <c r="AP5">
        <f t="shared" ca="1" si="1"/>
        <v>1.8000000000000007</v>
      </c>
      <c r="AQ5">
        <f t="shared" ca="1" si="1"/>
        <v>7.4999999999999982</v>
      </c>
      <c r="AR5">
        <f t="shared" ca="1" si="1"/>
        <v>30.899999999999995</v>
      </c>
      <c r="AS5">
        <f t="shared" ca="1" si="1"/>
        <v>291.39999999999998</v>
      </c>
      <c r="AT5">
        <f t="shared" ca="1" si="1"/>
        <v>436.7</v>
      </c>
      <c r="AU5">
        <f t="shared" ca="1" si="1"/>
        <v>633.20000000000005</v>
      </c>
      <c r="AV5" s="70">
        <f t="shared" ref="AV5:AV14" ca="1" si="2">SUM(AJ5:AU5)</f>
        <v>3673.2000000000007</v>
      </c>
      <c r="AW5">
        <v>2002</v>
      </c>
      <c r="AX5">
        <f ca="1">OFFSET($G$38,(ROW()-5)*12+COLUMN()-50,0)</f>
        <v>518.89999999999986</v>
      </c>
      <c r="AY5">
        <f t="shared" ref="AY5:BI5" ca="1" si="3">OFFSET($G$38,(ROW()-5)*12+COLUMN()-50,0)</f>
        <v>477.90000000000009</v>
      </c>
      <c r="AZ5">
        <f t="shared" ca="1" si="3"/>
        <v>485.50000000000006</v>
      </c>
      <c r="BA5">
        <f t="shared" ca="1" si="3"/>
        <v>276.99999999999994</v>
      </c>
      <c r="BB5">
        <f t="shared" ca="1" si="3"/>
        <v>180.2</v>
      </c>
      <c r="BC5">
        <f t="shared" ca="1" si="3"/>
        <v>20.6</v>
      </c>
      <c r="BD5">
        <f t="shared" ca="1" si="3"/>
        <v>0</v>
      </c>
      <c r="BE5">
        <f t="shared" ca="1" si="3"/>
        <v>0.59999999999999964</v>
      </c>
      <c r="BF5">
        <f t="shared" ca="1" si="3"/>
        <v>13.199999999999998</v>
      </c>
      <c r="BG5">
        <f t="shared" ca="1" si="3"/>
        <v>235.39999999999998</v>
      </c>
      <c r="BH5">
        <f t="shared" ca="1" si="3"/>
        <v>376.7</v>
      </c>
      <c r="BI5">
        <f t="shared" ca="1" si="3"/>
        <v>571.20000000000005</v>
      </c>
      <c r="BK5">
        <v>2002</v>
      </c>
      <c r="BL5">
        <f ca="1">OFFSET($I$38,(ROW()-5)*12+COLUMN()-64,0)</f>
        <v>456.89999999999992</v>
      </c>
      <c r="BM5">
        <f t="shared" ref="BM5:BW20" ca="1" si="4">OFFSET($I$38,(ROW()-5)*12+COLUMN()-64,0)</f>
        <v>421.90000000000003</v>
      </c>
      <c r="BN5">
        <f t="shared" ca="1" si="4"/>
        <v>423.5</v>
      </c>
      <c r="BO5">
        <f t="shared" ca="1" si="4"/>
        <v>224.99999999999997</v>
      </c>
      <c r="BP5">
        <f t="shared" ca="1" si="4"/>
        <v>128.80000000000001</v>
      </c>
      <c r="BQ5">
        <f t="shared" ca="1" si="4"/>
        <v>7.5</v>
      </c>
      <c r="BR5">
        <f t="shared" ca="1" si="4"/>
        <v>0</v>
      </c>
      <c r="BS5">
        <f t="shared" ca="1" si="4"/>
        <v>0</v>
      </c>
      <c r="BT5">
        <f t="shared" ca="1" si="4"/>
        <v>3.3999999999999986</v>
      </c>
      <c r="BU5">
        <f t="shared" ca="1" si="4"/>
        <v>181.60000000000002</v>
      </c>
      <c r="BV5">
        <f t="shared" ca="1" si="4"/>
        <v>317.2</v>
      </c>
      <c r="BW5">
        <f t="shared" ca="1" si="4"/>
        <v>509.2</v>
      </c>
      <c r="BY5">
        <v>2002</v>
      </c>
      <c r="BZ5">
        <f ca="1">OFFSET($K$38,(ROW()-5)*12+COLUMN()-78,0)</f>
        <v>394.89999999999992</v>
      </c>
      <c r="CA5">
        <f t="shared" ref="CA5:CK5" ca="1" si="5">OFFSET($K$38,(ROW()-5)*12+COLUMN()-78,0)</f>
        <v>365.90000000000009</v>
      </c>
      <c r="CB5">
        <f t="shared" ca="1" si="5"/>
        <v>361.50000000000006</v>
      </c>
      <c r="CC5">
        <f t="shared" ca="1" si="5"/>
        <v>175.39999999999998</v>
      </c>
      <c r="CD5">
        <f t="shared" ca="1" si="5"/>
        <v>85.3</v>
      </c>
      <c r="CE5">
        <f t="shared" ca="1" si="5"/>
        <v>2.5</v>
      </c>
      <c r="CF5">
        <f t="shared" ca="1" si="5"/>
        <v>0</v>
      </c>
      <c r="CG5">
        <f t="shared" ca="1" si="5"/>
        <v>0</v>
      </c>
      <c r="CH5">
        <f t="shared" ca="1" si="5"/>
        <v>0</v>
      </c>
      <c r="CI5">
        <f t="shared" ca="1" si="5"/>
        <v>133.6</v>
      </c>
      <c r="CJ5">
        <f t="shared" ca="1" si="5"/>
        <v>259.7</v>
      </c>
      <c r="CK5">
        <f t="shared" ca="1" si="5"/>
        <v>447.2</v>
      </c>
      <c r="CM5">
        <v>2002</v>
      </c>
      <c r="CN5">
        <f ca="1">OFFSET($M$38,(ROW()-5)*12+COLUMN()-92,0)</f>
        <v>332.89999999999992</v>
      </c>
      <c r="CO5">
        <f t="shared" ref="CO5:CY5" ca="1" si="6">OFFSET($M$38,(ROW()-5)*12+COLUMN()-92,0)</f>
        <v>309.89999999999998</v>
      </c>
      <c r="CP5">
        <f t="shared" ca="1" si="6"/>
        <v>299.50000000000006</v>
      </c>
      <c r="CQ5">
        <f t="shared" ca="1" si="6"/>
        <v>129.29999999999998</v>
      </c>
      <c r="CR5">
        <f t="shared" ca="1" si="6"/>
        <v>49.800000000000004</v>
      </c>
      <c r="CS5">
        <f t="shared" ca="1" si="6"/>
        <v>0</v>
      </c>
      <c r="CT5">
        <f t="shared" ca="1" si="6"/>
        <v>0</v>
      </c>
      <c r="CU5">
        <f t="shared" ca="1" si="6"/>
        <v>0</v>
      </c>
      <c r="CV5">
        <f t="shared" ca="1" si="6"/>
        <v>0</v>
      </c>
      <c r="CW5">
        <f t="shared" ca="1" si="6"/>
        <v>92.000000000000014</v>
      </c>
      <c r="CX5">
        <f t="shared" ca="1" si="6"/>
        <v>205.10000000000002</v>
      </c>
      <c r="CY5">
        <f t="shared" ca="1" si="6"/>
        <v>385.2</v>
      </c>
      <c r="DA5">
        <v>2002</v>
      </c>
      <c r="DB5">
        <f ca="1">OFFSET($O$38,(ROW()-5)*12+COLUMN()-106,0)</f>
        <v>270.89999999999998</v>
      </c>
      <c r="DC5">
        <f t="shared" ref="DC5:DM5" ca="1" si="7">OFFSET($O$38,(ROW()-5)*12+COLUMN()-106,0)</f>
        <v>253.89999999999995</v>
      </c>
      <c r="DD5">
        <f t="shared" ca="1" si="7"/>
        <v>237.5</v>
      </c>
      <c r="DE5">
        <f t="shared" ca="1" si="7"/>
        <v>85.5</v>
      </c>
      <c r="DF5">
        <f t="shared" ca="1" si="7"/>
        <v>22.800000000000004</v>
      </c>
      <c r="DG5">
        <f t="shared" ca="1" si="7"/>
        <v>0</v>
      </c>
      <c r="DH5">
        <f t="shared" ca="1" si="7"/>
        <v>0</v>
      </c>
      <c r="DI5">
        <f t="shared" ca="1" si="7"/>
        <v>0</v>
      </c>
      <c r="DJ5">
        <f t="shared" ca="1" si="7"/>
        <v>0</v>
      </c>
      <c r="DK5">
        <f t="shared" ca="1" si="7"/>
        <v>53.6</v>
      </c>
      <c r="DL5">
        <f t="shared" ca="1" si="7"/>
        <v>152.1</v>
      </c>
      <c r="DM5">
        <f t="shared" ca="1" si="7"/>
        <v>323.2</v>
      </c>
    </row>
    <row r="6" spans="1:124">
      <c r="A6">
        <v>1999</v>
      </c>
      <c r="B6">
        <v>5</v>
      </c>
      <c r="C6">
        <v>177.9</v>
      </c>
      <c r="D6">
        <v>7.1000000000000014</v>
      </c>
      <c r="E6">
        <v>126.90000000000002</v>
      </c>
      <c r="F6">
        <v>18.100000000000001</v>
      </c>
      <c r="G6">
        <v>82.700000000000017</v>
      </c>
      <c r="H6">
        <v>35.900000000000006</v>
      </c>
      <c r="I6">
        <v>48.1</v>
      </c>
      <c r="J6">
        <v>63.29999999999999</v>
      </c>
      <c r="K6">
        <v>23.199999999999996</v>
      </c>
      <c r="L6">
        <v>100.39999999999998</v>
      </c>
      <c r="M6">
        <v>5.5</v>
      </c>
      <c r="N6">
        <v>144.69999999999999</v>
      </c>
      <c r="O6">
        <v>0</v>
      </c>
      <c r="P6">
        <v>201.19999999999996</v>
      </c>
      <c r="Q6">
        <v>14.490322580645165</v>
      </c>
      <c r="U6">
        <f>U5+1</f>
        <v>2003</v>
      </c>
      <c r="V6">
        <f t="shared" ref="V6:AG24" ca="1" si="8">OFFSET($C$38,(ROW()-5)*12+COLUMN()-22,0)</f>
        <v>847.1</v>
      </c>
      <c r="W6">
        <f t="shared" ca="1" si="8"/>
        <v>753.30000000000018</v>
      </c>
      <c r="X6">
        <f t="shared" ca="1" si="8"/>
        <v>651.29999999999984</v>
      </c>
      <c r="Y6">
        <f t="shared" ca="1" si="8"/>
        <v>433.69999999999993</v>
      </c>
      <c r="Z6">
        <f t="shared" ca="1" si="8"/>
        <v>291.09999999999991</v>
      </c>
      <c r="AA6">
        <f t="shared" ca="1" si="8"/>
        <v>113.00000000000001</v>
      </c>
      <c r="AB6">
        <f t="shared" ca="1" si="8"/>
        <v>23.900000000000002</v>
      </c>
      <c r="AC6">
        <f t="shared" ca="1" si="8"/>
        <v>19.900000000000006</v>
      </c>
      <c r="AD6">
        <f t="shared" ca="1" si="8"/>
        <v>114.4</v>
      </c>
      <c r="AE6">
        <f t="shared" ca="1" si="8"/>
        <v>327.39999999999998</v>
      </c>
      <c r="AF6">
        <f t="shared" ca="1" si="8"/>
        <v>437.3</v>
      </c>
      <c r="AG6">
        <f t="shared" ca="1" si="8"/>
        <v>629.40000000000009</v>
      </c>
      <c r="AI6">
        <f>AI5+1</f>
        <v>2003</v>
      </c>
      <c r="AJ6">
        <f t="shared" ref="AJ6:AU24" ca="1" si="9">OFFSET($E$38,(ROW()-5)*12+COLUMN()-36,0)</f>
        <v>785.09999999999991</v>
      </c>
      <c r="AK6">
        <f t="shared" ca="1" si="1"/>
        <v>697.30000000000007</v>
      </c>
      <c r="AL6">
        <f t="shared" ca="1" si="1"/>
        <v>589.29999999999984</v>
      </c>
      <c r="AM6">
        <f t="shared" ca="1" si="1"/>
        <v>373.8</v>
      </c>
      <c r="AN6">
        <f t="shared" ca="1" si="1"/>
        <v>229.09999999999994</v>
      </c>
      <c r="AO6">
        <f t="shared" ca="1" si="1"/>
        <v>71.599999999999994</v>
      </c>
      <c r="AP6">
        <f t="shared" ca="1" si="1"/>
        <v>4</v>
      </c>
      <c r="AQ6">
        <f t="shared" ca="1" si="1"/>
        <v>6.0000000000000036</v>
      </c>
      <c r="AR6">
        <f t="shared" ca="1" si="1"/>
        <v>67.599999999999994</v>
      </c>
      <c r="AS6">
        <f t="shared" ca="1" si="1"/>
        <v>265.39999999999992</v>
      </c>
      <c r="AT6">
        <f t="shared" ca="1" si="1"/>
        <v>377.29999999999995</v>
      </c>
      <c r="AU6">
        <f t="shared" ca="1" si="1"/>
        <v>567.40000000000009</v>
      </c>
      <c r="AV6" s="70">
        <f t="shared" ca="1" si="2"/>
        <v>4033.9</v>
      </c>
      <c r="AW6">
        <f>AW5+1</f>
        <v>2003</v>
      </c>
      <c r="AX6">
        <f t="shared" ref="AX6:BI24" ca="1" si="10">OFFSET($G$38,(ROW()-5)*12+COLUMN()-50,0)</f>
        <v>723.1</v>
      </c>
      <c r="AY6">
        <f t="shared" ca="1" si="10"/>
        <v>641.30000000000007</v>
      </c>
      <c r="AZ6">
        <f t="shared" ca="1" si="10"/>
        <v>527.29999999999995</v>
      </c>
      <c r="BA6">
        <f t="shared" ca="1" si="10"/>
        <v>316.79999999999995</v>
      </c>
      <c r="BB6">
        <f t="shared" ca="1" si="10"/>
        <v>168.5</v>
      </c>
      <c r="BC6">
        <f t="shared" ca="1" si="10"/>
        <v>36.799999999999997</v>
      </c>
      <c r="BD6">
        <f t="shared" ca="1" si="10"/>
        <v>0</v>
      </c>
      <c r="BE6">
        <f t="shared" ca="1" si="10"/>
        <v>1</v>
      </c>
      <c r="BF6">
        <f t="shared" ca="1" si="10"/>
        <v>37.5</v>
      </c>
      <c r="BG6">
        <f t="shared" ca="1" si="10"/>
        <v>208</v>
      </c>
      <c r="BH6">
        <f t="shared" ca="1" si="10"/>
        <v>317.2999999999999</v>
      </c>
      <c r="BI6">
        <f t="shared" ca="1" si="10"/>
        <v>505.40000000000003</v>
      </c>
      <c r="BK6">
        <f>BK5+1</f>
        <v>2003</v>
      </c>
      <c r="BL6">
        <f t="shared" ref="BL6:BW24" ca="1" si="11">OFFSET($I$38,(ROW()-5)*12+COLUMN()-64,0)</f>
        <v>661.10000000000014</v>
      </c>
      <c r="BM6">
        <f t="shared" ca="1" si="4"/>
        <v>585.30000000000007</v>
      </c>
      <c r="BN6">
        <f t="shared" ca="1" si="4"/>
        <v>465.6</v>
      </c>
      <c r="BO6">
        <f t="shared" ca="1" si="4"/>
        <v>261.5</v>
      </c>
      <c r="BP6">
        <f t="shared" ca="1" si="4"/>
        <v>111.00000000000001</v>
      </c>
      <c r="BQ6">
        <f t="shared" ca="1" si="4"/>
        <v>14.399999999999999</v>
      </c>
      <c r="BR6">
        <f t="shared" ca="1" si="4"/>
        <v>0</v>
      </c>
      <c r="BS6">
        <f t="shared" ca="1" si="4"/>
        <v>0</v>
      </c>
      <c r="BT6">
        <f t="shared" ca="1" si="4"/>
        <v>21.4</v>
      </c>
      <c r="BU6">
        <f t="shared" ca="1" si="4"/>
        <v>157.1</v>
      </c>
      <c r="BV6">
        <f t="shared" ca="1" si="4"/>
        <v>257.29999999999995</v>
      </c>
      <c r="BW6">
        <f t="shared" ca="1" si="4"/>
        <v>443.40000000000009</v>
      </c>
      <c r="BY6">
        <f>BY5+1</f>
        <v>2003</v>
      </c>
      <c r="BZ6">
        <f t="shared" ref="BZ6:CK24" ca="1" si="12">OFFSET($K$38,(ROW()-5)*12+COLUMN()-78,0)</f>
        <v>599.1</v>
      </c>
      <c r="CA6">
        <f t="shared" ca="1" si="12"/>
        <v>529.30000000000007</v>
      </c>
      <c r="CB6">
        <f t="shared" ca="1" si="12"/>
        <v>405.6</v>
      </c>
      <c r="CC6">
        <f t="shared" ca="1" si="12"/>
        <v>208.80000000000004</v>
      </c>
      <c r="CD6">
        <f t="shared" ca="1" si="12"/>
        <v>62.600000000000009</v>
      </c>
      <c r="CE6">
        <f t="shared" ca="1" si="12"/>
        <v>3</v>
      </c>
      <c r="CF6">
        <f t="shared" ca="1" si="12"/>
        <v>0</v>
      </c>
      <c r="CG6">
        <f t="shared" ca="1" si="12"/>
        <v>0</v>
      </c>
      <c r="CH6">
        <f t="shared" ca="1" si="12"/>
        <v>10.7</v>
      </c>
      <c r="CI6">
        <f t="shared" ca="1" si="12"/>
        <v>107.9</v>
      </c>
      <c r="CJ6">
        <f t="shared" ca="1" si="12"/>
        <v>198.20000000000002</v>
      </c>
      <c r="CK6">
        <f t="shared" ca="1" si="12"/>
        <v>381.40000000000003</v>
      </c>
      <c r="CM6">
        <f>CM5+1</f>
        <v>2003</v>
      </c>
      <c r="CN6">
        <f t="shared" ref="CN6:CY24" ca="1" si="13">OFFSET($M$38,(ROW()-5)*12+COLUMN()-92,0)</f>
        <v>537.09999999999991</v>
      </c>
      <c r="CO6">
        <f t="shared" ca="1" si="13"/>
        <v>473.3</v>
      </c>
      <c r="CP6">
        <f t="shared" ca="1" si="13"/>
        <v>345.6</v>
      </c>
      <c r="CQ6">
        <f t="shared" ca="1" si="13"/>
        <v>158.30000000000004</v>
      </c>
      <c r="CR6">
        <f t="shared" ca="1" si="13"/>
        <v>28.099999999999998</v>
      </c>
      <c r="CS6">
        <f t="shared" ca="1" si="13"/>
        <v>0.5</v>
      </c>
      <c r="CT6">
        <f t="shared" ca="1" si="13"/>
        <v>0</v>
      </c>
      <c r="CU6">
        <f t="shared" ca="1" si="13"/>
        <v>0</v>
      </c>
      <c r="CV6">
        <f t="shared" ca="1" si="13"/>
        <v>4.6000000000000005</v>
      </c>
      <c r="CW6">
        <f t="shared" ca="1" si="13"/>
        <v>63.800000000000011</v>
      </c>
      <c r="CX6">
        <f t="shared" ca="1" si="13"/>
        <v>144.9</v>
      </c>
      <c r="CY6">
        <f t="shared" ca="1" si="13"/>
        <v>319.40000000000003</v>
      </c>
      <c r="DA6">
        <f>DA5+1</f>
        <v>2003</v>
      </c>
      <c r="DB6">
        <f t="shared" ref="DB6:DM24" ca="1" si="14">OFFSET($O$38,(ROW()-5)*12+COLUMN()-106,0)</f>
        <v>475.09999999999997</v>
      </c>
      <c r="DC6">
        <f t="shared" ca="1" si="14"/>
        <v>417.3</v>
      </c>
      <c r="DD6">
        <f t="shared" ca="1" si="14"/>
        <v>288.8</v>
      </c>
      <c r="DE6">
        <f t="shared" ca="1" si="14"/>
        <v>113.7</v>
      </c>
      <c r="DF6">
        <f t="shared" ca="1" si="14"/>
        <v>8</v>
      </c>
      <c r="DG6">
        <f t="shared" ca="1" si="14"/>
        <v>0</v>
      </c>
      <c r="DH6">
        <f t="shared" ca="1" si="14"/>
        <v>0</v>
      </c>
      <c r="DI6">
        <f t="shared" ca="1" si="14"/>
        <v>0</v>
      </c>
      <c r="DJ6">
        <f t="shared" ca="1" si="14"/>
        <v>0.60000000000000053</v>
      </c>
      <c r="DK6">
        <f t="shared" ca="1" si="14"/>
        <v>30.8</v>
      </c>
      <c r="DL6">
        <f t="shared" ca="1" si="14"/>
        <v>99.90000000000002</v>
      </c>
      <c r="DM6">
        <f t="shared" ca="1" si="14"/>
        <v>257.40000000000003</v>
      </c>
    </row>
    <row r="7" spans="1:124">
      <c r="A7">
        <v>1999</v>
      </c>
      <c r="B7">
        <v>6</v>
      </c>
      <c r="C7">
        <v>64.099999999999994</v>
      </c>
      <c r="D7">
        <v>57.199999999999989</v>
      </c>
      <c r="E7">
        <v>38.399999999999991</v>
      </c>
      <c r="F7">
        <v>91.499999999999986</v>
      </c>
      <c r="G7">
        <v>21.3</v>
      </c>
      <c r="H7">
        <v>134.4</v>
      </c>
      <c r="I7">
        <v>9</v>
      </c>
      <c r="J7">
        <v>182.1</v>
      </c>
      <c r="K7">
        <v>2.8000000000000007</v>
      </c>
      <c r="L7">
        <v>235.89999999999995</v>
      </c>
      <c r="M7">
        <v>0</v>
      </c>
      <c r="N7">
        <v>293.09999999999997</v>
      </c>
      <c r="O7">
        <v>0</v>
      </c>
      <c r="P7">
        <v>353.09999999999997</v>
      </c>
      <c r="Q7">
        <v>19.77</v>
      </c>
      <c r="U7">
        <f t="shared" ref="U7:U25" si="15">U6+1</f>
        <v>2004</v>
      </c>
      <c r="V7">
        <f t="shared" ca="1" si="8"/>
        <v>868.99999999999989</v>
      </c>
      <c r="W7">
        <f t="shared" ca="1" si="8"/>
        <v>690.3</v>
      </c>
      <c r="X7">
        <f t="shared" ca="1" si="8"/>
        <v>537.5</v>
      </c>
      <c r="Y7">
        <f t="shared" ca="1" si="8"/>
        <v>383.10000000000019</v>
      </c>
      <c r="Z7">
        <f t="shared" ca="1" si="8"/>
        <v>232.60000000000005</v>
      </c>
      <c r="AA7">
        <f t="shared" ca="1" si="8"/>
        <v>99.300000000000011</v>
      </c>
      <c r="AB7">
        <f t="shared" ca="1" si="8"/>
        <v>32.5</v>
      </c>
      <c r="AC7">
        <f t="shared" ca="1" si="8"/>
        <v>66</v>
      </c>
      <c r="AD7">
        <f t="shared" ca="1" si="8"/>
        <v>77.099999999999994</v>
      </c>
      <c r="AE7">
        <f t="shared" ca="1" si="8"/>
        <v>290.00000000000011</v>
      </c>
      <c r="AF7">
        <f t="shared" ca="1" si="8"/>
        <v>445.40000000000003</v>
      </c>
      <c r="AG7">
        <f t="shared" ca="1" si="8"/>
        <v>714</v>
      </c>
      <c r="AI7">
        <f t="shared" ref="AI7:AI25" si="16">AI6+1</f>
        <v>2004</v>
      </c>
      <c r="AJ7">
        <f t="shared" ca="1" si="9"/>
        <v>807</v>
      </c>
      <c r="AK7">
        <f t="shared" ca="1" si="1"/>
        <v>632.29999999999995</v>
      </c>
      <c r="AL7">
        <f t="shared" ca="1" si="1"/>
        <v>475.49999999999994</v>
      </c>
      <c r="AM7">
        <f t="shared" ca="1" si="1"/>
        <v>325.00000000000011</v>
      </c>
      <c r="AN7">
        <f t="shared" ca="1" si="1"/>
        <v>176.8</v>
      </c>
      <c r="AO7">
        <f t="shared" ca="1" si="1"/>
        <v>56</v>
      </c>
      <c r="AP7">
        <f t="shared" ca="1" si="1"/>
        <v>11.300000000000002</v>
      </c>
      <c r="AQ7">
        <f t="shared" ca="1" si="1"/>
        <v>29.000000000000004</v>
      </c>
      <c r="AR7">
        <f t="shared" ca="1" si="1"/>
        <v>42.400000000000006</v>
      </c>
      <c r="AS7">
        <f t="shared" ca="1" si="1"/>
        <v>228</v>
      </c>
      <c r="AT7">
        <f t="shared" ca="1" si="1"/>
        <v>385.40000000000009</v>
      </c>
      <c r="AU7">
        <f t="shared" ca="1" si="1"/>
        <v>652</v>
      </c>
      <c r="AV7" s="70">
        <f t="shared" ca="1" si="2"/>
        <v>3820.7000000000007</v>
      </c>
      <c r="AW7">
        <f t="shared" ref="AW7:AW25" si="17">AW6+1</f>
        <v>2004</v>
      </c>
      <c r="AX7">
        <f t="shared" ca="1" si="10"/>
        <v>745</v>
      </c>
      <c r="AY7">
        <f t="shared" ca="1" si="10"/>
        <v>574.29999999999984</v>
      </c>
      <c r="AZ7">
        <f t="shared" ca="1" si="10"/>
        <v>413.49999999999994</v>
      </c>
      <c r="BA7">
        <f t="shared" ca="1" si="10"/>
        <v>267.40000000000003</v>
      </c>
      <c r="BB7">
        <f t="shared" ca="1" si="10"/>
        <v>127.6</v>
      </c>
      <c r="BC7">
        <f t="shared" ca="1" si="10"/>
        <v>28.1</v>
      </c>
      <c r="BD7">
        <f t="shared" ca="1" si="10"/>
        <v>0.40000000000000036</v>
      </c>
      <c r="BE7">
        <f t="shared" ca="1" si="10"/>
        <v>6.0000000000000018</v>
      </c>
      <c r="BF7">
        <f t="shared" ca="1" si="10"/>
        <v>18.399999999999999</v>
      </c>
      <c r="BG7">
        <f t="shared" ca="1" si="10"/>
        <v>168.49999999999997</v>
      </c>
      <c r="BH7">
        <f t="shared" ca="1" si="10"/>
        <v>325.39999999999998</v>
      </c>
      <c r="BI7">
        <f t="shared" ca="1" si="10"/>
        <v>589.99999999999989</v>
      </c>
      <c r="BK7">
        <f t="shared" ref="BK7:BK25" si="18">BK6+1</f>
        <v>2004</v>
      </c>
      <c r="BL7">
        <f t="shared" ca="1" si="11"/>
        <v>683</v>
      </c>
      <c r="BM7">
        <f t="shared" ca="1" si="4"/>
        <v>516.29999999999995</v>
      </c>
      <c r="BN7">
        <f t="shared" ca="1" si="4"/>
        <v>351.49999999999994</v>
      </c>
      <c r="BO7">
        <f t="shared" ca="1" si="4"/>
        <v>215.29999999999998</v>
      </c>
      <c r="BP7">
        <f t="shared" ca="1" si="4"/>
        <v>87.300000000000011</v>
      </c>
      <c r="BQ7">
        <f t="shared" ca="1" si="4"/>
        <v>10.7</v>
      </c>
      <c r="BR7">
        <f t="shared" ca="1" si="4"/>
        <v>0</v>
      </c>
      <c r="BS7">
        <f t="shared" ca="1" si="4"/>
        <v>0</v>
      </c>
      <c r="BT7">
        <f t="shared" ca="1" si="4"/>
        <v>4.7999999999999989</v>
      </c>
      <c r="BU7">
        <f t="shared" ca="1" si="4"/>
        <v>112.79999999999998</v>
      </c>
      <c r="BV7">
        <f t="shared" ca="1" si="4"/>
        <v>265.40000000000003</v>
      </c>
      <c r="BW7">
        <f t="shared" ca="1" si="4"/>
        <v>528</v>
      </c>
      <c r="BY7">
        <f t="shared" ref="BY7:BY25" si="19">BY6+1</f>
        <v>2004</v>
      </c>
      <c r="BZ7">
        <f t="shared" ca="1" si="12"/>
        <v>620.99999999999989</v>
      </c>
      <c r="CA7">
        <f t="shared" ca="1" si="12"/>
        <v>458.2999999999999</v>
      </c>
      <c r="CB7">
        <f t="shared" ca="1" si="12"/>
        <v>290.49999999999994</v>
      </c>
      <c r="CC7">
        <f t="shared" ca="1" si="12"/>
        <v>168.29999999999998</v>
      </c>
      <c r="CD7">
        <f t="shared" ca="1" si="12"/>
        <v>56.999999999999993</v>
      </c>
      <c r="CE7">
        <f t="shared" ca="1" si="12"/>
        <v>2.0999999999999996</v>
      </c>
      <c r="CF7">
        <f t="shared" ca="1" si="12"/>
        <v>0</v>
      </c>
      <c r="CG7">
        <f t="shared" ca="1" si="12"/>
        <v>0</v>
      </c>
      <c r="CH7">
        <f t="shared" ca="1" si="12"/>
        <v>0</v>
      </c>
      <c r="CI7">
        <f t="shared" ca="1" si="12"/>
        <v>63.2</v>
      </c>
      <c r="CJ7">
        <f t="shared" ca="1" si="12"/>
        <v>207.10000000000002</v>
      </c>
      <c r="CK7">
        <f t="shared" ca="1" si="12"/>
        <v>465.99999999999994</v>
      </c>
      <c r="CM7">
        <f t="shared" ref="CM7:CM25" si="20">CM6+1</f>
        <v>2004</v>
      </c>
      <c r="CN7">
        <f t="shared" ca="1" si="13"/>
        <v>559</v>
      </c>
      <c r="CO7">
        <f t="shared" ca="1" si="13"/>
        <v>400.29999999999995</v>
      </c>
      <c r="CP7">
        <f t="shared" ca="1" si="13"/>
        <v>233.29999999999998</v>
      </c>
      <c r="CQ7">
        <f t="shared" ca="1" si="13"/>
        <v>124</v>
      </c>
      <c r="CR7">
        <f t="shared" ca="1" si="13"/>
        <v>32.700000000000003</v>
      </c>
      <c r="CS7">
        <f t="shared" ca="1" si="13"/>
        <v>0</v>
      </c>
      <c r="CT7">
        <f t="shared" ca="1" si="13"/>
        <v>0</v>
      </c>
      <c r="CU7">
        <f t="shared" ca="1" si="13"/>
        <v>0</v>
      </c>
      <c r="CV7">
        <f t="shared" ca="1" si="13"/>
        <v>0</v>
      </c>
      <c r="CW7">
        <f t="shared" ca="1" si="13"/>
        <v>24.4</v>
      </c>
      <c r="CX7">
        <f t="shared" ca="1" si="13"/>
        <v>149.79999999999998</v>
      </c>
      <c r="CY7">
        <f t="shared" ca="1" si="13"/>
        <v>404</v>
      </c>
      <c r="DA7">
        <f t="shared" ref="DA7:DA25" si="21">DA6+1</f>
        <v>2004</v>
      </c>
      <c r="DB7">
        <f t="shared" ca="1" si="14"/>
        <v>497</v>
      </c>
      <c r="DC7">
        <f t="shared" ca="1" si="14"/>
        <v>342.29999999999995</v>
      </c>
      <c r="DD7">
        <f t="shared" ca="1" si="14"/>
        <v>179.29999999999998</v>
      </c>
      <c r="DE7">
        <f t="shared" ca="1" si="14"/>
        <v>82.199999999999989</v>
      </c>
      <c r="DF7">
        <f t="shared" ca="1" si="14"/>
        <v>13.8</v>
      </c>
      <c r="DG7">
        <f t="shared" ca="1" si="14"/>
        <v>0</v>
      </c>
      <c r="DH7">
        <f t="shared" ca="1" si="14"/>
        <v>0</v>
      </c>
      <c r="DI7">
        <f t="shared" ca="1" si="14"/>
        <v>0</v>
      </c>
      <c r="DJ7">
        <f t="shared" ca="1" si="14"/>
        <v>0</v>
      </c>
      <c r="DK7">
        <f t="shared" ca="1" si="14"/>
        <v>6.6</v>
      </c>
      <c r="DL7">
        <f t="shared" ca="1" si="14"/>
        <v>99.7</v>
      </c>
      <c r="DM7">
        <f t="shared" ca="1" si="14"/>
        <v>342</v>
      </c>
    </row>
    <row r="8" spans="1:124">
      <c r="A8">
        <v>1999</v>
      </c>
      <c r="B8">
        <v>7</v>
      </c>
      <c r="C8">
        <v>9.1999999999999993</v>
      </c>
      <c r="D8">
        <v>109.50000000000001</v>
      </c>
      <c r="E8">
        <v>2.5</v>
      </c>
      <c r="F8">
        <v>164.79999999999998</v>
      </c>
      <c r="G8">
        <v>0</v>
      </c>
      <c r="H8">
        <v>224.29999999999995</v>
      </c>
      <c r="I8">
        <v>0</v>
      </c>
      <c r="J8">
        <v>286.3</v>
      </c>
      <c r="K8">
        <v>0</v>
      </c>
      <c r="L8">
        <v>348.3</v>
      </c>
      <c r="M8">
        <v>0</v>
      </c>
      <c r="N8">
        <v>410.29999999999995</v>
      </c>
      <c r="O8">
        <v>0</v>
      </c>
      <c r="P8">
        <v>472.3</v>
      </c>
      <c r="Q8">
        <v>23.235483870967748</v>
      </c>
      <c r="U8">
        <f t="shared" si="15"/>
        <v>2005</v>
      </c>
      <c r="V8">
        <f t="shared" ca="1" si="8"/>
        <v>806.3</v>
      </c>
      <c r="W8">
        <f t="shared" ca="1" si="8"/>
        <v>675.69999999999993</v>
      </c>
      <c r="X8">
        <f t="shared" ca="1" si="8"/>
        <v>674.8</v>
      </c>
      <c r="Y8">
        <f t="shared" ca="1" si="8"/>
        <v>386.50000000000017</v>
      </c>
      <c r="Z8">
        <f t="shared" ca="1" si="8"/>
        <v>269.60000000000002</v>
      </c>
      <c r="AA8">
        <f t="shared" ca="1" si="8"/>
        <v>34.400000000000006</v>
      </c>
      <c r="AB8">
        <f t="shared" ca="1" si="8"/>
        <v>14.600000000000001</v>
      </c>
      <c r="AC8">
        <f t="shared" ca="1" si="8"/>
        <v>12.399999999999999</v>
      </c>
      <c r="AD8">
        <f t="shared" ca="1" si="8"/>
        <v>49.399999999999991</v>
      </c>
      <c r="AE8">
        <f t="shared" ca="1" si="8"/>
        <v>253.09999999999994</v>
      </c>
      <c r="AF8">
        <f t="shared" ca="1" si="8"/>
        <v>434.8</v>
      </c>
      <c r="AG8">
        <f t="shared" ca="1" si="8"/>
        <v>714.20000000000016</v>
      </c>
      <c r="AI8">
        <f t="shared" si="16"/>
        <v>2005</v>
      </c>
      <c r="AJ8">
        <f t="shared" ca="1" si="9"/>
        <v>744.29999999999984</v>
      </c>
      <c r="AK8">
        <f t="shared" ca="1" si="1"/>
        <v>619.69999999999993</v>
      </c>
      <c r="AL8">
        <f t="shared" ca="1" si="1"/>
        <v>612.79999999999984</v>
      </c>
      <c r="AM8">
        <f t="shared" ca="1" si="1"/>
        <v>327.00000000000017</v>
      </c>
      <c r="AN8">
        <f t="shared" ca="1" si="1"/>
        <v>208.79999999999998</v>
      </c>
      <c r="AO8">
        <f t="shared" ca="1" si="1"/>
        <v>14.900000000000002</v>
      </c>
      <c r="AP8">
        <f t="shared" ca="1" si="1"/>
        <v>2.6999999999999993</v>
      </c>
      <c r="AQ8">
        <f t="shared" ca="1" si="1"/>
        <v>2.1999999999999993</v>
      </c>
      <c r="AR8">
        <f t="shared" ca="1" si="1"/>
        <v>21.799999999999997</v>
      </c>
      <c r="AS8">
        <f t="shared" ca="1" si="1"/>
        <v>199.89999999999995</v>
      </c>
      <c r="AT8">
        <f t="shared" ca="1" si="1"/>
        <v>374.8</v>
      </c>
      <c r="AU8">
        <f t="shared" ca="1" si="1"/>
        <v>652.20000000000016</v>
      </c>
      <c r="AV8" s="70">
        <f t="shared" ca="1" si="2"/>
        <v>3781.1000000000004</v>
      </c>
      <c r="AW8">
        <f t="shared" si="17"/>
        <v>2005</v>
      </c>
      <c r="AX8">
        <f t="shared" ca="1" si="10"/>
        <v>682.3</v>
      </c>
      <c r="AY8">
        <f t="shared" ca="1" si="10"/>
        <v>563.69999999999993</v>
      </c>
      <c r="AZ8">
        <f t="shared" ca="1" si="10"/>
        <v>550.79999999999995</v>
      </c>
      <c r="BA8">
        <f t="shared" ca="1" si="10"/>
        <v>269.00000000000011</v>
      </c>
      <c r="BB8">
        <f t="shared" ca="1" si="10"/>
        <v>151.5</v>
      </c>
      <c r="BC8">
        <f t="shared" ca="1" si="10"/>
        <v>4.1000000000000014</v>
      </c>
      <c r="BD8">
        <f t="shared" ca="1" si="10"/>
        <v>0</v>
      </c>
      <c r="BE8">
        <f t="shared" ca="1" si="10"/>
        <v>0</v>
      </c>
      <c r="BF8">
        <f t="shared" ca="1" si="10"/>
        <v>8.6999999999999993</v>
      </c>
      <c r="BG8">
        <f t="shared" ca="1" si="10"/>
        <v>148.69999999999999</v>
      </c>
      <c r="BH8">
        <f t="shared" ca="1" si="10"/>
        <v>314.8</v>
      </c>
      <c r="BI8">
        <f t="shared" ca="1" si="10"/>
        <v>590.20000000000005</v>
      </c>
      <c r="BK8">
        <f t="shared" si="18"/>
        <v>2005</v>
      </c>
      <c r="BL8">
        <f t="shared" ca="1" si="11"/>
        <v>620.29999999999995</v>
      </c>
      <c r="BM8">
        <f t="shared" ca="1" si="4"/>
        <v>507.69999999999987</v>
      </c>
      <c r="BN8">
        <f t="shared" ca="1" si="4"/>
        <v>488.8</v>
      </c>
      <c r="BO8">
        <f t="shared" ca="1" si="4"/>
        <v>212.3</v>
      </c>
      <c r="BP8">
        <f t="shared" ca="1" si="4"/>
        <v>99.000000000000014</v>
      </c>
      <c r="BQ8">
        <f t="shared" ca="1" si="4"/>
        <v>0</v>
      </c>
      <c r="BR8">
        <f t="shared" ca="1" si="4"/>
        <v>0</v>
      </c>
      <c r="BS8">
        <f t="shared" ca="1" si="4"/>
        <v>0</v>
      </c>
      <c r="BT8">
        <f t="shared" ca="1" si="4"/>
        <v>4.5</v>
      </c>
      <c r="BU8">
        <f t="shared" ca="1" si="4"/>
        <v>102.80000000000001</v>
      </c>
      <c r="BV8">
        <f t="shared" ca="1" si="4"/>
        <v>256.10000000000002</v>
      </c>
      <c r="BW8">
        <f t="shared" ca="1" si="4"/>
        <v>528.20000000000005</v>
      </c>
      <c r="BY8">
        <f t="shared" si="19"/>
        <v>2005</v>
      </c>
      <c r="BZ8">
        <f t="shared" ca="1" si="12"/>
        <v>558.29999999999984</v>
      </c>
      <c r="CA8">
        <f t="shared" ca="1" si="12"/>
        <v>451.69999999999987</v>
      </c>
      <c r="CB8">
        <f t="shared" ca="1" si="12"/>
        <v>426.80000000000007</v>
      </c>
      <c r="CC8">
        <f t="shared" ca="1" si="12"/>
        <v>156.29999999999998</v>
      </c>
      <c r="CD8">
        <f t="shared" ca="1" si="12"/>
        <v>58.8</v>
      </c>
      <c r="CE8">
        <f t="shared" ca="1" si="12"/>
        <v>0</v>
      </c>
      <c r="CF8">
        <f t="shared" ca="1" si="12"/>
        <v>0</v>
      </c>
      <c r="CG8">
        <f t="shared" ca="1" si="12"/>
        <v>0</v>
      </c>
      <c r="CH8">
        <f t="shared" ca="1" si="12"/>
        <v>0.5</v>
      </c>
      <c r="CI8">
        <f t="shared" ca="1" si="12"/>
        <v>63.500000000000007</v>
      </c>
      <c r="CJ8">
        <f t="shared" ca="1" si="12"/>
        <v>201.89999999999998</v>
      </c>
      <c r="CK8">
        <f t="shared" ca="1" si="12"/>
        <v>466.20000000000005</v>
      </c>
      <c r="CM8">
        <f t="shared" si="20"/>
        <v>2005</v>
      </c>
      <c r="CN8">
        <f t="shared" ca="1" si="13"/>
        <v>496.3</v>
      </c>
      <c r="CO8">
        <f t="shared" ca="1" si="13"/>
        <v>395.69999999999993</v>
      </c>
      <c r="CP8">
        <f t="shared" ca="1" si="13"/>
        <v>365.5</v>
      </c>
      <c r="CQ8">
        <f t="shared" ca="1" si="13"/>
        <v>105.39999999999998</v>
      </c>
      <c r="CR8">
        <f t="shared" ca="1" si="13"/>
        <v>29.9</v>
      </c>
      <c r="CS8">
        <f t="shared" ca="1" si="13"/>
        <v>0</v>
      </c>
      <c r="CT8">
        <f t="shared" ca="1" si="13"/>
        <v>0</v>
      </c>
      <c r="CU8">
        <f t="shared" ca="1" si="13"/>
        <v>0</v>
      </c>
      <c r="CV8">
        <f t="shared" ca="1" si="13"/>
        <v>0</v>
      </c>
      <c r="CW8">
        <f t="shared" ca="1" si="13"/>
        <v>33.599999999999994</v>
      </c>
      <c r="CX8">
        <f t="shared" ca="1" si="13"/>
        <v>155.5</v>
      </c>
      <c r="CY8">
        <f t="shared" ca="1" si="13"/>
        <v>404.20000000000005</v>
      </c>
      <c r="DA8">
        <f t="shared" si="21"/>
        <v>2005</v>
      </c>
      <c r="DB8">
        <f t="shared" ca="1" si="14"/>
        <v>434.3</v>
      </c>
      <c r="DC8">
        <f t="shared" ca="1" si="14"/>
        <v>339.69999999999993</v>
      </c>
      <c r="DD8">
        <f t="shared" ca="1" si="14"/>
        <v>307.10000000000008</v>
      </c>
      <c r="DE8">
        <f t="shared" ca="1" si="14"/>
        <v>58.999999999999993</v>
      </c>
      <c r="DF8">
        <f t="shared" ca="1" si="14"/>
        <v>12.200000000000003</v>
      </c>
      <c r="DG8">
        <f t="shared" ca="1" si="14"/>
        <v>0</v>
      </c>
      <c r="DH8">
        <f t="shared" ca="1" si="14"/>
        <v>0</v>
      </c>
      <c r="DI8">
        <f t="shared" ca="1" si="14"/>
        <v>0</v>
      </c>
      <c r="DJ8">
        <f t="shared" ca="1" si="14"/>
        <v>0</v>
      </c>
      <c r="DK8">
        <f t="shared" ca="1" si="14"/>
        <v>10.7</v>
      </c>
      <c r="DL8">
        <f t="shared" ca="1" si="14"/>
        <v>118</v>
      </c>
      <c r="DM8">
        <f t="shared" ca="1" si="14"/>
        <v>342.2</v>
      </c>
    </row>
    <row r="9" spans="1:124">
      <c r="A9">
        <v>1999</v>
      </c>
      <c r="B9">
        <v>8</v>
      </c>
      <c r="C9">
        <v>37.1</v>
      </c>
      <c r="D9">
        <v>23.7</v>
      </c>
      <c r="E9">
        <v>8.4999999999999982</v>
      </c>
      <c r="F9">
        <v>57.099999999999994</v>
      </c>
      <c r="G9">
        <v>1.5999999999999996</v>
      </c>
      <c r="H9">
        <v>112.2</v>
      </c>
      <c r="I9">
        <v>0</v>
      </c>
      <c r="J9">
        <v>172.6</v>
      </c>
      <c r="K9">
        <v>0</v>
      </c>
      <c r="L9">
        <v>234.60000000000002</v>
      </c>
      <c r="M9">
        <v>0</v>
      </c>
      <c r="N9">
        <v>296.60000000000002</v>
      </c>
      <c r="O9">
        <v>0</v>
      </c>
      <c r="P9">
        <v>358.6</v>
      </c>
      <c r="Q9">
        <v>19.567741935483877</v>
      </c>
      <c r="U9">
        <f t="shared" si="15"/>
        <v>2006</v>
      </c>
      <c r="V9">
        <f t="shared" ca="1" si="8"/>
        <v>589</v>
      </c>
      <c r="W9">
        <f t="shared" ca="1" si="8"/>
        <v>634.39999999999986</v>
      </c>
      <c r="X9">
        <f t="shared" ca="1" si="8"/>
        <v>580.29999999999995</v>
      </c>
      <c r="Y9">
        <f t="shared" ca="1" si="8"/>
        <v>349.7</v>
      </c>
      <c r="Z9">
        <f t="shared" ca="1" si="8"/>
        <v>199.40000000000003</v>
      </c>
      <c r="AA9">
        <f t="shared" ca="1" si="8"/>
        <v>81.100000000000009</v>
      </c>
      <c r="AB9">
        <f t="shared" ca="1" si="8"/>
        <v>9.9999999999999982</v>
      </c>
      <c r="AC9">
        <f t="shared" ca="1" si="8"/>
        <v>32.200000000000003</v>
      </c>
      <c r="AD9">
        <f t="shared" ca="1" si="8"/>
        <v>139</v>
      </c>
      <c r="AE9">
        <f t="shared" ca="1" si="8"/>
        <v>347.49999999999994</v>
      </c>
      <c r="AF9">
        <f t="shared" ca="1" si="8"/>
        <v>432.1</v>
      </c>
      <c r="AG9">
        <f t="shared" ca="1" si="8"/>
        <v>551.70000000000005</v>
      </c>
      <c r="AI9">
        <f t="shared" si="16"/>
        <v>2006</v>
      </c>
      <c r="AJ9">
        <f t="shared" ca="1" si="9"/>
        <v>527</v>
      </c>
      <c r="AK9">
        <f t="shared" ca="1" si="1"/>
        <v>578.4</v>
      </c>
      <c r="AL9">
        <f t="shared" ca="1" si="1"/>
        <v>518.29999999999995</v>
      </c>
      <c r="AM9">
        <f t="shared" ca="1" si="1"/>
        <v>289.7</v>
      </c>
      <c r="AN9">
        <f t="shared" ca="1" si="1"/>
        <v>147.5</v>
      </c>
      <c r="AO9">
        <f t="shared" ca="1" si="1"/>
        <v>43.5</v>
      </c>
      <c r="AP9">
        <f t="shared" ca="1" si="1"/>
        <v>3.4999999999999982</v>
      </c>
      <c r="AQ9">
        <f t="shared" ca="1" si="1"/>
        <v>7.5</v>
      </c>
      <c r="AR9">
        <f t="shared" ca="1" si="1"/>
        <v>85.499999999999986</v>
      </c>
      <c r="AS9">
        <f t="shared" ca="1" si="1"/>
        <v>287.3</v>
      </c>
      <c r="AT9">
        <f t="shared" ca="1" si="1"/>
        <v>372.1</v>
      </c>
      <c r="AU9">
        <f t="shared" ca="1" si="1"/>
        <v>489.69999999999993</v>
      </c>
      <c r="AV9" s="70">
        <f t="shared" ca="1" si="2"/>
        <v>3350</v>
      </c>
      <c r="AW9">
        <f t="shared" si="17"/>
        <v>2006</v>
      </c>
      <c r="AX9">
        <f t="shared" ca="1" si="10"/>
        <v>464.99999999999994</v>
      </c>
      <c r="AY9">
        <f t="shared" ca="1" si="10"/>
        <v>522.4</v>
      </c>
      <c r="AZ9">
        <f t="shared" ca="1" si="10"/>
        <v>456.29999999999995</v>
      </c>
      <c r="BA9">
        <f t="shared" ca="1" si="10"/>
        <v>230.89999999999992</v>
      </c>
      <c r="BB9">
        <f t="shared" ca="1" si="10"/>
        <v>99.7</v>
      </c>
      <c r="BC9">
        <f t="shared" ca="1" si="10"/>
        <v>16.700000000000003</v>
      </c>
      <c r="BD9">
        <f t="shared" ca="1" si="10"/>
        <v>9.9999999999999645E-2</v>
      </c>
      <c r="BE9">
        <f t="shared" ca="1" si="10"/>
        <v>0</v>
      </c>
      <c r="BF9">
        <f t="shared" ca="1" si="10"/>
        <v>41.699999999999996</v>
      </c>
      <c r="BG9">
        <f t="shared" ca="1" si="10"/>
        <v>227.29999999999998</v>
      </c>
      <c r="BH9">
        <f t="shared" ca="1" si="10"/>
        <v>312.10000000000002</v>
      </c>
      <c r="BI9">
        <f t="shared" ca="1" si="10"/>
        <v>427.69999999999987</v>
      </c>
      <c r="BK9">
        <f t="shared" si="18"/>
        <v>2006</v>
      </c>
      <c r="BL9">
        <f t="shared" ca="1" si="11"/>
        <v>402.99999999999994</v>
      </c>
      <c r="BM9">
        <f t="shared" ca="1" si="4"/>
        <v>466.40000000000003</v>
      </c>
      <c r="BN9">
        <f t="shared" ca="1" si="4"/>
        <v>394.29999999999995</v>
      </c>
      <c r="BO9">
        <f t="shared" ca="1" si="4"/>
        <v>178.79999999999993</v>
      </c>
      <c r="BP9">
        <f t="shared" ca="1" si="4"/>
        <v>61.70000000000001</v>
      </c>
      <c r="BQ9">
        <f t="shared" ca="1" si="4"/>
        <v>3.9000000000000004</v>
      </c>
      <c r="BR9">
        <f t="shared" ca="1" si="4"/>
        <v>0</v>
      </c>
      <c r="BS9">
        <f t="shared" ca="1" si="4"/>
        <v>0</v>
      </c>
      <c r="BT9">
        <f t="shared" ca="1" si="4"/>
        <v>18.599999999999998</v>
      </c>
      <c r="BU9">
        <f t="shared" ca="1" si="4"/>
        <v>167.59999999999994</v>
      </c>
      <c r="BV9">
        <f t="shared" ca="1" si="4"/>
        <v>252.29999999999998</v>
      </c>
      <c r="BW9">
        <f t="shared" ca="1" si="4"/>
        <v>365.7</v>
      </c>
      <c r="BY9">
        <f t="shared" si="19"/>
        <v>2006</v>
      </c>
      <c r="BZ9">
        <f t="shared" ca="1" si="12"/>
        <v>341</v>
      </c>
      <c r="CA9">
        <f t="shared" ca="1" si="12"/>
        <v>410.40000000000003</v>
      </c>
      <c r="CB9">
        <f t="shared" ca="1" si="12"/>
        <v>333.49999999999994</v>
      </c>
      <c r="CC9">
        <f t="shared" ca="1" si="12"/>
        <v>130.69999999999996</v>
      </c>
      <c r="CD9">
        <f t="shared" ca="1" si="12"/>
        <v>35.800000000000004</v>
      </c>
      <c r="CE9">
        <f t="shared" ca="1" si="12"/>
        <v>0.19999999999999929</v>
      </c>
      <c r="CF9">
        <f t="shared" ca="1" si="12"/>
        <v>0</v>
      </c>
      <c r="CG9">
        <f t="shared" ca="1" si="12"/>
        <v>0</v>
      </c>
      <c r="CH9">
        <f t="shared" ca="1" si="12"/>
        <v>4.5999999999999996</v>
      </c>
      <c r="CI9">
        <f t="shared" ca="1" si="12"/>
        <v>115.3</v>
      </c>
      <c r="CJ9">
        <f t="shared" ca="1" si="12"/>
        <v>195.50000000000003</v>
      </c>
      <c r="CK9">
        <f t="shared" ca="1" si="12"/>
        <v>303.70000000000005</v>
      </c>
      <c r="CM9">
        <f t="shared" si="20"/>
        <v>2006</v>
      </c>
      <c r="CN9">
        <f t="shared" ca="1" si="13"/>
        <v>279</v>
      </c>
      <c r="CO9">
        <f t="shared" ca="1" si="13"/>
        <v>354.40000000000003</v>
      </c>
      <c r="CP9">
        <f t="shared" ca="1" si="13"/>
        <v>273.79999999999995</v>
      </c>
      <c r="CQ9">
        <f t="shared" ca="1" si="13"/>
        <v>88.799999999999983</v>
      </c>
      <c r="CR9">
        <f t="shared" ca="1" si="13"/>
        <v>14.4</v>
      </c>
      <c r="CS9">
        <f t="shared" ca="1" si="13"/>
        <v>0</v>
      </c>
      <c r="CT9">
        <f t="shared" ca="1" si="13"/>
        <v>0</v>
      </c>
      <c r="CU9">
        <f t="shared" ca="1" si="13"/>
        <v>0</v>
      </c>
      <c r="CV9">
        <f t="shared" ca="1" si="13"/>
        <v>0.59999999999999964</v>
      </c>
      <c r="CW9">
        <f t="shared" ca="1" si="13"/>
        <v>73.5</v>
      </c>
      <c r="CX9">
        <f t="shared" ca="1" si="13"/>
        <v>143.1</v>
      </c>
      <c r="CY9">
        <f t="shared" ca="1" si="13"/>
        <v>241.69999999999996</v>
      </c>
      <c r="DA9">
        <f t="shared" si="21"/>
        <v>2006</v>
      </c>
      <c r="DB9">
        <f t="shared" ca="1" si="14"/>
        <v>216.99999999999997</v>
      </c>
      <c r="DC9">
        <f t="shared" ca="1" si="14"/>
        <v>298.40000000000003</v>
      </c>
      <c r="DD9">
        <f t="shared" ca="1" si="14"/>
        <v>215.79999999999995</v>
      </c>
      <c r="DE9">
        <f t="shared" ca="1" si="14"/>
        <v>52.800000000000004</v>
      </c>
      <c r="DF9">
        <f t="shared" ca="1" si="14"/>
        <v>4.7</v>
      </c>
      <c r="DG9">
        <f t="shared" ca="1" si="14"/>
        <v>0</v>
      </c>
      <c r="DH9">
        <f t="shared" ca="1" si="14"/>
        <v>0</v>
      </c>
      <c r="DI9">
        <f t="shared" ca="1" si="14"/>
        <v>0</v>
      </c>
      <c r="DJ9">
        <f t="shared" ca="1" si="14"/>
        <v>0</v>
      </c>
      <c r="DK9">
        <f t="shared" ca="1" si="14"/>
        <v>38.200000000000003</v>
      </c>
      <c r="DL9">
        <f t="shared" ca="1" si="14"/>
        <v>98.600000000000009</v>
      </c>
      <c r="DM9">
        <f t="shared" ca="1" si="14"/>
        <v>180.29999999999995</v>
      </c>
    </row>
    <row r="10" spans="1:124">
      <c r="A10">
        <v>1999</v>
      </c>
      <c r="B10">
        <v>9</v>
      </c>
      <c r="C10">
        <v>96.100000000000009</v>
      </c>
      <c r="D10">
        <v>15.800000000000004</v>
      </c>
      <c r="E10">
        <v>60.4</v>
      </c>
      <c r="F10">
        <v>40.099999999999994</v>
      </c>
      <c r="G10">
        <v>33.6</v>
      </c>
      <c r="H10">
        <v>73.300000000000011</v>
      </c>
      <c r="I10">
        <v>11.4</v>
      </c>
      <c r="J10">
        <v>111.1</v>
      </c>
      <c r="K10">
        <v>3.4000000000000004</v>
      </c>
      <c r="L10">
        <v>163.1</v>
      </c>
      <c r="M10">
        <v>0</v>
      </c>
      <c r="N10">
        <v>219.7</v>
      </c>
      <c r="O10">
        <v>0</v>
      </c>
      <c r="P10">
        <v>279.7</v>
      </c>
      <c r="Q10">
        <v>17.323333333333331</v>
      </c>
      <c r="U10">
        <f t="shared" si="15"/>
        <v>2007</v>
      </c>
      <c r="V10">
        <f t="shared" ca="1" si="8"/>
        <v>698</v>
      </c>
      <c r="W10">
        <f t="shared" ca="1" si="8"/>
        <v>788.6</v>
      </c>
      <c r="X10">
        <f t="shared" ca="1" si="8"/>
        <v>557.1</v>
      </c>
      <c r="Y10">
        <f t="shared" ca="1" si="8"/>
        <v>419</v>
      </c>
      <c r="Z10">
        <f t="shared" ca="1" si="8"/>
        <v>198.49999999999994</v>
      </c>
      <c r="AA10">
        <f t="shared" ca="1" si="8"/>
        <v>59.8</v>
      </c>
      <c r="AB10">
        <f t="shared" ca="1" si="8"/>
        <v>26.6</v>
      </c>
      <c r="AC10">
        <f t="shared" ca="1" si="8"/>
        <v>29.8</v>
      </c>
      <c r="AD10">
        <f t="shared" ca="1" si="8"/>
        <v>78.700000000000017</v>
      </c>
      <c r="AE10">
        <f t="shared" ca="1" si="8"/>
        <v>183.7</v>
      </c>
      <c r="AF10">
        <f t="shared" ca="1" si="8"/>
        <v>500.10000000000008</v>
      </c>
      <c r="AG10">
        <f t="shared" ca="1" si="8"/>
        <v>683.4</v>
      </c>
      <c r="AI10">
        <f t="shared" si="16"/>
        <v>2007</v>
      </c>
      <c r="AJ10">
        <f t="shared" ca="1" si="9"/>
        <v>636.00000000000011</v>
      </c>
      <c r="AK10">
        <f t="shared" ca="1" si="1"/>
        <v>732.6</v>
      </c>
      <c r="AL10">
        <f t="shared" ca="1" si="1"/>
        <v>495.1</v>
      </c>
      <c r="AM10">
        <f t="shared" ca="1" si="1"/>
        <v>359</v>
      </c>
      <c r="AN10">
        <f t="shared" ca="1" si="1"/>
        <v>146.5</v>
      </c>
      <c r="AO10">
        <f t="shared" ca="1" si="1"/>
        <v>30.000000000000007</v>
      </c>
      <c r="AP10">
        <f t="shared" ca="1" si="1"/>
        <v>10.7</v>
      </c>
      <c r="AQ10">
        <f t="shared" ca="1" si="1"/>
        <v>8.9000000000000021</v>
      </c>
      <c r="AR10">
        <f t="shared" ca="1" si="1"/>
        <v>43.1</v>
      </c>
      <c r="AS10">
        <f t="shared" ca="1" si="1"/>
        <v>132.5</v>
      </c>
      <c r="AT10">
        <f t="shared" ca="1" si="1"/>
        <v>440.1</v>
      </c>
      <c r="AU10">
        <f t="shared" ca="1" si="1"/>
        <v>621.4</v>
      </c>
      <c r="AV10" s="70">
        <f t="shared" ca="1" si="2"/>
        <v>3655.9</v>
      </c>
      <c r="AW10">
        <f t="shared" si="17"/>
        <v>2007</v>
      </c>
      <c r="AX10">
        <f t="shared" ca="1" si="10"/>
        <v>574</v>
      </c>
      <c r="AY10">
        <f t="shared" ca="1" si="10"/>
        <v>676.6</v>
      </c>
      <c r="AZ10">
        <f t="shared" ca="1" si="10"/>
        <v>433.59999999999997</v>
      </c>
      <c r="BA10">
        <f t="shared" ca="1" si="10"/>
        <v>299</v>
      </c>
      <c r="BB10">
        <f t="shared" ca="1" si="10"/>
        <v>102.5</v>
      </c>
      <c r="BC10">
        <f t="shared" ca="1" si="10"/>
        <v>12.100000000000001</v>
      </c>
      <c r="BD10">
        <f t="shared" ca="1" si="10"/>
        <v>3.5</v>
      </c>
      <c r="BE10">
        <f t="shared" ca="1" si="10"/>
        <v>1.8000000000000007</v>
      </c>
      <c r="BF10">
        <f t="shared" ca="1" si="10"/>
        <v>18.399999999999999</v>
      </c>
      <c r="BG10">
        <f t="shared" ca="1" si="10"/>
        <v>95.199999999999989</v>
      </c>
      <c r="BH10">
        <f t="shared" ca="1" si="10"/>
        <v>380.09999999999997</v>
      </c>
      <c r="BI10">
        <f t="shared" ca="1" si="10"/>
        <v>559.4</v>
      </c>
      <c r="BK10">
        <f t="shared" si="18"/>
        <v>2007</v>
      </c>
      <c r="BL10">
        <f t="shared" ca="1" si="11"/>
        <v>511.99999999999989</v>
      </c>
      <c r="BM10">
        <f t="shared" ca="1" si="4"/>
        <v>620.6</v>
      </c>
      <c r="BN10">
        <f t="shared" ca="1" si="4"/>
        <v>373.59999999999997</v>
      </c>
      <c r="BO10">
        <f t="shared" ca="1" si="4"/>
        <v>241.89999999999995</v>
      </c>
      <c r="BP10">
        <f t="shared" ca="1" si="4"/>
        <v>64.599999999999994</v>
      </c>
      <c r="BQ10">
        <f t="shared" ca="1" si="4"/>
        <v>5.1999999999999993</v>
      </c>
      <c r="BR10">
        <f t="shared" ca="1" si="4"/>
        <v>0</v>
      </c>
      <c r="BS10">
        <f t="shared" ca="1" si="4"/>
        <v>0</v>
      </c>
      <c r="BT10">
        <f t="shared" ca="1" si="4"/>
        <v>7.6000000000000014</v>
      </c>
      <c r="BU10">
        <f t="shared" ca="1" si="4"/>
        <v>63.699999999999989</v>
      </c>
      <c r="BV10">
        <f t="shared" ca="1" si="4"/>
        <v>320.09999999999997</v>
      </c>
      <c r="BW10">
        <f t="shared" ca="1" si="4"/>
        <v>497.4</v>
      </c>
      <c r="BY10">
        <f t="shared" si="19"/>
        <v>2007</v>
      </c>
      <c r="BZ10">
        <f t="shared" ca="1" si="12"/>
        <v>449.99999999999994</v>
      </c>
      <c r="CA10">
        <f t="shared" ca="1" si="12"/>
        <v>564.6</v>
      </c>
      <c r="CB10">
        <f t="shared" ca="1" si="12"/>
        <v>313.59999999999991</v>
      </c>
      <c r="CC10">
        <f t="shared" ca="1" si="12"/>
        <v>189.29999999999995</v>
      </c>
      <c r="CD10">
        <f t="shared" ca="1" si="12"/>
        <v>34.699999999999989</v>
      </c>
      <c r="CE10">
        <f t="shared" ca="1" si="12"/>
        <v>2</v>
      </c>
      <c r="CF10">
        <f t="shared" ca="1" si="12"/>
        <v>0</v>
      </c>
      <c r="CG10">
        <f t="shared" ca="1" si="12"/>
        <v>0</v>
      </c>
      <c r="CH10">
        <f t="shared" ca="1" si="12"/>
        <v>2.8000000000000007</v>
      </c>
      <c r="CI10">
        <f t="shared" ca="1" si="12"/>
        <v>36.099999999999994</v>
      </c>
      <c r="CJ10">
        <f t="shared" ca="1" si="12"/>
        <v>260.09999999999997</v>
      </c>
      <c r="CK10">
        <f t="shared" ca="1" si="12"/>
        <v>435.40000000000003</v>
      </c>
      <c r="CM10">
        <f t="shared" si="20"/>
        <v>2007</v>
      </c>
      <c r="CN10">
        <f t="shared" ca="1" si="13"/>
        <v>387.99999999999994</v>
      </c>
      <c r="CO10">
        <f t="shared" ca="1" si="13"/>
        <v>508.59999999999991</v>
      </c>
      <c r="CP10">
        <f t="shared" ca="1" si="13"/>
        <v>256.09999999999997</v>
      </c>
      <c r="CQ10">
        <f t="shared" ca="1" si="13"/>
        <v>142.69999999999999</v>
      </c>
      <c r="CR10">
        <f t="shared" ca="1" si="13"/>
        <v>11.7</v>
      </c>
      <c r="CS10">
        <f t="shared" ca="1" si="13"/>
        <v>0</v>
      </c>
      <c r="CT10">
        <f t="shared" ca="1" si="13"/>
        <v>0</v>
      </c>
      <c r="CU10">
        <f t="shared" ca="1" si="13"/>
        <v>0</v>
      </c>
      <c r="CV10">
        <f t="shared" ca="1" si="13"/>
        <v>0</v>
      </c>
      <c r="CW10">
        <f t="shared" ca="1" si="13"/>
        <v>12.100000000000001</v>
      </c>
      <c r="CX10">
        <f t="shared" ca="1" si="13"/>
        <v>200.89999999999998</v>
      </c>
      <c r="CY10">
        <f t="shared" ca="1" si="13"/>
        <v>373.4</v>
      </c>
      <c r="DA10">
        <f t="shared" si="21"/>
        <v>2007</v>
      </c>
      <c r="DB10">
        <f t="shared" ca="1" si="14"/>
        <v>326.89999999999992</v>
      </c>
      <c r="DC10">
        <f t="shared" ca="1" si="14"/>
        <v>452.59999999999991</v>
      </c>
      <c r="DD10">
        <f t="shared" ca="1" si="14"/>
        <v>201.09999999999997</v>
      </c>
      <c r="DE10">
        <f t="shared" ca="1" si="14"/>
        <v>101.90000000000002</v>
      </c>
      <c r="DF10">
        <f t="shared" ca="1" si="14"/>
        <v>9.9999999999999645E-2</v>
      </c>
      <c r="DG10">
        <f t="shared" ca="1" si="14"/>
        <v>0</v>
      </c>
      <c r="DH10">
        <f t="shared" ca="1" si="14"/>
        <v>0</v>
      </c>
      <c r="DI10">
        <f t="shared" ca="1" si="14"/>
        <v>0</v>
      </c>
      <c r="DJ10">
        <f t="shared" ca="1" si="14"/>
        <v>0</v>
      </c>
      <c r="DK10">
        <f t="shared" ca="1" si="14"/>
        <v>3</v>
      </c>
      <c r="DL10">
        <f t="shared" ca="1" si="14"/>
        <v>146.80000000000001</v>
      </c>
      <c r="DM10">
        <f t="shared" ca="1" si="14"/>
        <v>311.40000000000003</v>
      </c>
    </row>
    <row r="11" spans="1:124">
      <c r="A11">
        <v>1999</v>
      </c>
      <c r="B11">
        <v>10</v>
      </c>
      <c r="C11">
        <v>315.2</v>
      </c>
      <c r="D11">
        <v>0</v>
      </c>
      <c r="E11">
        <v>253.2</v>
      </c>
      <c r="F11">
        <v>0</v>
      </c>
      <c r="G11">
        <v>194.49999999999997</v>
      </c>
      <c r="H11">
        <v>3.2999999999999972</v>
      </c>
      <c r="I11">
        <v>138.49999999999997</v>
      </c>
      <c r="J11">
        <v>9.2999999999999972</v>
      </c>
      <c r="K11">
        <v>86.399999999999991</v>
      </c>
      <c r="L11">
        <v>19.199999999999996</v>
      </c>
      <c r="M11">
        <v>45.1</v>
      </c>
      <c r="N11">
        <v>39.9</v>
      </c>
      <c r="O11">
        <v>15.799999999999999</v>
      </c>
      <c r="P11">
        <v>72.599999999999994</v>
      </c>
      <c r="Q11">
        <v>9.832258064516127</v>
      </c>
      <c r="U11">
        <f t="shared" si="15"/>
        <v>2008</v>
      </c>
      <c r="V11">
        <f t="shared" ca="1" si="8"/>
        <v>679.7</v>
      </c>
      <c r="W11">
        <f t="shared" ca="1" si="8"/>
        <v>740.2</v>
      </c>
      <c r="X11">
        <f t="shared" ca="1" si="8"/>
        <v>657.89999999999986</v>
      </c>
      <c r="Y11">
        <f t="shared" ca="1" si="8"/>
        <v>325.60000000000002</v>
      </c>
      <c r="Z11">
        <f t="shared" ca="1" si="8"/>
        <v>270.10000000000002</v>
      </c>
      <c r="AA11">
        <f t="shared" ca="1" si="8"/>
        <v>50.599999999999994</v>
      </c>
      <c r="AB11">
        <f t="shared" ca="1" si="8"/>
        <v>18.3</v>
      </c>
      <c r="AC11">
        <f t="shared" ca="1" si="8"/>
        <v>37.200000000000003</v>
      </c>
      <c r="AD11">
        <f t="shared" ca="1" si="8"/>
        <v>85.499999999999986</v>
      </c>
      <c r="AE11">
        <f t="shared" ca="1" si="8"/>
        <v>324.59999999999997</v>
      </c>
      <c r="AF11">
        <f t="shared" ca="1" si="8"/>
        <v>504.7999999999999</v>
      </c>
      <c r="AG11">
        <f t="shared" ca="1" si="8"/>
        <v>715.90000000000009</v>
      </c>
      <c r="AI11">
        <f t="shared" si="16"/>
        <v>2008</v>
      </c>
      <c r="AJ11">
        <f t="shared" ca="1" si="9"/>
        <v>617.70000000000005</v>
      </c>
      <c r="AK11">
        <f t="shared" ca="1" si="1"/>
        <v>682.2</v>
      </c>
      <c r="AL11">
        <f t="shared" ca="1" si="1"/>
        <v>595.9</v>
      </c>
      <c r="AM11">
        <f t="shared" ca="1" si="1"/>
        <v>266</v>
      </c>
      <c r="AN11">
        <f t="shared" ca="1" si="1"/>
        <v>209.3</v>
      </c>
      <c r="AO11">
        <f t="shared" ca="1" si="1"/>
        <v>26.2</v>
      </c>
      <c r="AP11">
        <f t="shared" ca="1" si="1"/>
        <v>6.7999999999999989</v>
      </c>
      <c r="AQ11">
        <f t="shared" ca="1" si="1"/>
        <v>12.500000000000004</v>
      </c>
      <c r="AR11">
        <f t="shared" ca="1" si="1"/>
        <v>44.5</v>
      </c>
      <c r="AS11">
        <f t="shared" ca="1" si="1"/>
        <v>263.2</v>
      </c>
      <c r="AT11">
        <f t="shared" ca="1" si="1"/>
        <v>444.7999999999999</v>
      </c>
      <c r="AU11">
        <f t="shared" ca="1" si="1"/>
        <v>653.90000000000009</v>
      </c>
      <c r="AV11" s="70">
        <f t="shared" ca="1" si="2"/>
        <v>3823</v>
      </c>
      <c r="AW11">
        <f t="shared" si="17"/>
        <v>2008</v>
      </c>
      <c r="AX11">
        <f t="shared" ca="1" si="10"/>
        <v>555.70000000000005</v>
      </c>
      <c r="AY11">
        <f t="shared" ca="1" si="10"/>
        <v>624.20000000000016</v>
      </c>
      <c r="AZ11">
        <f t="shared" ca="1" si="10"/>
        <v>533.9</v>
      </c>
      <c r="BA11">
        <f t="shared" ca="1" si="10"/>
        <v>211.19999999999996</v>
      </c>
      <c r="BB11">
        <f t="shared" ca="1" si="10"/>
        <v>152.5</v>
      </c>
      <c r="BC11">
        <f t="shared" ca="1" si="10"/>
        <v>7.8000000000000007</v>
      </c>
      <c r="BD11">
        <f t="shared" ca="1" si="10"/>
        <v>1.0999999999999996</v>
      </c>
      <c r="BE11">
        <f t="shared" ca="1" si="10"/>
        <v>0.60000000000000142</v>
      </c>
      <c r="BF11">
        <f t="shared" ca="1" si="10"/>
        <v>14.099999999999998</v>
      </c>
      <c r="BG11">
        <f t="shared" ca="1" si="10"/>
        <v>205.20000000000002</v>
      </c>
      <c r="BH11">
        <f t="shared" ca="1" si="10"/>
        <v>384.79999999999995</v>
      </c>
      <c r="BI11">
        <f t="shared" ca="1" si="10"/>
        <v>591.9</v>
      </c>
      <c r="BK11">
        <f t="shared" si="18"/>
        <v>2008</v>
      </c>
      <c r="BL11">
        <f t="shared" ca="1" si="11"/>
        <v>493.70000000000005</v>
      </c>
      <c r="BM11">
        <f t="shared" ca="1" si="4"/>
        <v>566.20000000000016</v>
      </c>
      <c r="BN11">
        <f t="shared" ca="1" si="4"/>
        <v>471.89999999999992</v>
      </c>
      <c r="BO11">
        <f t="shared" ca="1" si="4"/>
        <v>160.9</v>
      </c>
      <c r="BP11">
        <f t="shared" ca="1" si="4"/>
        <v>99.600000000000037</v>
      </c>
      <c r="BQ11">
        <f t="shared" ca="1" si="4"/>
        <v>1.4000000000000004</v>
      </c>
      <c r="BR11">
        <f t="shared" ca="1" si="4"/>
        <v>0</v>
      </c>
      <c r="BS11">
        <f t="shared" ca="1" si="4"/>
        <v>0</v>
      </c>
      <c r="BT11">
        <f t="shared" ca="1" si="4"/>
        <v>1</v>
      </c>
      <c r="BU11">
        <f t="shared" ca="1" si="4"/>
        <v>149.10000000000002</v>
      </c>
      <c r="BV11">
        <f t="shared" ca="1" si="4"/>
        <v>325.09999999999997</v>
      </c>
      <c r="BW11">
        <f t="shared" ca="1" si="4"/>
        <v>529.9</v>
      </c>
      <c r="BY11">
        <f t="shared" si="19"/>
        <v>2008</v>
      </c>
      <c r="BZ11">
        <f t="shared" ca="1" si="12"/>
        <v>432.2</v>
      </c>
      <c r="CA11">
        <f t="shared" ca="1" si="12"/>
        <v>508.20000000000005</v>
      </c>
      <c r="CB11">
        <f t="shared" ca="1" si="12"/>
        <v>409.89999999999992</v>
      </c>
      <c r="CC11">
        <f t="shared" ca="1" si="12"/>
        <v>119.1</v>
      </c>
      <c r="CD11">
        <f t="shared" ca="1" si="12"/>
        <v>54</v>
      </c>
      <c r="CE11">
        <f t="shared" ca="1" si="12"/>
        <v>0</v>
      </c>
      <c r="CF11">
        <f t="shared" ca="1" si="12"/>
        <v>0</v>
      </c>
      <c r="CG11">
        <f t="shared" ca="1" si="12"/>
        <v>0</v>
      </c>
      <c r="CH11">
        <f t="shared" ca="1" si="12"/>
        <v>0</v>
      </c>
      <c r="CI11">
        <f t="shared" ca="1" si="12"/>
        <v>97.8</v>
      </c>
      <c r="CJ11">
        <f t="shared" ca="1" si="12"/>
        <v>270.10000000000002</v>
      </c>
      <c r="CK11">
        <f t="shared" ca="1" si="12"/>
        <v>467.9</v>
      </c>
      <c r="CM11">
        <f t="shared" si="20"/>
        <v>2008</v>
      </c>
      <c r="CN11">
        <f t="shared" ca="1" si="13"/>
        <v>374.2</v>
      </c>
      <c r="CO11">
        <f t="shared" ca="1" si="13"/>
        <v>450.2</v>
      </c>
      <c r="CP11">
        <f t="shared" ca="1" si="13"/>
        <v>347.89999999999992</v>
      </c>
      <c r="CQ11">
        <f t="shared" ca="1" si="13"/>
        <v>82.899999999999991</v>
      </c>
      <c r="CR11">
        <f t="shared" ca="1" si="13"/>
        <v>19.8</v>
      </c>
      <c r="CS11">
        <f t="shared" ca="1" si="13"/>
        <v>0</v>
      </c>
      <c r="CT11">
        <f t="shared" ca="1" si="13"/>
        <v>0</v>
      </c>
      <c r="CU11">
        <f t="shared" ca="1" si="13"/>
        <v>0</v>
      </c>
      <c r="CV11">
        <f t="shared" ca="1" si="13"/>
        <v>0</v>
      </c>
      <c r="CW11">
        <f t="shared" ca="1" si="13"/>
        <v>54.79999999999999</v>
      </c>
      <c r="CX11">
        <f t="shared" ca="1" si="13"/>
        <v>219.89999999999998</v>
      </c>
      <c r="CY11">
        <f t="shared" ca="1" si="13"/>
        <v>405.9</v>
      </c>
      <c r="DA11">
        <f t="shared" si="21"/>
        <v>2008</v>
      </c>
      <c r="DB11">
        <f t="shared" ca="1" si="14"/>
        <v>316.2</v>
      </c>
      <c r="DC11">
        <f t="shared" ca="1" si="14"/>
        <v>392.20000000000005</v>
      </c>
      <c r="DD11">
        <f t="shared" ca="1" si="14"/>
        <v>287.5</v>
      </c>
      <c r="DE11">
        <f t="shared" ca="1" si="14"/>
        <v>52.699999999999996</v>
      </c>
      <c r="DF11">
        <f t="shared" ca="1" si="14"/>
        <v>1.7999999999999998</v>
      </c>
      <c r="DG11">
        <f t="shared" ca="1" si="14"/>
        <v>0</v>
      </c>
      <c r="DH11">
        <f t="shared" ca="1" si="14"/>
        <v>0</v>
      </c>
      <c r="DI11">
        <f t="shared" ca="1" si="14"/>
        <v>0</v>
      </c>
      <c r="DJ11">
        <f t="shared" ca="1" si="14"/>
        <v>0</v>
      </c>
      <c r="DK11">
        <f t="shared" ca="1" si="14"/>
        <v>25.3</v>
      </c>
      <c r="DL11">
        <f t="shared" ca="1" si="14"/>
        <v>173.59999999999997</v>
      </c>
      <c r="DM11">
        <f t="shared" ca="1" si="14"/>
        <v>344.90000000000003</v>
      </c>
    </row>
    <row r="12" spans="1:124">
      <c r="A12">
        <v>1999</v>
      </c>
      <c r="B12">
        <v>11</v>
      </c>
      <c r="C12">
        <v>413.39999999999992</v>
      </c>
      <c r="D12">
        <v>0</v>
      </c>
      <c r="E12">
        <v>353.39999999999992</v>
      </c>
      <c r="F12">
        <v>0</v>
      </c>
      <c r="G12">
        <v>293.39999999999998</v>
      </c>
      <c r="H12">
        <v>0</v>
      </c>
      <c r="I12">
        <v>234.49999999999997</v>
      </c>
      <c r="J12">
        <v>1.0999999999999996</v>
      </c>
      <c r="K12">
        <v>178.89999999999998</v>
      </c>
      <c r="L12">
        <v>5.4999999999999982</v>
      </c>
      <c r="M12">
        <v>130.5</v>
      </c>
      <c r="N12">
        <v>17.099999999999998</v>
      </c>
      <c r="O12">
        <v>88.9</v>
      </c>
      <c r="P12">
        <v>35.499999999999993</v>
      </c>
      <c r="Q12">
        <v>6.22</v>
      </c>
      <c r="U12">
        <f t="shared" si="15"/>
        <v>2009</v>
      </c>
      <c r="V12">
        <f t="shared" ca="1" si="8"/>
        <v>899.59999999999991</v>
      </c>
      <c r="W12">
        <f t="shared" ca="1" si="8"/>
        <v>642.59999999999991</v>
      </c>
      <c r="X12">
        <f t="shared" ca="1" si="8"/>
        <v>575.5</v>
      </c>
      <c r="Y12">
        <f t="shared" ca="1" si="8"/>
        <v>364.49999999999994</v>
      </c>
      <c r="Z12">
        <f t="shared" ca="1" si="8"/>
        <v>224.29999999999995</v>
      </c>
      <c r="AA12">
        <f t="shared" ca="1" si="8"/>
        <v>115.69999999999999</v>
      </c>
      <c r="AB12">
        <f t="shared" ca="1" si="8"/>
        <v>39.799999999999997</v>
      </c>
      <c r="AC12">
        <f t="shared" ca="1" si="8"/>
        <v>37.900000000000006</v>
      </c>
      <c r="AD12">
        <f t="shared" ca="1" si="8"/>
        <v>124.1</v>
      </c>
      <c r="AE12">
        <f t="shared" ca="1" si="8"/>
        <v>332.59999999999991</v>
      </c>
      <c r="AF12">
        <f t="shared" ca="1" si="8"/>
        <v>405.99999999999994</v>
      </c>
      <c r="AG12">
        <f t="shared" ca="1" si="8"/>
        <v>678.3</v>
      </c>
      <c r="AI12">
        <f t="shared" si="16"/>
        <v>2009</v>
      </c>
      <c r="AJ12">
        <f t="shared" ca="1" si="9"/>
        <v>837.59999999999991</v>
      </c>
      <c r="AK12">
        <f t="shared" ca="1" si="1"/>
        <v>586.59999999999991</v>
      </c>
      <c r="AL12">
        <f t="shared" ca="1" si="1"/>
        <v>513.50000000000011</v>
      </c>
      <c r="AM12">
        <f t="shared" ca="1" si="1"/>
        <v>306.49999999999994</v>
      </c>
      <c r="AN12">
        <f t="shared" ca="1" si="1"/>
        <v>164.49999999999997</v>
      </c>
      <c r="AO12">
        <f t="shared" ca="1" si="1"/>
        <v>71.599999999999994</v>
      </c>
      <c r="AP12">
        <f t="shared" ca="1" si="1"/>
        <v>8.9999999999999982</v>
      </c>
      <c r="AQ12">
        <f t="shared" ca="1" si="1"/>
        <v>14.200000000000003</v>
      </c>
      <c r="AR12">
        <f t="shared" ca="1" si="1"/>
        <v>75.5</v>
      </c>
      <c r="AS12">
        <f t="shared" ca="1" si="1"/>
        <v>270.59999999999991</v>
      </c>
      <c r="AT12">
        <f t="shared" ca="1" si="1"/>
        <v>345.99999999999994</v>
      </c>
      <c r="AU12">
        <f t="shared" ca="1" si="1"/>
        <v>616.29999999999995</v>
      </c>
      <c r="AV12" s="70">
        <f t="shared" ca="1" si="2"/>
        <v>3811.8999999999996</v>
      </c>
      <c r="AW12">
        <f t="shared" si="17"/>
        <v>2009</v>
      </c>
      <c r="AX12">
        <f t="shared" ca="1" si="10"/>
        <v>775.59999999999991</v>
      </c>
      <c r="AY12">
        <f t="shared" ca="1" si="10"/>
        <v>530.59999999999991</v>
      </c>
      <c r="AZ12">
        <f t="shared" ca="1" si="10"/>
        <v>451.50000000000006</v>
      </c>
      <c r="BA12">
        <f t="shared" ca="1" si="10"/>
        <v>250.09999999999997</v>
      </c>
      <c r="BB12">
        <f t="shared" ca="1" si="10"/>
        <v>113.29999999999998</v>
      </c>
      <c r="BC12">
        <f t="shared" ca="1" si="10"/>
        <v>36.800000000000004</v>
      </c>
      <c r="BD12">
        <f t="shared" ca="1" si="10"/>
        <v>9.9999999999999645E-2</v>
      </c>
      <c r="BE12">
        <f t="shared" ca="1" si="10"/>
        <v>5.3000000000000007</v>
      </c>
      <c r="BF12">
        <f t="shared" ca="1" si="10"/>
        <v>37</v>
      </c>
      <c r="BG12">
        <f t="shared" ca="1" si="10"/>
        <v>208.89999999999998</v>
      </c>
      <c r="BH12">
        <f t="shared" ca="1" si="10"/>
        <v>285.99999999999994</v>
      </c>
      <c r="BI12">
        <f t="shared" ca="1" si="10"/>
        <v>554.29999999999995</v>
      </c>
      <c r="BK12">
        <f t="shared" si="18"/>
        <v>2009</v>
      </c>
      <c r="BL12">
        <f t="shared" ca="1" si="11"/>
        <v>713.59999999999991</v>
      </c>
      <c r="BM12">
        <f t="shared" ca="1" si="4"/>
        <v>474.59999999999991</v>
      </c>
      <c r="BN12">
        <f t="shared" ca="1" si="4"/>
        <v>389.5</v>
      </c>
      <c r="BO12">
        <f t="shared" ca="1" si="4"/>
        <v>196.29999999999998</v>
      </c>
      <c r="BP12">
        <f t="shared" ca="1" si="4"/>
        <v>68.900000000000006</v>
      </c>
      <c r="BQ12">
        <f t="shared" ca="1" si="4"/>
        <v>17</v>
      </c>
      <c r="BR12">
        <f t="shared" ca="1" si="4"/>
        <v>0</v>
      </c>
      <c r="BS12">
        <f t="shared" ca="1" si="4"/>
        <v>1.2000000000000011</v>
      </c>
      <c r="BT12">
        <f t="shared" ca="1" si="4"/>
        <v>13.899999999999999</v>
      </c>
      <c r="BU12">
        <f t="shared" ca="1" si="4"/>
        <v>149.29999999999998</v>
      </c>
      <c r="BV12">
        <f t="shared" ca="1" si="4"/>
        <v>225.99999999999997</v>
      </c>
      <c r="BW12">
        <f t="shared" ca="1" si="4"/>
        <v>492.3</v>
      </c>
      <c r="BY12">
        <f t="shared" si="19"/>
        <v>2009</v>
      </c>
      <c r="BZ12">
        <f t="shared" ca="1" si="12"/>
        <v>651.59999999999991</v>
      </c>
      <c r="CA12">
        <f t="shared" ca="1" si="12"/>
        <v>418.59999999999991</v>
      </c>
      <c r="CB12">
        <f t="shared" ca="1" si="12"/>
        <v>327.5</v>
      </c>
      <c r="CC12">
        <f t="shared" ca="1" si="12"/>
        <v>147.4</v>
      </c>
      <c r="CD12">
        <f t="shared" ca="1" si="12"/>
        <v>32.400000000000006</v>
      </c>
      <c r="CE12">
        <f t="shared" ca="1" si="12"/>
        <v>7.2000000000000011</v>
      </c>
      <c r="CF12">
        <f t="shared" ca="1" si="12"/>
        <v>0</v>
      </c>
      <c r="CG12">
        <f t="shared" ca="1" si="12"/>
        <v>0</v>
      </c>
      <c r="CH12">
        <f t="shared" ca="1" si="12"/>
        <v>6.2</v>
      </c>
      <c r="CI12">
        <f t="shared" ca="1" si="12"/>
        <v>93.09999999999998</v>
      </c>
      <c r="CJ12">
        <f t="shared" ca="1" si="12"/>
        <v>167.5</v>
      </c>
      <c r="CK12">
        <f t="shared" ca="1" si="12"/>
        <v>430.30000000000007</v>
      </c>
      <c r="CM12">
        <f t="shared" si="20"/>
        <v>2009</v>
      </c>
      <c r="CN12">
        <f t="shared" ca="1" si="13"/>
        <v>589.59999999999991</v>
      </c>
      <c r="CO12">
        <f t="shared" ca="1" si="13"/>
        <v>362.59999999999991</v>
      </c>
      <c r="CP12">
        <f t="shared" ca="1" si="13"/>
        <v>265.49999999999994</v>
      </c>
      <c r="CQ12">
        <f t="shared" ca="1" si="13"/>
        <v>102.10000000000001</v>
      </c>
      <c r="CR12">
        <f t="shared" ca="1" si="13"/>
        <v>9.9999999999999982</v>
      </c>
      <c r="CS12">
        <f t="shared" ca="1" si="13"/>
        <v>1.3000000000000007</v>
      </c>
      <c r="CT12">
        <f t="shared" ca="1" si="13"/>
        <v>0</v>
      </c>
      <c r="CU12">
        <f t="shared" ca="1" si="13"/>
        <v>0</v>
      </c>
      <c r="CV12">
        <f t="shared" ca="1" si="13"/>
        <v>2.8</v>
      </c>
      <c r="CW12">
        <f t="shared" ca="1" si="13"/>
        <v>50.9</v>
      </c>
      <c r="CX12">
        <f t="shared" ca="1" si="13"/>
        <v>113.40000000000002</v>
      </c>
      <c r="CY12">
        <f t="shared" ca="1" si="13"/>
        <v>368.3</v>
      </c>
      <c r="DA12">
        <f t="shared" si="21"/>
        <v>2009</v>
      </c>
      <c r="DB12">
        <f t="shared" ca="1" si="14"/>
        <v>527.59999999999991</v>
      </c>
      <c r="DC12">
        <f t="shared" ca="1" si="14"/>
        <v>306.89999999999998</v>
      </c>
      <c r="DD12">
        <f t="shared" ca="1" si="14"/>
        <v>205.89999999999998</v>
      </c>
      <c r="DE12">
        <f t="shared" ca="1" si="14"/>
        <v>63.900000000000006</v>
      </c>
      <c r="DF12">
        <f t="shared" ca="1" si="14"/>
        <v>1.1999999999999993</v>
      </c>
      <c r="DG12">
        <f t="shared" ca="1" si="14"/>
        <v>0</v>
      </c>
      <c r="DH12">
        <f t="shared" ca="1" si="14"/>
        <v>0</v>
      </c>
      <c r="DI12">
        <f t="shared" ca="1" si="14"/>
        <v>0</v>
      </c>
      <c r="DJ12">
        <f t="shared" ca="1" si="14"/>
        <v>0.79999999999999982</v>
      </c>
      <c r="DK12">
        <f t="shared" ca="1" si="14"/>
        <v>26.6</v>
      </c>
      <c r="DL12">
        <f t="shared" ca="1" si="14"/>
        <v>64.800000000000011</v>
      </c>
      <c r="DM12">
        <f t="shared" ca="1" si="14"/>
        <v>306.29999999999995</v>
      </c>
    </row>
    <row r="13" spans="1:124">
      <c r="A13">
        <v>1999</v>
      </c>
      <c r="B13">
        <v>12</v>
      </c>
      <c r="C13">
        <v>642.1</v>
      </c>
      <c r="D13">
        <v>0</v>
      </c>
      <c r="E13">
        <v>580.1</v>
      </c>
      <c r="F13">
        <v>0</v>
      </c>
      <c r="G13">
        <v>518.09999999999991</v>
      </c>
      <c r="H13">
        <v>0</v>
      </c>
      <c r="I13">
        <v>456.09999999999991</v>
      </c>
      <c r="J13">
        <v>0</v>
      </c>
      <c r="K13">
        <v>394.09999999999997</v>
      </c>
      <c r="L13">
        <v>0</v>
      </c>
      <c r="M13">
        <v>333.4</v>
      </c>
      <c r="N13">
        <v>1.2999999999999989</v>
      </c>
      <c r="O13">
        <v>275.39999999999998</v>
      </c>
      <c r="P13">
        <v>5.2999999999999989</v>
      </c>
      <c r="Q13">
        <v>-0.71290322580645149</v>
      </c>
      <c r="U13">
        <f t="shared" si="15"/>
        <v>2010</v>
      </c>
      <c r="V13">
        <f t="shared" ca="1" si="8"/>
        <v>763.20000000000027</v>
      </c>
      <c r="W13">
        <f t="shared" ca="1" si="8"/>
        <v>654.70000000000005</v>
      </c>
      <c r="X13">
        <f t="shared" ca="1" si="8"/>
        <v>515.09999999999991</v>
      </c>
      <c r="Y13">
        <f t="shared" ca="1" si="8"/>
        <v>306.10000000000002</v>
      </c>
      <c r="Z13">
        <f t="shared" ca="1" si="8"/>
        <v>157.79999999999998</v>
      </c>
      <c r="AA13">
        <f t="shared" ca="1" si="8"/>
        <v>46.699999999999989</v>
      </c>
      <c r="AB13">
        <f t="shared" ca="1" si="8"/>
        <v>10.399999999999997</v>
      </c>
      <c r="AC13">
        <f t="shared" ca="1" si="8"/>
        <v>9.4000000000000021</v>
      </c>
      <c r="AD13">
        <f t="shared" ca="1" si="8"/>
        <v>117.4</v>
      </c>
      <c r="AE13">
        <f t="shared" ca="1" si="8"/>
        <v>259.09999999999997</v>
      </c>
      <c r="AF13">
        <f t="shared" ca="1" si="8"/>
        <v>464.3</v>
      </c>
      <c r="AG13">
        <f t="shared" ca="1" si="8"/>
        <v>728.89999999999986</v>
      </c>
      <c r="AI13">
        <f t="shared" si="16"/>
        <v>2010</v>
      </c>
      <c r="AJ13">
        <f t="shared" ca="1" si="9"/>
        <v>701.20000000000027</v>
      </c>
      <c r="AK13">
        <f t="shared" ca="1" si="1"/>
        <v>598.69999999999993</v>
      </c>
      <c r="AL13">
        <f t="shared" ca="1" si="1"/>
        <v>453.09999999999997</v>
      </c>
      <c r="AM13">
        <f t="shared" ca="1" si="1"/>
        <v>247.29999999999995</v>
      </c>
      <c r="AN13">
        <f t="shared" ca="1" si="1"/>
        <v>113.30000000000001</v>
      </c>
      <c r="AO13">
        <f t="shared" ca="1" si="1"/>
        <v>23.099999999999998</v>
      </c>
      <c r="AP13">
        <f t="shared" ca="1" si="1"/>
        <v>3.9000000000000004</v>
      </c>
      <c r="AQ13">
        <f t="shared" ca="1" si="1"/>
        <v>1.9000000000000021</v>
      </c>
      <c r="AR13">
        <f t="shared" ca="1" si="1"/>
        <v>70.8</v>
      </c>
      <c r="AS13">
        <f t="shared" ca="1" si="1"/>
        <v>197.1</v>
      </c>
      <c r="AT13">
        <f t="shared" ca="1" si="1"/>
        <v>404.29999999999995</v>
      </c>
      <c r="AU13">
        <f t="shared" ca="1" si="1"/>
        <v>666.89999999999986</v>
      </c>
      <c r="AV13" s="70">
        <f t="shared" ca="1" si="2"/>
        <v>3481.5999999999995</v>
      </c>
      <c r="AW13">
        <f t="shared" si="17"/>
        <v>2010</v>
      </c>
      <c r="AX13">
        <f t="shared" ca="1" si="10"/>
        <v>639.20000000000027</v>
      </c>
      <c r="AY13">
        <f t="shared" ca="1" si="10"/>
        <v>542.69999999999993</v>
      </c>
      <c r="AZ13">
        <f t="shared" ca="1" si="10"/>
        <v>391.09999999999997</v>
      </c>
      <c r="BA13">
        <f t="shared" ca="1" si="10"/>
        <v>195</v>
      </c>
      <c r="BB13">
        <f t="shared" ca="1" si="10"/>
        <v>83.200000000000017</v>
      </c>
      <c r="BC13">
        <f t="shared" ca="1" si="10"/>
        <v>9.8999999999999986</v>
      </c>
      <c r="BD13">
        <f t="shared" ca="1" si="10"/>
        <v>1.4000000000000004</v>
      </c>
      <c r="BE13">
        <f t="shared" ca="1" si="10"/>
        <v>0</v>
      </c>
      <c r="BF13">
        <f t="shared" ca="1" si="10"/>
        <v>31.400000000000006</v>
      </c>
      <c r="BG13">
        <f t="shared" ca="1" si="10"/>
        <v>137.79999999999998</v>
      </c>
      <c r="BH13">
        <f t="shared" ca="1" si="10"/>
        <v>344.3</v>
      </c>
      <c r="BI13">
        <f t="shared" ca="1" si="10"/>
        <v>604.9</v>
      </c>
      <c r="BK13">
        <f t="shared" si="18"/>
        <v>2010</v>
      </c>
      <c r="BL13">
        <f t="shared" ca="1" si="11"/>
        <v>577.20000000000016</v>
      </c>
      <c r="BM13">
        <f t="shared" ca="1" si="4"/>
        <v>486.69999999999993</v>
      </c>
      <c r="BN13">
        <f t="shared" ca="1" si="4"/>
        <v>329.09999999999997</v>
      </c>
      <c r="BO13">
        <f t="shared" ca="1" si="4"/>
        <v>147.00000000000003</v>
      </c>
      <c r="BP13">
        <f t="shared" ca="1" si="4"/>
        <v>59.100000000000009</v>
      </c>
      <c r="BQ13">
        <f t="shared" ca="1" si="4"/>
        <v>1.3999999999999986</v>
      </c>
      <c r="BR13">
        <f t="shared" ca="1" si="4"/>
        <v>0</v>
      </c>
      <c r="BS13">
        <f t="shared" ca="1" si="4"/>
        <v>0</v>
      </c>
      <c r="BT13">
        <f t="shared" ca="1" si="4"/>
        <v>7.8000000000000007</v>
      </c>
      <c r="BU13">
        <f t="shared" ca="1" si="4"/>
        <v>85.59999999999998</v>
      </c>
      <c r="BV13">
        <f t="shared" ca="1" si="4"/>
        <v>284.3</v>
      </c>
      <c r="BW13">
        <f t="shared" ca="1" si="4"/>
        <v>542.9</v>
      </c>
      <c r="BY13">
        <f t="shared" si="19"/>
        <v>2010</v>
      </c>
      <c r="BZ13">
        <f t="shared" ca="1" si="12"/>
        <v>515.20000000000005</v>
      </c>
      <c r="CA13">
        <f t="shared" ca="1" si="12"/>
        <v>430.69999999999993</v>
      </c>
      <c r="CB13">
        <f t="shared" ca="1" si="12"/>
        <v>267.09999999999997</v>
      </c>
      <c r="CC13">
        <f t="shared" ca="1" si="12"/>
        <v>99.3</v>
      </c>
      <c r="CD13">
        <f t="shared" ca="1" si="12"/>
        <v>39.099999999999994</v>
      </c>
      <c r="CE13">
        <f t="shared" ca="1" si="12"/>
        <v>0</v>
      </c>
      <c r="CF13">
        <f t="shared" ca="1" si="12"/>
        <v>0</v>
      </c>
      <c r="CG13">
        <f t="shared" ca="1" si="12"/>
        <v>0</v>
      </c>
      <c r="CH13">
        <f t="shared" ca="1" si="12"/>
        <v>0.69999999999999929</v>
      </c>
      <c r="CI13">
        <f t="shared" ca="1" si="12"/>
        <v>45</v>
      </c>
      <c r="CJ13">
        <f t="shared" ca="1" si="12"/>
        <v>225.6</v>
      </c>
      <c r="CK13">
        <f t="shared" ca="1" si="12"/>
        <v>480.89999999999992</v>
      </c>
      <c r="CM13">
        <f t="shared" si="20"/>
        <v>2010</v>
      </c>
      <c r="CN13">
        <f t="shared" ca="1" si="13"/>
        <v>453.2</v>
      </c>
      <c r="CO13">
        <f t="shared" ca="1" si="13"/>
        <v>374.70000000000005</v>
      </c>
      <c r="CP13">
        <f t="shared" ca="1" si="13"/>
        <v>206.70000000000002</v>
      </c>
      <c r="CQ13">
        <f t="shared" ca="1" si="13"/>
        <v>60.700000000000017</v>
      </c>
      <c r="CR13">
        <f t="shared" ca="1" si="13"/>
        <v>21.099999999999998</v>
      </c>
      <c r="CS13">
        <f t="shared" ca="1" si="13"/>
        <v>0</v>
      </c>
      <c r="CT13">
        <f t="shared" ca="1" si="13"/>
        <v>0</v>
      </c>
      <c r="CU13">
        <f t="shared" ca="1" si="13"/>
        <v>0</v>
      </c>
      <c r="CV13">
        <f t="shared" ca="1" si="13"/>
        <v>0</v>
      </c>
      <c r="CW13">
        <f t="shared" ca="1" si="13"/>
        <v>17</v>
      </c>
      <c r="CX13">
        <f t="shared" ca="1" si="13"/>
        <v>167.6</v>
      </c>
      <c r="CY13">
        <f t="shared" ca="1" si="13"/>
        <v>418.89999999999992</v>
      </c>
      <c r="DA13">
        <f t="shared" si="21"/>
        <v>2010</v>
      </c>
      <c r="DB13">
        <f t="shared" ca="1" si="14"/>
        <v>391.20000000000005</v>
      </c>
      <c r="DC13">
        <f t="shared" ca="1" si="14"/>
        <v>318.70000000000005</v>
      </c>
      <c r="DD13">
        <f t="shared" ca="1" si="14"/>
        <v>153.80000000000001</v>
      </c>
      <c r="DE13">
        <f t="shared" ca="1" si="14"/>
        <v>31.599999999999994</v>
      </c>
      <c r="DF13">
        <f t="shared" ca="1" si="14"/>
        <v>9.4</v>
      </c>
      <c r="DG13">
        <f t="shared" ca="1" si="14"/>
        <v>0</v>
      </c>
      <c r="DH13">
        <f t="shared" ca="1" si="14"/>
        <v>0</v>
      </c>
      <c r="DI13">
        <f t="shared" ca="1" si="14"/>
        <v>0</v>
      </c>
      <c r="DJ13">
        <f t="shared" ca="1" si="14"/>
        <v>0</v>
      </c>
      <c r="DK13">
        <f t="shared" ca="1" si="14"/>
        <v>5.3999999999999995</v>
      </c>
      <c r="DL13">
        <f t="shared" ca="1" si="14"/>
        <v>109.6</v>
      </c>
      <c r="DM13">
        <f t="shared" ca="1" si="14"/>
        <v>356.9</v>
      </c>
    </row>
    <row r="14" spans="1:124">
      <c r="A14">
        <v>2000</v>
      </c>
      <c r="B14">
        <v>1</v>
      </c>
      <c r="C14">
        <v>771.99999999999977</v>
      </c>
      <c r="D14">
        <v>0</v>
      </c>
      <c r="E14">
        <v>709.99999999999977</v>
      </c>
      <c r="F14">
        <v>0</v>
      </c>
      <c r="G14">
        <v>647.99999999999977</v>
      </c>
      <c r="H14">
        <v>0</v>
      </c>
      <c r="I14">
        <v>585.99999999999977</v>
      </c>
      <c r="J14">
        <v>0</v>
      </c>
      <c r="K14">
        <v>523.99999999999989</v>
      </c>
      <c r="L14">
        <v>0</v>
      </c>
      <c r="M14">
        <v>461.99999999999989</v>
      </c>
      <c r="N14">
        <v>0</v>
      </c>
      <c r="O14">
        <v>399.99999999999989</v>
      </c>
      <c r="P14">
        <v>0</v>
      </c>
      <c r="Q14">
        <v>-4.9032258064516139</v>
      </c>
      <c r="U14">
        <f t="shared" si="15"/>
        <v>2011</v>
      </c>
      <c r="V14">
        <f t="shared" ca="1" si="8"/>
        <v>825.19999999999993</v>
      </c>
      <c r="W14">
        <f t="shared" ca="1" si="8"/>
        <v>701.80000000000018</v>
      </c>
      <c r="X14">
        <f t="shared" ca="1" si="8"/>
        <v>646.9</v>
      </c>
      <c r="Y14">
        <f t="shared" ca="1" si="8"/>
        <v>401.60000000000019</v>
      </c>
      <c r="Z14">
        <f t="shared" ca="1" si="8"/>
        <v>215.5</v>
      </c>
      <c r="AA14">
        <f t="shared" ca="1" si="8"/>
        <v>69.600000000000009</v>
      </c>
      <c r="AB14">
        <f t="shared" ca="1" si="8"/>
        <v>2.1999999999999993</v>
      </c>
      <c r="AC14">
        <f t="shared" ca="1" si="8"/>
        <v>9.5000000000000036</v>
      </c>
      <c r="AD14">
        <f t="shared" ca="1" si="8"/>
        <v>112.29999999999998</v>
      </c>
      <c r="AE14">
        <f t="shared" ca="1" si="8"/>
        <v>273.39999999999998</v>
      </c>
      <c r="AF14">
        <f t="shared" ca="1" si="8"/>
        <v>399.1</v>
      </c>
      <c r="AG14">
        <f t="shared" ca="1" si="8"/>
        <v>585.09999999999991</v>
      </c>
      <c r="AI14">
        <f t="shared" si="16"/>
        <v>2011</v>
      </c>
      <c r="AJ14">
        <f t="shared" ca="1" si="9"/>
        <v>763.19999999999993</v>
      </c>
      <c r="AK14">
        <f t="shared" ca="1" si="1"/>
        <v>645.80000000000018</v>
      </c>
      <c r="AL14">
        <f t="shared" ca="1" si="1"/>
        <v>584.9</v>
      </c>
      <c r="AM14">
        <f t="shared" ca="1" si="1"/>
        <v>341.60000000000014</v>
      </c>
      <c r="AN14">
        <f t="shared" ca="1" si="1"/>
        <v>162.9</v>
      </c>
      <c r="AO14">
        <f t="shared" ca="1" si="1"/>
        <v>34.299999999999997</v>
      </c>
      <c r="AP14">
        <f t="shared" ca="1" si="1"/>
        <v>0</v>
      </c>
      <c r="AQ14">
        <f t="shared" ca="1" si="1"/>
        <v>0</v>
      </c>
      <c r="AR14">
        <f t="shared" ca="1" si="1"/>
        <v>67.200000000000017</v>
      </c>
      <c r="AS14">
        <f t="shared" ca="1" si="1"/>
        <v>212.09999999999997</v>
      </c>
      <c r="AT14">
        <f t="shared" ca="1" si="1"/>
        <v>339.10000000000008</v>
      </c>
      <c r="AU14">
        <f t="shared" ca="1" si="1"/>
        <v>523.1</v>
      </c>
      <c r="AV14" s="70">
        <f t="shared" ca="1" si="2"/>
        <v>3674.2</v>
      </c>
      <c r="AW14">
        <f t="shared" si="17"/>
        <v>2011</v>
      </c>
      <c r="AX14">
        <f t="shared" ca="1" si="10"/>
        <v>701.19999999999993</v>
      </c>
      <c r="AY14">
        <f t="shared" ca="1" si="10"/>
        <v>589.80000000000018</v>
      </c>
      <c r="AZ14">
        <f t="shared" ca="1" si="10"/>
        <v>522.90000000000009</v>
      </c>
      <c r="BA14">
        <f t="shared" ca="1" si="10"/>
        <v>283.30000000000007</v>
      </c>
      <c r="BB14">
        <f t="shared" ca="1" si="10"/>
        <v>114.60000000000002</v>
      </c>
      <c r="BC14">
        <f t="shared" ca="1" si="10"/>
        <v>16.5</v>
      </c>
      <c r="BD14">
        <f t="shared" ca="1" si="10"/>
        <v>0</v>
      </c>
      <c r="BE14">
        <f t="shared" ca="1" si="10"/>
        <v>0</v>
      </c>
      <c r="BF14">
        <f t="shared" ca="1" si="10"/>
        <v>33.000000000000007</v>
      </c>
      <c r="BG14">
        <f t="shared" ca="1" si="10"/>
        <v>158.49999999999997</v>
      </c>
      <c r="BH14">
        <f t="shared" ca="1" si="10"/>
        <v>279.10000000000008</v>
      </c>
      <c r="BI14">
        <f t="shared" ca="1" si="10"/>
        <v>461.1</v>
      </c>
      <c r="BK14">
        <f t="shared" si="18"/>
        <v>2011</v>
      </c>
      <c r="BL14">
        <f t="shared" ca="1" si="11"/>
        <v>639.20000000000005</v>
      </c>
      <c r="BM14">
        <f t="shared" ca="1" si="4"/>
        <v>533.80000000000007</v>
      </c>
      <c r="BN14">
        <f t="shared" ca="1" si="4"/>
        <v>460.90000000000009</v>
      </c>
      <c r="BO14">
        <f t="shared" ca="1" si="4"/>
        <v>227.19999999999996</v>
      </c>
      <c r="BP14">
        <f t="shared" ca="1" si="4"/>
        <v>75.000000000000014</v>
      </c>
      <c r="BQ14">
        <f t="shared" ca="1" si="4"/>
        <v>5.6</v>
      </c>
      <c r="BR14">
        <f t="shared" ca="1" si="4"/>
        <v>0</v>
      </c>
      <c r="BS14">
        <f t="shared" ca="1" si="4"/>
        <v>0</v>
      </c>
      <c r="BT14">
        <f t="shared" ca="1" si="4"/>
        <v>11.7</v>
      </c>
      <c r="BU14">
        <f t="shared" ca="1" si="4"/>
        <v>111.89999999999999</v>
      </c>
      <c r="BV14">
        <f t="shared" ca="1" si="4"/>
        <v>219.10000000000002</v>
      </c>
      <c r="BW14">
        <f t="shared" ca="1" si="4"/>
        <v>399.1</v>
      </c>
      <c r="BY14">
        <f t="shared" si="19"/>
        <v>2011</v>
      </c>
      <c r="BZ14">
        <f t="shared" ca="1" si="12"/>
        <v>577.19999999999993</v>
      </c>
      <c r="CA14">
        <f t="shared" ca="1" si="12"/>
        <v>477.80000000000007</v>
      </c>
      <c r="CB14">
        <f t="shared" ca="1" si="12"/>
        <v>398.90000000000003</v>
      </c>
      <c r="CC14">
        <f t="shared" ca="1" si="12"/>
        <v>175.29999999999998</v>
      </c>
      <c r="CD14">
        <f t="shared" ca="1" si="12"/>
        <v>42.9</v>
      </c>
      <c r="CE14">
        <f t="shared" ca="1" si="12"/>
        <v>1.6999999999999993</v>
      </c>
      <c r="CF14">
        <f t="shared" ca="1" si="12"/>
        <v>0</v>
      </c>
      <c r="CG14">
        <f t="shared" ca="1" si="12"/>
        <v>0</v>
      </c>
      <c r="CH14">
        <f t="shared" ca="1" si="12"/>
        <v>3.0999999999999996</v>
      </c>
      <c r="CI14">
        <f t="shared" ca="1" si="12"/>
        <v>68.8</v>
      </c>
      <c r="CJ14">
        <f t="shared" ca="1" si="12"/>
        <v>162.10000000000002</v>
      </c>
      <c r="CK14">
        <f t="shared" ca="1" si="12"/>
        <v>337.09999999999997</v>
      </c>
      <c r="CM14">
        <f t="shared" si="20"/>
        <v>2011</v>
      </c>
      <c r="CN14">
        <f t="shared" ca="1" si="13"/>
        <v>515.19999999999993</v>
      </c>
      <c r="CO14">
        <f t="shared" ca="1" si="13"/>
        <v>421.80000000000013</v>
      </c>
      <c r="CP14">
        <f t="shared" ca="1" si="13"/>
        <v>336.90000000000009</v>
      </c>
      <c r="CQ14">
        <f t="shared" ca="1" si="13"/>
        <v>126.49999999999996</v>
      </c>
      <c r="CR14">
        <f t="shared" ca="1" si="13"/>
        <v>19</v>
      </c>
      <c r="CS14">
        <f t="shared" ca="1" si="13"/>
        <v>0</v>
      </c>
      <c r="CT14">
        <f t="shared" ca="1" si="13"/>
        <v>0</v>
      </c>
      <c r="CU14">
        <f t="shared" ca="1" si="13"/>
        <v>0</v>
      </c>
      <c r="CV14">
        <f t="shared" ca="1" si="13"/>
        <v>9.9999999999999645E-2</v>
      </c>
      <c r="CW14">
        <f t="shared" ca="1" si="13"/>
        <v>36.200000000000003</v>
      </c>
      <c r="CX14">
        <f t="shared" ca="1" si="13"/>
        <v>111.39999999999999</v>
      </c>
      <c r="CY14">
        <f t="shared" ca="1" si="13"/>
        <v>275.10000000000002</v>
      </c>
      <c r="DA14">
        <f t="shared" si="21"/>
        <v>2011</v>
      </c>
      <c r="DB14">
        <f t="shared" ca="1" si="14"/>
        <v>453.19999999999993</v>
      </c>
      <c r="DC14">
        <f t="shared" ca="1" si="14"/>
        <v>365.8</v>
      </c>
      <c r="DD14">
        <f t="shared" ca="1" si="14"/>
        <v>277.89999999999998</v>
      </c>
      <c r="DE14">
        <f t="shared" ca="1" si="14"/>
        <v>81.299999999999969</v>
      </c>
      <c r="DF14">
        <f t="shared" ca="1" si="14"/>
        <v>6.1000000000000005</v>
      </c>
      <c r="DG14">
        <f t="shared" ca="1" si="14"/>
        <v>0</v>
      </c>
      <c r="DH14">
        <f t="shared" ca="1" si="14"/>
        <v>0</v>
      </c>
      <c r="DI14">
        <f t="shared" ca="1" si="14"/>
        <v>0</v>
      </c>
      <c r="DJ14">
        <f t="shared" ca="1" si="14"/>
        <v>0</v>
      </c>
      <c r="DK14">
        <f t="shared" ca="1" si="14"/>
        <v>15.3</v>
      </c>
      <c r="DL14">
        <f t="shared" ca="1" si="14"/>
        <v>69.899999999999991</v>
      </c>
      <c r="DM14">
        <f t="shared" ca="1" si="14"/>
        <v>213.10000000000008</v>
      </c>
    </row>
    <row r="15" spans="1:124">
      <c r="A15">
        <v>2000</v>
      </c>
      <c r="B15">
        <v>2</v>
      </c>
      <c r="C15">
        <v>643.1</v>
      </c>
      <c r="D15">
        <v>0</v>
      </c>
      <c r="E15">
        <v>585.10000000000014</v>
      </c>
      <c r="F15">
        <v>0</v>
      </c>
      <c r="G15">
        <v>527.1</v>
      </c>
      <c r="H15">
        <v>0</v>
      </c>
      <c r="I15">
        <v>469.1</v>
      </c>
      <c r="J15">
        <v>0</v>
      </c>
      <c r="K15">
        <v>412</v>
      </c>
      <c r="L15">
        <v>0.90000000000000036</v>
      </c>
      <c r="M15">
        <v>356</v>
      </c>
      <c r="N15">
        <v>2.9000000000000004</v>
      </c>
      <c r="O15">
        <v>301.39999999999998</v>
      </c>
      <c r="P15">
        <v>6.3000000000000007</v>
      </c>
      <c r="Q15">
        <v>-2.1758620689655173</v>
      </c>
      <c r="U15">
        <f t="shared" si="15"/>
        <v>2012</v>
      </c>
      <c r="V15">
        <f t="shared" ca="1" si="8"/>
        <v>674.6</v>
      </c>
      <c r="W15">
        <f t="shared" ca="1" si="8"/>
        <v>579.99999999999989</v>
      </c>
      <c r="X15">
        <f t="shared" ca="1" si="8"/>
        <v>374.19999999999993</v>
      </c>
      <c r="Y15">
        <f t="shared" ca="1" si="8"/>
        <v>398.99999999999994</v>
      </c>
      <c r="Z15">
        <f t="shared" ca="1" si="8"/>
        <v>154.60000000000002</v>
      </c>
      <c r="AA15">
        <f t="shared" ca="1" si="8"/>
        <v>54.70000000000001</v>
      </c>
      <c r="AB15">
        <f t="shared" ca="1" si="8"/>
        <v>2.8999999999999986</v>
      </c>
      <c r="AC15">
        <f t="shared" ca="1" si="8"/>
        <v>23.599999999999998</v>
      </c>
      <c r="AD15">
        <f t="shared" ca="1" si="8"/>
        <v>130.10000000000002</v>
      </c>
      <c r="AE15">
        <f t="shared" ca="1" si="8"/>
        <v>280.89999999999998</v>
      </c>
      <c r="AF15">
        <f t="shared" ca="1" si="8"/>
        <v>490.4</v>
      </c>
      <c r="AG15">
        <f t="shared" ca="1" si="8"/>
        <v>578.70000000000005</v>
      </c>
      <c r="AI15">
        <f t="shared" si="16"/>
        <v>2012</v>
      </c>
      <c r="AJ15">
        <f t="shared" ca="1" si="9"/>
        <v>612.59999999999991</v>
      </c>
      <c r="AK15">
        <f t="shared" ca="1" si="1"/>
        <v>521.99999999999989</v>
      </c>
      <c r="AL15">
        <f t="shared" ca="1" si="1"/>
        <v>316</v>
      </c>
      <c r="AM15">
        <f t="shared" ca="1" si="1"/>
        <v>338.99999999999989</v>
      </c>
      <c r="AN15">
        <f t="shared" ca="1" si="1"/>
        <v>106.2</v>
      </c>
      <c r="AO15">
        <f t="shared" ca="1" si="1"/>
        <v>30.299999999999997</v>
      </c>
      <c r="AP15">
        <f t="shared" ca="1" si="1"/>
        <v>0</v>
      </c>
      <c r="AQ15">
        <f t="shared" ca="1" si="1"/>
        <v>5.8999999999999986</v>
      </c>
      <c r="AR15">
        <f t="shared" ca="1" si="1"/>
        <v>88.100000000000009</v>
      </c>
      <c r="AS15">
        <f t="shared" ca="1" si="1"/>
        <v>220.5</v>
      </c>
      <c r="AT15">
        <f t="shared" ca="1" si="1"/>
        <v>430.39999999999992</v>
      </c>
      <c r="AU15">
        <f t="shared" ca="1" si="1"/>
        <v>516.70000000000005</v>
      </c>
      <c r="AV15" s="70">
        <f ca="1">SUM(AJ15:AU15)</f>
        <v>3187.7</v>
      </c>
      <c r="AW15">
        <f t="shared" si="17"/>
        <v>2012</v>
      </c>
      <c r="AX15">
        <f t="shared" ca="1" si="10"/>
        <v>550.59999999999991</v>
      </c>
      <c r="AY15">
        <f t="shared" ca="1" si="10"/>
        <v>463.99999999999983</v>
      </c>
      <c r="AZ15">
        <f t="shared" ca="1" si="10"/>
        <v>262.8</v>
      </c>
      <c r="BA15">
        <f t="shared" ca="1" si="10"/>
        <v>280.99999999999994</v>
      </c>
      <c r="BB15">
        <f t="shared" ca="1" si="10"/>
        <v>64.599999999999994</v>
      </c>
      <c r="BC15">
        <f t="shared" ca="1" si="10"/>
        <v>12.1</v>
      </c>
      <c r="BD15">
        <f t="shared" ca="1" si="10"/>
        <v>0</v>
      </c>
      <c r="BE15">
        <f t="shared" ca="1" si="10"/>
        <v>0.30000000000000071</v>
      </c>
      <c r="BF15">
        <f t="shared" ca="1" si="10"/>
        <v>53.199999999999996</v>
      </c>
      <c r="BG15">
        <f t="shared" ca="1" si="10"/>
        <v>166.7</v>
      </c>
      <c r="BH15">
        <f t="shared" ca="1" si="10"/>
        <v>370.4</v>
      </c>
      <c r="BI15">
        <f t="shared" ca="1" si="10"/>
        <v>454.70000000000005</v>
      </c>
      <c r="BK15">
        <f t="shared" si="18"/>
        <v>2012</v>
      </c>
      <c r="BL15">
        <f t="shared" ca="1" si="11"/>
        <v>488.59999999999997</v>
      </c>
      <c r="BM15">
        <f t="shared" ca="1" si="4"/>
        <v>405.99999999999994</v>
      </c>
      <c r="BN15">
        <f t="shared" ca="1" si="4"/>
        <v>216.19999999999996</v>
      </c>
      <c r="BO15">
        <f t="shared" ca="1" si="4"/>
        <v>223.79999999999995</v>
      </c>
      <c r="BP15">
        <f t="shared" ca="1" si="4"/>
        <v>33.5</v>
      </c>
      <c r="BQ15">
        <f t="shared" ca="1" si="4"/>
        <v>2.7999999999999989</v>
      </c>
      <c r="BR15">
        <f t="shared" ca="1" si="4"/>
        <v>0</v>
      </c>
      <c r="BS15">
        <f t="shared" ca="1" si="4"/>
        <v>0</v>
      </c>
      <c r="BT15">
        <f t="shared" ca="1" si="4"/>
        <v>26.4</v>
      </c>
      <c r="BU15">
        <f t="shared" ca="1" si="4"/>
        <v>118.29999999999998</v>
      </c>
      <c r="BV15">
        <f t="shared" ca="1" si="4"/>
        <v>310.49999999999994</v>
      </c>
      <c r="BW15">
        <f t="shared" ca="1" si="4"/>
        <v>392.7</v>
      </c>
      <c r="BY15">
        <f t="shared" si="19"/>
        <v>2012</v>
      </c>
      <c r="BZ15">
        <f t="shared" ca="1" si="12"/>
        <v>426.59999999999991</v>
      </c>
      <c r="CA15">
        <f t="shared" ca="1" si="12"/>
        <v>348</v>
      </c>
      <c r="CB15">
        <f t="shared" ca="1" si="12"/>
        <v>170.2</v>
      </c>
      <c r="CC15">
        <f t="shared" ca="1" si="12"/>
        <v>168.1</v>
      </c>
      <c r="CD15">
        <f t="shared" ca="1" si="12"/>
        <v>12.9</v>
      </c>
      <c r="CE15">
        <f t="shared" ca="1" si="12"/>
        <v>0</v>
      </c>
      <c r="CF15">
        <f t="shared" ca="1" si="12"/>
        <v>0</v>
      </c>
      <c r="CG15">
        <f t="shared" ca="1" si="12"/>
        <v>0</v>
      </c>
      <c r="CH15">
        <f t="shared" ca="1" si="12"/>
        <v>8.8000000000000007</v>
      </c>
      <c r="CI15">
        <f t="shared" ca="1" si="12"/>
        <v>75.3</v>
      </c>
      <c r="CJ15">
        <f t="shared" ca="1" si="12"/>
        <v>252.50000000000003</v>
      </c>
      <c r="CK15">
        <f t="shared" ca="1" si="12"/>
        <v>330.7</v>
      </c>
      <c r="CM15">
        <f t="shared" si="20"/>
        <v>2012</v>
      </c>
      <c r="CN15">
        <f t="shared" ca="1" si="13"/>
        <v>364.59999999999991</v>
      </c>
      <c r="CO15">
        <f t="shared" ca="1" si="13"/>
        <v>289.99999999999994</v>
      </c>
      <c r="CP15">
        <f t="shared" ca="1" si="13"/>
        <v>128.4</v>
      </c>
      <c r="CQ15">
        <f t="shared" ca="1" si="13"/>
        <v>115.7</v>
      </c>
      <c r="CR15">
        <f t="shared" ca="1" si="13"/>
        <v>3.4000000000000004</v>
      </c>
      <c r="CS15">
        <f t="shared" ca="1" si="13"/>
        <v>0</v>
      </c>
      <c r="CT15">
        <f t="shared" ca="1" si="13"/>
        <v>0</v>
      </c>
      <c r="CU15">
        <f t="shared" ca="1" si="13"/>
        <v>0</v>
      </c>
      <c r="CV15">
        <f t="shared" ca="1" si="13"/>
        <v>0.59999999999999964</v>
      </c>
      <c r="CW15">
        <f t="shared" ca="1" si="13"/>
        <v>40.499999999999993</v>
      </c>
      <c r="CX15">
        <f t="shared" ca="1" si="13"/>
        <v>194.60000000000002</v>
      </c>
      <c r="CY15">
        <f t="shared" ca="1" si="13"/>
        <v>268.79999999999995</v>
      </c>
      <c r="DA15">
        <f t="shared" si="21"/>
        <v>2012</v>
      </c>
      <c r="DB15">
        <f t="shared" ca="1" si="14"/>
        <v>302.60000000000002</v>
      </c>
      <c r="DC15">
        <f t="shared" ca="1" si="14"/>
        <v>232</v>
      </c>
      <c r="DD15">
        <f t="shared" ca="1" si="14"/>
        <v>97.3</v>
      </c>
      <c r="DE15">
        <f t="shared" ca="1" si="14"/>
        <v>67.100000000000023</v>
      </c>
      <c r="DF15">
        <f t="shared" ca="1" si="14"/>
        <v>0</v>
      </c>
      <c r="DG15">
        <f t="shared" ca="1" si="14"/>
        <v>0</v>
      </c>
      <c r="DH15">
        <f t="shared" ca="1" si="14"/>
        <v>0</v>
      </c>
      <c r="DI15">
        <f t="shared" ca="1" si="14"/>
        <v>0</v>
      </c>
      <c r="DJ15">
        <f t="shared" ca="1" si="14"/>
        <v>0</v>
      </c>
      <c r="DK15">
        <f t="shared" ca="1" si="14"/>
        <v>14.5</v>
      </c>
      <c r="DL15">
        <f t="shared" ca="1" si="14"/>
        <v>139.90000000000003</v>
      </c>
      <c r="DM15">
        <f t="shared" ca="1" si="14"/>
        <v>210.49999999999997</v>
      </c>
    </row>
    <row r="16" spans="1:124">
      <c r="A16">
        <v>2000</v>
      </c>
      <c r="B16">
        <v>3</v>
      </c>
      <c r="C16">
        <v>473.49999999999994</v>
      </c>
      <c r="D16">
        <v>0</v>
      </c>
      <c r="E16">
        <v>411.59999999999997</v>
      </c>
      <c r="F16">
        <v>0.10000000000000142</v>
      </c>
      <c r="G16">
        <v>351.59999999999991</v>
      </c>
      <c r="H16">
        <v>2.1000000000000014</v>
      </c>
      <c r="I16">
        <v>291.59999999999997</v>
      </c>
      <c r="J16">
        <v>4.1000000000000014</v>
      </c>
      <c r="K16">
        <v>232.9</v>
      </c>
      <c r="L16">
        <v>7.4</v>
      </c>
      <c r="M16">
        <v>176.90000000000003</v>
      </c>
      <c r="N16">
        <v>13.4</v>
      </c>
      <c r="O16">
        <v>125.6</v>
      </c>
      <c r="P16">
        <v>24.1</v>
      </c>
      <c r="Q16">
        <v>4.7258064516129021</v>
      </c>
      <c r="U16">
        <f t="shared" si="15"/>
        <v>2013</v>
      </c>
      <c r="V16">
        <f t="shared" ca="1" si="8"/>
        <v>706.10000000000014</v>
      </c>
      <c r="W16">
        <f t="shared" ca="1" si="8"/>
        <v>675.20000000000016</v>
      </c>
      <c r="X16">
        <f t="shared" ca="1" si="8"/>
        <v>621.40000000000009</v>
      </c>
      <c r="Y16">
        <f t="shared" ca="1" si="8"/>
        <v>419.2</v>
      </c>
      <c r="Z16">
        <f t="shared" ca="1" si="8"/>
        <v>186.10000000000002</v>
      </c>
      <c r="AA16">
        <f t="shared" ca="1" si="8"/>
        <v>86.399999999999991</v>
      </c>
      <c r="AB16">
        <f t="shared" ca="1" si="8"/>
        <v>29.799999999999997</v>
      </c>
      <c r="AC16">
        <f t="shared" ca="1" si="8"/>
        <v>37.600000000000009</v>
      </c>
      <c r="AD16">
        <f t="shared" ca="1" si="8"/>
        <v>131.1</v>
      </c>
      <c r="AE16">
        <f t="shared" ca="1" si="8"/>
        <v>270.60000000000002</v>
      </c>
      <c r="AF16">
        <f t="shared" ca="1" si="8"/>
        <v>525.70000000000005</v>
      </c>
      <c r="AG16">
        <f t="shared" ca="1" si="8"/>
        <v>735.59999999999991</v>
      </c>
      <c r="AI16">
        <f t="shared" si="16"/>
        <v>2013</v>
      </c>
      <c r="AJ16">
        <f t="shared" ca="1" si="9"/>
        <v>644.1</v>
      </c>
      <c r="AK16">
        <f t="shared" ca="1" si="1"/>
        <v>619.20000000000016</v>
      </c>
      <c r="AL16">
        <f t="shared" ca="1" si="1"/>
        <v>559.4000000000002</v>
      </c>
      <c r="AM16">
        <f t="shared" ca="1" si="1"/>
        <v>359.20000000000005</v>
      </c>
      <c r="AN16">
        <f t="shared" ca="1" si="1"/>
        <v>139.20000000000002</v>
      </c>
      <c r="AO16">
        <f t="shared" ca="1" si="1"/>
        <v>48.400000000000006</v>
      </c>
      <c r="AP16">
        <f t="shared" ca="1" si="1"/>
        <v>10.7</v>
      </c>
      <c r="AQ16">
        <f t="shared" ca="1" si="1"/>
        <v>14.100000000000003</v>
      </c>
      <c r="AR16">
        <f t="shared" ca="1" si="1"/>
        <v>84.9</v>
      </c>
      <c r="AS16">
        <f t="shared" ca="1" si="1"/>
        <v>212.10000000000002</v>
      </c>
      <c r="AT16">
        <f t="shared" ca="1" si="1"/>
        <v>465.7</v>
      </c>
      <c r="AU16">
        <f t="shared" ca="1" si="1"/>
        <v>673.6</v>
      </c>
      <c r="AV16" s="70">
        <f ca="1">SUM(AJ16:AU16)</f>
        <v>3830.6</v>
      </c>
      <c r="AW16">
        <f t="shared" si="17"/>
        <v>2013</v>
      </c>
      <c r="AX16">
        <f t="shared" ca="1" si="10"/>
        <v>582.10000000000014</v>
      </c>
      <c r="AY16">
        <f t="shared" ca="1" si="10"/>
        <v>563.20000000000016</v>
      </c>
      <c r="AZ16">
        <f t="shared" ca="1" si="10"/>
        <v>497.40000000000015</v>
      </c>
      <c r="BA16">
        <f t="shared" ca="1" si="10"/>
        <v>299.39999999999998</v>
      </c>
      <c r="BB16">
        <f t="shared" ca="1" si="10"/>
        <v>99.999999999999986</v>
      </c>
      <c r="BC16">
        <f t="shared" ca="1" si="10"/>
        <v>23.3</v>
      </c>
      <c r="BD16">
        <f t="shared" ca="1" si="10"/>
        <v>2.3000000000000007</v>
      </c>
      <c r="BE16">
        <f t="shared" ca="1" si="10"/>
        <v>1.4000000000000004</v>
      </c>
      <c r="BF16">
        <f t="shared" ca="1" si="10"/>
        <v>50.5</v>
      </c>
      <c r="BG16">
        <f t="shared" ca="1" si="10"/>
        <v>159.09999999999997</v>
      </c>
      <c r="BH16">
        <f t="shared" ca="1" si="10"/>
        <v>405.7</v>
      </c>
      <c r="BI16">
        <f t="shared" ca="1" si="10"/>
        <v>611.59999999999991</v>
      </c>
      <c r="BK16">
        <f t="shared" si="18"/>
        <v>2013</v>
      </c>
      <c r="BL16">
        <f t="shared" ca="1" si="11"/>
        <v>520.09999999999991</v>
      </c>
      <c r="BM16">
        <f t="shared" ca="1" si="4"/>
        <v>507.19999999999993</v>
      </c>
      <c r="BN16">
        <f t="shared" ca="1" si="4"/>
        <v>435.40000000000015</v>
      </c>
      <c r="BO16">
        <f t="shared" ca="1" si="4"/>
        <v>243.3</v>
      </c>
      <c r="BP16">
        <f t="shared" ca="1" si="4"/>
        <v>66.600000000000009</v>
      </c>
      <c r="BQ16">
        <f t="shared" ca="1" si="4"/>
        <v>8</v>
      </c>
      <c r="BR16">
        <f t="shared" ca="1" si="4"/>
        <v>0</v>
      </c>
      <c r="BS16">
        <f t="shared" ca="1" si="4"/>
        <v>0</v>
      </c>
      <c r="BT16">
        <f t="shared" ca="1" si="4"/>
        <v>24</v>
      </c>
      <c r="BU16">
        <f t="shared" ca="1" si="4"/>
        <v>111.4</v>
      </c>
      <c r="BV16">
        <f t="shared" ca="1" si="4"/>
        <v>345.70000000000005</v>
      </c>
      <c r="BW16">
        <f t="shared" ca="1" si="4"/>
        <v>549.6</v>
      </c>
      <c r="BY16">
        <f t="shared" si="19"/>
        <v>2013</v>
      </c>
      <c r="BZ16">
        <f t="shared" ca="1" si="12"/>
        <v>458.09999999999997</v>
      </c>
      <c r="CA16">
        <f t="shared" ca="1" si="12"/>
        <v>451.19999999999993</v>
      </c>
      <c r="CB16">
        <f t="shared" ca="1" si="12"/>
        <v>373.40000000000015</v>
      </c>
      <c r="CC16">
        <f t="shared" ca="1" si="12"/>
        <v>189.3</v>
      </c>
      <c r="CD16">
        <f t="shared" ca="1" si="12"/>
        <v>42.3</v>
      </c>
      <c r="CE16">
        <f t="shared" ca="1" si="12"/>
        <v>0.59999999999999964</v>
      </c>
      <c r="CF16">
        <f t="shared" ca="1" si="12"/>
        <v>0</v>
      </c>
      <c r="CG16">
        <f t="shared" ca="1" si="12"/>
        <v>0</v>
      </c>
      <c r="CH16">
        <f t="shared" ca="1" si="12"/>
        <v>7.2000000000000011</v>
      </c>
      <c r="CI16">
        <f t="shared" ca="1" si="12"/>
        <v>72.599999999999994</v>
      </c>
      <c r="CJ16">
        <f t="shared" ca="1" si="12"/>
        <v>286.40000000000003</v>
      </c>
      <c r="CK16">
        <f t="shared" ca="1" si="12"/>
        <v>487.59999999999991</v>
      </c>
      <c r="CM16">
        <f t="shared" si="20"/>
        <v>2013</v>
      </c>
      <c r="CN16">
        <f t="shared" ca="1" si="13"/>
        <v>396.09999999999997</v>
      </c>
      <c r="CO16">
        <f t="shared" ca="1" si="13"/>
        <v>395.19999999999993</v>
      </c>
      <c r="CP16">
        <f t="shared" ca="1" si="13"/>
        <v>311.40000000000015</v>
      </c>
      <c r="CQ16">
        <f t="shared" ca="1" si="13"/>
        <v>141.70000000000005</v>
      </c>
      <c r="CR16">
        <f t="shared" ca="1" si="13"/>
        <v>23.4</v>
      </c>
      <c r="CS16">
        <f t="shared" ca="1" si="13"/>
        <v>0</v>
      </c>
      <c r="CT16">
        <f t="shared" ca="1" si="13"/>
        <v>0</v>
      </c>
      <c r="CU16">
        <f t="shared" ca="1" si="13"/>
        <v>0</v>
      </c>
      <c r="CV16">
        <f t="shared" ca="1" si="13"/>
        <v>0</v>
      </c>
      <c r="CW16">
        <f t="shared" ca="1" si="13"/>
        <v>43.8</v>
      </c>
      <c r="CX16">
        <f t="shared" ca="1" si="13"/>
        <v>230.00000000000006</v>
      </c>
      <c r="CY16">
        <f t="shared" ca="1" si="13"/>
        <v>425.59999999999997</v>
      </c>
      <c r="DA16">
        <f t="shared" si="21"/>
        <v>2013</v>
      </c>
      <c r="DB16">
        <f t="shared" ca="1" si="14"/>
        <v>335.8</v>
      </c>
      <c r="DC16">
        <f t="shared" ca="1" si="14"/>
        <v>339.19999999999993</v>
      </c>
      <c r="DD16">
        <f t="shared" ca="1" si="14"/>
        <v>251.40000000000003</v>
      </c>
      <c r="DE16">
        <f t="shared" ca="1" si="14"/>
        <v>97.700000000000017</v>
      </c>
      <c r="DF16">
        <f t="shared" ca="1" si="14"/>
        <v>9.6000000000000014</v>
      </c>
      <c r="DG16">
        <f t="shared" ca="1" si="14"/>
        <v>0</v>
      </c>
      <c r="DH16">
        <f t="shared" ca="1" si="14"/>
        <v>0</v>
      </c>
      <c r="DI16">
        <f t="shared" ca="1" si="14"/>
        <v>0</v>
      </c>
      <c r="DJ16">
        <f t="shared" ca="1" si="14"/>
        <v>0</v>
      </c>
      <c r="DK16">
        <f t="shared" ca="1" si="14"/>
        <v>22.200000000000003</v>
      </c>
      <c r="DL16">
        <f t="shared" ca="1" si="14"/>
        <v>176.5</v>
      </c>
      <c r="DM16">
        <f t="shared" ca="1" si="14"/>
        <v>363.59999999999997</v>
      </c>
    </row>
    <row r="17" spans="1:117">
      <c r="A17">
        <v>2000</v>
      </c>
      <c r="B17">
        <v>4</v>
      </c>
      <c r="C17">
        <v>424.00000000000006</v>
      </c>
      <c r="D17">
        <v>0</v>
      </c>
      <c r="E17">
        <v>364.00000000000006</v>
      </c>
      <c r="F17">
        <v>0</v>
      </c>
      <c r="G17">
        <v>304</v>
      </c>
      <c r="H17">
        <v>0</v>
      </c>
      <c r="I17">
        <v>244.39999999999998</v>
      </c>
      <c r="J17">
        <v>0.40000000000000036</v>
      </c>
      <c r="K17">
        <v>186.69999999999996</v>
      </c>
      <c r="L17">
        <v>2.7000000000000011</v>
      </c>
      <c r="M17">
        <v>130.69999999999999</v>
      </c>
      <c r="N17">
        <v>6.7000000000000011</v>
      </c>
      <c r="O17">
        <v>79.799999999999983</v>
      </c>
      <c r="P17">
        <v>15.800000000000002</v>
      </c>
      <c r="Q17">
        <v>5.866666666666668</v>
      </c>
      <c r="U17">
        <f t="shared" si="15"/>
        <v>2014</v>
      </c>
      <c r="V17">
        <f t="shared" ca="1" si="8"/>
        <v>888.3</v>
      </c>
      <c r="W17">
        <f t="shared" ca="1" si="8"/>
        <v>819.7</v>
      </c>
      <c r="X17">
        <f t="shared" ca="1" si="8"/>
        <v>747.30000000000007</v>
      </c>
      <c r="Y17">
        <f t="shared" ca="1" si="8"/>
        <v>405.19999999999987</v>
      </c>
      <c r="Z17">
        <f t="shared" ca="1" si="8"/>
        <v>214.49999999999994</v>
      </c>
      <c r="AA17">
        <f t="shared" ca="1" si="8"/>
        <v>69</v>
      </c>
      <c r="AB17">
        <f t="shared" ca="1" si="8"/>
        <v>47.300000000000011</v>
      </c>
      <c r="AC17">
        <f t="shared" ca="1" si="8"/>
        <v>38.799999999999997</v>
      </c>
      <c r="AD17">
        <f t="shared" ca="1" si="8"/>
        <v>133.30000000000001</v>
      </c>
      <c r="AE17">
        <f t="shared" ca="1" si="8"/>
        <v>288.29999999999995</v>
      </c>
      <c r="AF17">
        <f t="shared" ca="1" si="8"/>
        <v>543.69999999999993</v>
      </c>
      <c r="AG17">
        <f t="shared" ca="1" si="8"/>
        <v>604.5</v>
      </c>
      <c r="AI17">
        <f t="shared" si="16"/>
        <v>2014</v>
      </c>
      <c r="AJ17">
        <f t="shared" ca="1" si="9"/>
        <v>826.30000000000007</v>
      </c>
      <c r="AK17">
        <f t="shared" ca="1" si="1"/>
        <v>763.7</v>
      </c>
      <c r="AL17">
        <f t="shared" ca="1" si="1"/>
        <v>685.30000000000007</v>
      </c>
      <c r="AM17">
        <f t="shared" ca="1" si="1"/>
        <v>345.2</v>
      </c>
      <c r="AN17">
        <f t="shared" ca="1" si="1"/>
        <v>160.89999999999998</v>
      </c>
      <c r="AO17">
        <f t="shared" ca="1" si="1"/>
        <v>38.399999999999991</v>
      </c>
      <c r="AP17">
        <f t="shared" ca="1" si="1"/>
        <v>15.300000000000008</v>
      </c>
      <c r="AQ17">
        <f t="shared" ca="1" si="1"/>
        <v>10.899999999999999</v>
      </c>
      <c r="AR17">
        <f t="shared" ca="1" si="1"/>
        <v>87.2</v>
      </c>
      <c r="AS17">
        <f t="shared" ca="1" si="1"/>
        <v>226.39999999999998</v>
      </c>
      <c r="AT17">
        <f t="shared" ca="1" si="1"/>
        <v>483.7</v>
      </c>
      <c r="AU17">
        <f t="shared" ca="1" si="1"/>
        <v>542.5</v>
      </c>
      <c r="AV17" s="70">
        <f t="shared" ref="AV17:AV28" ca="1" si="22">SUM(AJ17:AU17)</f>
        <v>4185.8</v>
      </c>
      <c r="AW17">
        <f t="shared" si="17"/>
        <v>2014</v>
      </c>
      <c r="AX17">
        <f t="shared" ca="1" si="10"/>
        <v>764.30000000000007</v>
      </c>
      <c r="AY17">
        <f t="shared" ca="1" si="10"/>
        <v>707.7</v>
      </c>
      <c r="AZ17">
        <f t="shared" ca="1" si="10"/>
        <v>623.30000000000007</v>
      </c>
      <c r="BA17">
        <f t="shared" ca="1" si="10"/>
        <v>285.2</v>
      </c>
      <c r="BB17">
        <f t="shared" ca="1" si="10"/>
        <v>113.3</v>
      </c>
      <c r="BC17">
        <f t="shared" ca="1" si="10"/>
        <v>14.400000000000002</v>
      </c>
      <c r="BD17">
        <f t="shared" ca="1" si="10"/>
        <v>2.3000000000000007</v>
      </c>
      <c r="BE17">
        <f t="shared" ca="1" si="10"/>
        <v>0.69999999999999929</v>
      </c>
      <c r="BF17">
        <f t="shared" ca="1" si="10"/>
        <v>46.900000000000006</v>
      </c>
      <c r="BG17">
        <f t="shared" ca="1" si="10"/>
        <v>168.5</v>
      </c>
      <c r="BH17">
        <f t="shared" ca="1" si="10"/>
        <v>423.7</v>
      </c>
      <c r="BI17">
        <f t="shared" ca="1" si="10"/>
        <v>480.49999999999994</v>
      </c>
      <c r="BK17">
        <f t="shared" si="18"/>
        <v>2014</v>
      </c>
      <c r="BL17">
        <f t="shared" ca="1" si="11"/>
        <v>702.30000000000007</v>
      </c>
      <c r="BM17">
        <f t="shared" ca="1" si="4"/>
        <v>651.70000000000005</v>
      </c>
      <c r="BN17">
        <f t="shared" ca="1" si="4"/>
        <v>561.30000000000007</v>
      </c>
      <c r="BO17">
        <f t="shared" ca="1" si="4"/>
        <v>226.79999999999998</v>
      </c>
      <c r="BP17">
        <f t="shared" ca="1" si="4"/>
        <v>74.099999999999994</v>
      </c>
      <c r="BQ17">
        <f t="shared" ca="1" si="4"/>
        <v>3.3000000000000007</v>
      </c>
      <c r="BR17">
        <f t="shared" ca="1" si="4"/>
        <v>0</v>
      </c>
      <c r="BS17">
        <f t="shared" ca="1" si="4"/>
        <v>0</v>
      </c>
      <c r="BT17">
        <f t="shared" ca="1" si="4"/>
        <v>22.200000000000003</v>
      </c>
      <c r="BU17">
        <f t="shared" ca="1" si="4"/>
        <v>117.00000000000003</v>
      </c>
      <c r="BV17">
        <f t="shared" ca="1" si="4"/>
        <v>363.7</v>
      </c>
      <c r="BW17">
        <f t="shared" ca="1" si="4"/>
        <v>418.49999999999989</v>
      </c>
      <c r="BY17">
        <f t="shared" si="19"/>
        <v>2014</v>
      </c>
      <c r="BZ17">
        <f t="shared" ca="1" si="12"/>
        <v>640.30000000000007</v>
      </c>
      <c r="CA17">
        <f t="shared" ca="1" si="12"/>
        <v>595.70000000000005</v>
      </c>
      <c r="CB17">
        <f t="shared" ca="1" si="12"/>
        <v>499.29999999999995</v>
      </c>
      <c r="CC17">
        <f t="shared" ca="1" si="12"/>
        <v>171.99999999999997</v>
      </c>
      <c r="CD17">
        <f t="shared" ca="1" si="12"/>
        <v>40.600000000000009</v>
      </c>
      <c r="CE17">
        <f t="shared" ca="1" si="12"/>
        <v>0</v>
      </c>
      <c r="CF17">
        <f t="shared" ca="1" si="12"/>
        <v>0</v>
      </c>
      <c r="CG17">
        <f t="shared" ca="1" si="12"/>
        <v>0</v>
      </c>
      <c r="CH17">
        <f t="shared" ca="1" si="12"/>
        <v>6.4</v>
      </c>
      <c r="CI17">
        <f t="shared" ca="1" si="12"/>
        <v>73.099999999999994</v>
      </c>
      <c r="CJ17">
        <f t="shared" ca="1" si="12"/>
        <v>303.70000000000005</v>
      </c>
      <c r="CK17">
        <f t="shared" ca="1" si="12"/>
        <v>356.49999999999994</v>
      </c>
      <c r="CM17">
        <f t="shared" si="20"/>
        <v>2014</v>
      </c>
      <c r="CN17">
        <f t="shared" ca="1" si="13"/>
        <v>578.30000000000007</v>
      </c>
      <c r="CO17">
        <f t="shared" ca="1" si="13"/>
        <v>539.70000000000005</v>
      </c>
      <c r="CP17">
        <f t="shared" ca="1" si="13"/>
        <v>437.29999999999995</v>
      </c>
      <c r="CQ17">
        <f t="shared" ca="1" si="13"/>
        <v>121.80000000000001</v>
      </c>
      <c r="CR17">
        <f t="shared" ca="1" si="13"/>
        <v>19.3</v>
      </c>
      <c r="CS17">
        <f t="shared" ca="1" si="13"/>
        <v>0</v>
      </c>
      <c r="CT17">
        <f t="shared" ca="1" si="13"/>
        <v>0</v>
      </c>
      <c r="CU17">
        <f t="shared" ca="1" si="13"/>
        <v>0</v>
      </c>
      <c r="CV17">
        <f t="shared" ca="1" si="13"/>
        <v>9.9999999999999645E-2</v>
      </c>
      <c r="CW17">
        <f t="shared" ca="1" si="13"/>
        <v>35.699999999999996</v>
      </c>
      <c r="CX17">
        <f t="shared" ca="1" si="13"/>
        <v>244.10000000000005</v>
      </c>
      <c r="CY17">
        <f t="shared" ca="1" si="13"/>
        <v>294.49999999999994</v>
      </c>
      <c r="DA17">
        <f t="shared" si="21"/>
        <v>2014</v>
      </c>
      <c r="DB17">
        <f t="shared" ca="1" si="14"/>
        <v>516.30000000000018</v>
      </c>
      <c r="DC17">
        <f t="shared" ca="1" si="14"/>
        <v>483.7</v>
      </c>
      <c r="DD17">
        <f t="shared" ca="1" si="14"/>
        <v>375.29999999999995</v>
      </c>
      <c r="DE17">
        <f t="shared" ca="1" si="14"/>
        <v>80.600000000000009</v>
      </c>
      <c r="DF17">
        <f t="shared" ca="1" si="14"/>
        <v>8.9</v>
      </c>
      <c r="DG17">
        <f t="shared" ca="1" si="14"/>
        <v>0</v>
      </c>
      <c r="DH17">
        <f t="shared" ca="1" si="14"/>
        <v>0</v>
      </c>
      <c r="DI17">
        <f t="shared" ca="1" si="14"/>
        <v>0</v>
      </c>
      <c r="DJ17">
        <f t="shared" ca="1" si="14"/>
        <v>0</v>
      </c>
      <c r="DK17">
        <f t="shared" ca="1" si="14"/>
        <v>8.4</v>
      </c>
      <c r="DL17">
        <f t="shared" ca="1" si="14"/>
        <v>189.4</v>
      </c>
      <c r="DM17">
        <f t="shared" ca="1" si="14"/>
        <v>232.49999999999994</v>
      </c>
    </row>
    <row r="18" spans="1:117">
      <c r="A18">
        <v>2000</v>
      </c>
      <c r="B18">
        <v>5</v>
      </c>
      <c r="C18">
        <v>181.90000000000006</v>
      </c>
      <c r="D18">
        <v>13.699999999999996</v>
      </c>
      <c r="E18">
        <v>131</v>
      </c>
      <c r="F18">
        <v>24.799999999999997</v>
      </c>
      <c r="G18">
        <v>84.300000000000011</v>
      </c>
      <c r="H18">
        <v>40.099999999999994</v>
      </c>
      <c r="I18">
        <v>47.7</v>
      </c>
      <c r="J18">
        <v>65.5</v>
      </c>
      <c r="K18">
        <v>20.6</v>
      </c>
      <c r="L18">
        <v>100.4</v>
      </c>
      <c r="M18">
        <v>5.2</v>
      </c>
      <c r="N18">
        <v>146.99999999999997</v>
      </c>
      <c r="O18">
        <v>0.20000000000000018</v>
      </c>
      <c r="P18">
        <v>203.99999999999997</v>
      </c>
      <c r="Q18">
        <v>14.574193548387097</v>
      </c>
      <c r="U18">
        <f t="shared" si="15"/>
        <v>2015</v>
      </c>
      <c r="V18">
        <f t="shared" ca="1" si="8"/>
        <v>842.79999999999984</v>
      </c>
      <c r="W18">
        <f t="shared" ca="1" si="8"/>
        <v>897.09999999999991</v>
      </c>
      <c r="X18">
        <f t="shared" ca="1" si="8"/>
        <v>660.70000000000016</v>
      </c>
      <c r="Y18">
        <f t="shared" ca="1" si="8"/>
        <v>390.4</v>
      </c>
      <c r="Z18">
        <f t="shared" ca="1" si="8"/>
        <v>174.60000000000002</v>
      </c>
      <c r="AA18">
        <f t="shared" ca="1" si="8"/>
        <v>86.600000000000023</v>
      </c>
      <c r="AB18">
        <f t="shared" ca="1" si="8"/>
        <v>33.399999999999991</v>
      </c>
      <c r="AC18">
        <f t="shared" ca="1" si="8"/>
        <v>33.700000000000003</v>
      </c>
      <c r="AD18">
        <f t="shared" ca="1" si="8"/>
        <v>54.5</v>
      </c>
      <c r="AE18">
        <f t="shared" ca="1" si="8"/>
        <v>279.7</v>
      </c>
      <c r="AF18">
        <f t="shared" ca="1" si="8"/>
        <v>380.49999999999994</v>
      </c>
      <c r="AG18">
        <f t="shared" ca="1" si="8"/>
        <v>494.4</v>
      </c>
      <c r="AI18">
        <f t="shared" si="16"/>
        <v>2015</v>
      </c>
      <c r="AJ18">
        <f t="shared" ca="1" si="9"/>
        <v>780.79999999999984</v>
      </c>
      <c r="AK18">
        <f t="shared" ca="1" si="1"/>
        <v>841.0999999999998</v>
      </c>
      <c r="AL18">
        <f t="shared" ca="1" si="1"/>
        <v>598.70000000000005</v>
      </c>
      <c r="AM18">
        <f t="shared" ca="1" si="1"/>
        <v>330.40000000000003</v>
      </c>
      <c r="AN18">
        <f t="shared" ca="1" si="1"/>
        <v>126.8</v>
      </c>
      <c r="AO18">
        <f t="shared" ca="1" si="1"/>
        <v>46.900000000000006</v>
      </c>
      <c r="AP18">
        <f t="shared" ca="1" si="1"/>
        <v>13.599999999999998</v>
      </c>
      <c r="AQ18">
        <f t="shared" ca="1" si="1"/>
        <v>13.3</v>
      </c>
      <c r="AR18">
        <f t="shared" ca="1" si="1"/>
        <v>25</v>
      </c>
      <c r="AS18">
        <f t="shared" ca="1" si="1"/>
        <v>217.70000000000002</v>
      </c>
      <c r="AT18">
        <f t="shared" ca="1" si="1"/>
        <v>320.5</v>
      </c>
      <c r="AU18">
        <f t="shared" ca="1" si="1"/>
        <v>432.4</v>
      </c>
      <c r="AV18" s="70">
        <f t="shared" ca="1" si="22"/>
        <v>3747.2</v>
      </c>
      <c r="AW18">
        <f t="shared" si="17"/>
        <v>2015</v>
      </c>
      <c r="AX18">
        <f t="shared" ca="1" si="10"/>
        <v>718.79999999999984</v>
      </c>
      <c r="AY18">
        <f t="shared" ca="1" si="10"/>
        <v>785.09999999999991</v>
      </c>
      <c r="AZ18">
        <f t="shared" ca="1" si="10"/>
        <v>536.70000000000005</v>
      </c>
      <c r="BA18">
        <f t="shared" ca="1" si="10"/>
        <v>270.40000000000003</v>
      </c>
      <c r="BB18">
        <f t="shared" ca="1" si="10"/>
        <v>90.4</v>
      </c>
      <c r="BC18">
        <f t="shared" ca="1" si="10"/>
        <v>22.6</v>
      </c>
      <c r="BD18">
        <f t="shared" ca="1" si="10"/>
        <v>1.8999999999999986</v>
      </c>
      <c r="BE18">
        <f t="shared" ca="1" si="10"/>
        <v>1.6000000000000014</v>
      </c>
      <c r="BF18">
        <f t="shared" ca="1" si="10"/>
        <v>9.3000000000000007</v>
      </c>
      <c r="BG18">
        <f t="shared" ca="1" si="10"/>
        <v>157.39999999999998</v>
      </c>
      <c r="BH18">
        <f t="shared" ca="1" si="10"/>
        <v>261.8</v>
      </c>
      <c r="BI18">
        <f t="shared" ca="1" si="10"/>
        <v>370.4</v>
      </c>
      <c r="BK18">
        <f t="shared" si="18"/>
        <v>2015</v>
      </c>
      <c r="BL18">
        <f t="shared" ca="1" si="11"/>
        <v>656.8</v>
      </c>
      <c r="BM18">
        <f t="shared" ca="1" si="4"/>
        <v>729.1</v>
      </c>
      <c r="BN18">
        <f t="shared" ca="1" si="4"/>
        <v>474.69999999999993</v>
      </c>
      <c r="BO18">
        <f t="shared" ca="1" si="4"/>
        <v>210.70000000000005</v>
      </c>
      <c r="BP18">
        <f t="shared" ca="1" si="4"/>
        <v>60</v>
      </c>
      <c r="BQ18">
        <f t="shared" ca="1" si="4"/>
        <v>11.9</v>
      </c>
      <c r="BR18">
        <f t="shared" ca="1" si="4"/>
        <v>0</v>
      </c>
      <c r="BS18">
        <f t="shared" ca="1" si="4"/>
        <v>0</v>
      </c>
      <c r="BT18">
        <f t="shared" ca="1" si="4"/>
        <v>1.5999999999999996</v>
      </c>
      <c r="BU18">
        <f t="shared" ca="1" si="4"/>
        <v>102.69999999999999</v>
      </c>
      <c r="BV18">
        <f t="shared" ca="1" si="4"/>
        <v>208.1</v>
      </c>
      <c r="BW18">
        <f t="shared" ca="1" si="4"/>
        <v>308.40000000000003</v>
      </c>
      <c r="BY18">
        <f t="shared" si="19"/>
        <v>2015</v>
      </c>
      <c r="BZ18">
        <f t="shared" ca="1" si="12"/>
        <v>594.79999999999995</v>
      </c>
      <c r="CA18">
        <f t="shared" ca="1" si="12"/>
        <v>673.1</v>
      </c>
      <c r="CB18">
        <f t="shared" ca="1" si="12"/>
        <v>412.69999999999993</v>
      </c>
      <c r="CC18">
        <f t="shared" ca="1" si="12"/>
        <v>155.20000000000002</v>
      </c>
      <c r="CD18">
        <f t="shared" ca="1" si="12"/>
        <v>35.700000000000003</v>
      </c>
      <c r="CE18">
        <f t="shared" ca="1" si="12"/>
        <v>4.7000000000000011</v>
      </c>
      <c r="CF18">
        <f t="shared" ca="1" si="12"/>
        <v>0</v>
      </c>
      <c r="CG18">
        <f t="shared" ca="1" si="12"/>
        <v>0</v>
      </c>
      <c r="CH18">
        <f t="shared" ca="1" si="12"/>
        <v>0</v>
      </c>
      <c r="CI18">
        <f t="shared" ca="1" si="12"/>
        <v>60.500000000000007</v>
      </c>
      <c r="CJ18">
        <f t="shared" ca="1" si="12"/>
        <v>157.60000000000002</v>
      </c>
      <c r="CK18">
        <f t="shared" ca="1" si="12"/>
        <v>246.39999999999998</v>
      </c>
      <c r="CM18">
        <f t="shared" si="20"/>
        <v>2015</v>
      </c>
      <c r="CN18">
        <f t="shared" ca="1" si="13"/>
        <v>532.80000000000007</v>
      </c>
      <c r="CO18">
        <f t="shared" ca="1" si="13"/>
        <v>617.1</v>
      </c>
      <c r="CP18">
        <f t="shared" ca="1" si="13"/>
        <v>350.7</v>
      </c>
      <c r="CQ18">
        <f t="shared" ca="1" si="13"/>
        <v>102.1</v>
      </c>
      <c r="CR18">
        <f t="shared" ca="1" si="13"/>
        <v>17.7</v>
      </c>
      <c r="CS18">
        <f t="shared" ca="1" si="13"/>
        <v>0.5</v>
      </c>
      <c r="CT18">
        <f t="shared" ca="1" si="13"/>
        <v>0</v>
      </c>
      <c r="CU18">
        <f t="shared" ca="1" si="13"/>
        <v>0</v>
      </c>
      <c r="CV18">
        <f t="shared" ca="1" si="13"/>
        <v>0</v>
      </c>
      <c r="CW18">
        <f t="shared" ca="1" si="13"/>
        <v>30.900000000000006</v>
      </c>
      <c r="CX18">
        <f t="shared" ca="1" si="13"/>
        <v>110.9</v>
      </c>
      <c r="CY18">
        <f t="shared" ca="1" si="13"/>
        <v>187.29999999999998</v>
      </c>
      <c r="DA18">
        <f t="shared" si="21"/>
        <v>2015</v>
      </c>
      <c r="DB18">
        <f t="shared" ca="1" si="14"/>
        <v>470.80000000000013</v>
      </c>
      <c r="DC18">
        <f t="shared" ca="1" si="14"/>
        <v>561.1</v>
      </c>
      <c r="DD18">
        <f t="shared" ca="1" si="14"/>
        <v>289.20000000000005</v>
      </c>
      <c r="DE18">
        <f t="shared" ca="1" si="14"/>
        <v>60.499999999999993</v>
      </c>
      <c r="DF18">
        <f t="shared" ca="1" si="14"/>
        <v>5.3999999999999995</v>
      </c>
      <c r="DG18">
        <f t="shared" ca="1" si="14"/>
        <v>0</v>
      </c>
      <c r="DH18">
        <f t="shared" ca="1" si="14"/>
        <v>0</v>
      </c>
      <c r="DI18">
        <f t="shared" ca="1" si="14"/>
        <v>0</v>
      </c>
      <c r="DJ18">
        <f t="shared" ca="1" si="14"/>
        <v>0</v>
      </c>
      <c r="DK18">
        <f t="shared" ca="1" si="14"/>
        <v>10.4</v>
      </c>
      <c r="DL18">
        <f t="shared" ca="1" si="14"/>
        <v>76.7</v>
      </c>
      <c r="DM18">
        <f t="shared" ca="1" si="14"/>
        <v>132.10000000000002</v>
      </c>
    </row>
    <row r="19" spans="1:117">
      <c r="A19">
        <v>2000</v>
      </c>
      <c r="B19">
        <v>6</v>
      </c>
      <c r="C19">
        <v>61.199999999999996</v>
      </c>
      <c r="D19">
        <v>28.2</v>
      </c>
      <c r="E19">
        <v>33.300000000000004</v>
      </c>
      <c r="F19">
        <v>60.29999999999999</v>
      </c>
      <c r="G19">
        <v>17</v>
      </c>
      <c r="H19">
        <v>104</v>
      </c>
      <c r="I19">
        <v>6.6000000000000014</v>
      </c>
      <c r="J19">
        <v>153.60000000000002</v>
      </c>
      <c r="K19">
        <v>0</v>
      </c>
      <c r="L19">
        <v>207.00000000000003</v>
      </c>
      <c r="M19">
        <v>0</v>
      </c>
      <c r="N19">
        <v>267</v>
      </c>
      <c r="O19">
        <v>0</v>
      </c>
      <c r="P19">
        <v>327</v>
      </c>
      <c r="Q19">
        <v>18.899999999999999</v>
      </c>
      <c r="U19">
        <f t="shared" si="15"/>
        <v>2016</v>
      </c>
      <c r="V19">
        <f t="shared" ca="1" si="8"/>
        <v>713.49999999999989</v>
      </c>
      <c r="W19">
        <f t="shared" ca="1" si="8"/>
        <v>640.29999999999995</v>
      </c>
      <c r="X19">
        <f t="shared" ca="1" si="8"/>
        <v>501.10000000000008</v>
      </c>
      <c r="Y19">
        <f t="shared" ca="1" si="8"/>
        <v>451.00000000000006</v>
      </c>
      <c r="Z19">
        <f t="shared" ca="1" si="8"/>
        <v>221.39999999999998</v>
      </c>
      <c r="AA19">
        <f t="shared" ca="1" si="8"/>
        <v>67.700000000000017</v>
      </c>
      <c r="AB19">
        <f t="shared" ca="1" si="8"/>
        <v>11.100000000000001</v>
      </c>
      <c r="AC19">
        <f t="shared" ca="1" si="8"/>
        <v>2.4000000000000021</v>
      </c>
      <c r="AD19">
        <f t="shared" ca="1" si="8"/>
        <v>68.699999999999974</v>
      </c>
      <c r="AE19">
        <f t="shared" ca="1" si="8"/>
        <v>240.5</v>
      </c>
      <c r="AF19">
        <f t="shared" ca="1" si="8"/>
        <v>390.60000000000008</v>
      </c>
      <c r="AG19">
        <f t="shared" ca="1" si="8"/>
        <v>686.49999999999989</v>
      </c>
      <c r="AI19">
        <f t="shared" si="16"/>
        <v>2016</v>
      </c>
      <c r="AJ19">
        <f t="shared" ca="1" si="9"/>
        <v>651.49999999999977</v>
      </c>
      <c r="AK19">
        <f t="shared" ca="1" si="1"/>
        <v>582.29999999999995</v>
      </c>
      <c r="AL19">
        <f t="shared" ca="1" si="1"/>
        <v>439.10000000000008</v>
      </c>
      <c r="AM19">
        <f t="shared" ca="1" si="1"/>
        <v>391.00000000000011</v>
      </c>
      <c r="AN19">
        <f t="shared" ca="1" si="1"/>
        <v>172.49999999999997</v>
      </c>
      <c r="AO19">
        <f t="shared" ca="1" si="1"/>
        <v>32.299999999999997</v>
      </c>
      <c r="AP19">
        <f t="shared" ca="1" si="1"/>
        <v>1.7000000000000028</v>
      </c>
      <c r="AQ19">
        <f t="shared" ca="1" si="1"/>
        <v>0</v>
      </c>
      <c r="AR19">
        <f t="shared" ca="1" si="1"/>
        <v>32.299999999999997</v>
      </c>
      <c r="AS19">
        <f t="shared" ca="1" si="1"/>
        <v>187.1</v>
      </c>
      <c r="AT19">
        <f t="shared" ca="1" si="1"/>
        <v>330.6</v>
      </c>
      <c r="AU19">
        <f t="shared" ca="1" si="1"/>
        <v>624.49999999999989</v>
      </c>
      <c r="AV19" s="70">
        <f t="shared" ca="1" si="22"/>
        <v>3444.9</v>
      </c>
      <c r="AW19">
        <f t="shared" si="17"/>
        <v>2016</v>
      </c>
      <c r="AX19">
        <f t="shared" ca="1" si="10"/>
        <v>589.49999999999977</v>
      </c>
      <c r="AY19">
        <f t="shared" ca="1" si="10"/>
        <v>524.29999999999995</v>
      </c>
      <c r="AZ19">
        <f t="shared" ca="1" si="10"/>
        <v>377.10000000000008</v>
      </c>
      <c r="BA19">
        <f t="shared" ca="1" si="10"/>
        <v>331</v>
      </c>
      <c r="BB19">
        <f t="shared" ca="1" si="10"/>
        <v>125.19999999999999</v>
      </c>
      <c r="BC19">
        <f t="shared" ca="1" si="10"/>
        <v>13.6</v>
      </c>
      <c r="BD19">
        <f t="shared" ca="1" si="10"/>
        <v>0</v>
      </c>
      <c r="BE19">
        <f t="shared" ca="1" si="10"/>
        <v>0</v>
      </c>
      <c r="BF19">
        <f t="shared" ca="1" si="10"/>
        <v>8.3000000000000007</v>
      </c>
      <c r="BG19">
        <f t="shared" ca="1" si="10"/>
        <v>137.99999999999997</v>
      </c>
      <c r="BH19">
        <f t="shared" ca="1" si="10"/>
        <v>270.59999999999997</v>
      </c>
      <c r="BI19">
        <f t="shared" ca="1" si="10"/>
        <v>562.5</v>
      </c>
      <c r="BK19">
        <f t="shared" si="18"/>
        <v>2016</v>
      </c>
      <c r="BL19">
        <f t="shared" ca="1" si="11"/>
        <v>527.49999999999989</v>
      </c>
      <c r="BM19">
        <f t="shared" ca="1" si="4"/>
        <v>466.3</v>
      </c>
      <c r="BN19">
        <f t="shared" ca="1" si="4"/>
        <v>316.90000000000003</v>
      </c>
      <c r="BO19">
        <f t="shared" ca="1" si="4"/>
        <v>272.60000000000002</v>
      </c>
      <c r="BP19">
        <f t="shared" ca="1" si="4"/>
        <v>84.6</v>
      </c>
      <c r="BQ19">
        <f t="shared" ca="1" si="4"/>
        <v>3.4000000000000004</v>
      </c>
      <c r="BR19">
        <f t="shared" ca="1" si="4"/>
        <v>0</v>
      </c>
      <c r="BS19">
        <f t="shared" ca="1" si="4"/>
        <v>0</v>
      </c>
      <c r="BT19">
        <f t="shared" ca="1" si="4"/>
        <v>0.69999999999999929</v>
      </c>
      <c r="BU19">
        <f t="shared" ca="1" si="4"/>
        <v>97.40000000000002</v>
      </c>
      <c r="BV19">
        <f t="shared" ca="1" si="4"/>
        <v>213.29999999999998</v>
      </c>
      <c r="BW19">
        <f t="shared" ca="1" si="4"/>
        <v>500.50000000000006</v>
      </c>
      <c r="BY19">
        <f t="shared" si="19"/>
        <v>2016</v>
      </c>
      <c r="BZ19">
        <f t="shared" ca="1" si="12"/>
        <v>465.49999999999989</v>
      </c>
      <c r="CA19">
        <f t="shared" ca="1" si="12"/>
        <v>408.3</v>
      </c>
      <c r="CB19">
        <f t="shared" ca="1" si="12"/>
        <v>260.19999999999993</v>
      </c>
      <c r="CC19">
        <f t="shared" ca="1" si="12"/>
        <v>217.89999999999998</v>
      </c>
      <c r="CD19">
        <f t="shared" ca="1" si="12"/>
        <v>47.200000000000017</v>
      </c>
      <c r="CE19">
        <f t="shared" ca="1" si="12"/>
        <v>0.40000000000000036</v>
      </c>
      <c r="CF19">
        <f t="shared" ca="1" si="12"/>
        <v>0</v>
      </c>
      <c r="CG19">
        <f t="shared" ca="1" si="12"/>
        <v>0</v>
      </c>
      <c r="CH19">
        <f t="shared" ca="1" si="12"/>
        <v>0</v>
      </c>
      <c r="CI19">
        <f t="shared" ca="1" si="12"/>
        <v>65.8</v>
      </c>
      <c r="CJ19">
        <f t="shared" ca="1" si="12"/>
        <v>159.29999999999998</v>
      </c>
      <c r="CK19">
        <f t="shared" ca="1" si="12"/>
        <v>438.5</v>
      </c>
      <c r="CM19">
        <f t="shared" si="20"/>
        <v>2016</v>
      </c>
      <c r="CN19">
        <f t="shared" ca="1" si="13"/>
        <v>403.49999999999989</v>
      </c>
      <c r="CO19">
        <f t="shared" ca="1" si="13"/>
        <v>350.3</v>
      </c>
      <c r="CP19">
        <f t="shared" ca="1" si="13"/>
        <v>206.99999999999997</v>
      </c>
      <c r="CQ19">
        <f t="shared" ca="1" si="13"/>
        <v>163.89999999999998</v>
      </c>
      <c r="CR19">
        <f t="shared" ca="1" si="13"/>
        <v>19.999999999999996</v>
      </c>
      <c r="CS19">
        <f t="shared" ca="1" si="13"/>
        <v>0</v>
      </c>
      <c r="CT19">
        <f t="shared" ca="1" si="13"/>
        <v>0</v>
      </c>
      <c r="CU19">
        <f t="shared" ca="1" si="13"/>
        <v>0</v>
      </c>
      <c r="CV19">
        <f t="shared" ca="1" si="13"/>
        <v>0</v>
      </c>
      <c r="CW19">
        <f t="shared" ca="1" si="13"/>
        <v>38.300000000000004</v>
      </c>
      <c r="CX19">
        <f t="shared" ca="1" si="13"/>
        <v>108.19999999999997</v>
      </c>
      <c r="CY19">
        <f t="shared" ca="1" si="13"/>
        <v>376.50000000000006</v>
      </c>
      <c r="DA19">
        <f t="shared" si="21"/>
        <v>2016</v>
      </c>
      <c r="DB19">
        <f t="shared" ca="1" si="14"/>
        <v>341.49999999999994</v>
      </c>
      <c r="DC19">
        <f t="shared" ca="1" si="14"/>
        <v>293.79999999999995</v>
      </c>
      <c r="DD19">
        <f t="shared" ca="1" si="14"/>
        <v>155.19999999999993</v>
      </c>
      <c r="DE19">
        <f t="shared" ca="1" si="14"/>
        <v>115.39999999999998</v>
      </c>
      <c r="DF19">
        <f t="shared" ca="1" si="14"/>
        <v>5.8999999999999995</v>
      </c>
      <c r="DG19">
        <f t="shared" ca="1" si="14"/>
        <v>0</v>
      </c>
      <c r="DH19">
        <f t="shared" ca="1" si="14"/>
        <v>0</v>
      </c>
      <c r="DI19">
        <f t="shared" ca="1" si="14"/>
        <v>0</v>
      </c>
      <c r="DJ19">
        <f t="shared" ca="1" si="14"/>
        <v>0</v>
      </c>
      <c r="DK19">
        <f t="shared" ca="1" si="14"/>
        <v>16.400000000000002</v>
      </c>
      <c r="DL19">
        <f t="shared" ca="1" si="14"/>
        <v>69.5</v>
      </c>
      <c r="DM19">
        <f t="shared" ca="1" si="14"/>
        <v>314.50000000000006</v>
      </c>
    </row>
    <row r="20" spans="1:117">
      <c r="A20">
        <v>2000</v>
      </c>
      <c r="B20">
        <v>7</v>
      </c>
      <c r="C20">
        <v>54.600000000000009</v>
      </c>
      <c r="D20">
        <v>20.9</v>
      </c>
      <c r="E20">
        <v>23.7</v>
      </c>
      <c r="F20">
        <v>51.999999999999993</v>
      </c>
      <c r="G20">
        <v>5.4</v>
      </c>
      <c r="H20">
        <v>95.700000000000017</v>
      </c>
      <c r="I20">
        <v>0</v>
      </c>
      <c r="J20">
        <v>152.30000000000001</v>
      </c>
      <c r="K20">
        <v>0</v>
      </c>
      <c r="L20">
        <v>214.29999999999998</v>
      </c>
      <c r="M20">
        <v>0</v>
      </c>
      <c r="N20">
        <v>276.3</v>
      </c>
      <c r="O20">
        <v>0</v>
      </c>
      <c r="P20">
        <v>338.3</v>
      </c>
      <c r="Q20">
        <v>18.912903225806449</v>
      </c>
      <c r="U20">
        <f t="shared" si="15"/>
        <v>2017</v>
      </c>
      <c r="V20">
        <f t="shared" ca="1" si="8"/>
        <v>660.30000000000007</v>
      </c>
      <c r="W20">
        <f t="shared" ca="1" si="8"/>
        <v>520.5</v>
      </c>
      <c r="X20">
        <f t="shared" ca="1" si="8"/>
        <v>596.4</v>
      </c>
      <c r="Y20">
        <f t="shared" ca="1" si="8"/>
        <v>314.69999999999993</v>
      </c>
      <c r="Z20">
        <f t="shared" ca="1" si="8"/>
        <v>234.79999999999993</v>
      </c>
      <c r="AA20">
        <f t="shared" ca="1" si="8"/>
        <v>51</v>
      </c>
      <c r="AB20">
        <f t="shared" ca="1" si="8"/>
        <v>8.1999999999999993</v>
      </c>
      <c r="AC20">
        <f t="shared" ca="1" si="8"/>
        <v>39.1</v>
      </c>
      <c r="AD20">
        <f t="shared" ca="1" si="8"/>
        <v>96.90000000000002</v>
      </c>
      <c r="AE20">
        <f t="shared" ca="1" si="8"/>
        <v>209.50000000000003</v>
      </c>
      <c r="AF20">
        <f t="shared" ca="1" si="8"/>
        <v>491.79999999999995</v>
      </c>
      <c r="AG20">
        <f t="shared" ca="1" si="8"/>
        <v>744.90000000000009</v>
      </c>
      <c r="AI20">
        <f t="shared" si="16"/>
        <v>2017</v>
      </c>
      <c r="AJ20">
        <f t="shared" ca="1" si="9"/>
        <v>598.29999999999995</v>
      </c>
      <c r="AK20">
        <f t="shared" ca="1" si="1"/>
        <v>464.50000000000006</v>
      </c>
      <c r="AL20">
        <f t="shared" ca="1" si="1"/>
        <v>534.4</v>
      </c>
      <c r="AM20">
        <f t="shared" ca="1" si="1"/>
        <v>254.6999999999999</v>
      </c>
      <c r="AN20">
        <f t="shared" ca="1" si="1"/>
        <v>179.09999999999997</v>
      </c>
      <c r="AO20">
        <f t="shared" ca="1" si="1"/>
        <v>25.6</v>
      </c>
      <c r="AP20">
        <f t="shared" ca="1" si="1"/>
        <v>0</v>
      </c>
      <c r="AQ20">
        <f t="shared" ca="1" si="1"/>
        <v>15.8</v>
      </c>
      <c r="AR20">
        <f t="shared" ca="1" si="1"/>
        <v>64.000000000000014</v>
      </c>
      <c r="AS20">
        <f t="shared" ca="1" si="1"/>
        <v>154.80000000000001</v>
      </c>
      <c r="AT20">
        <f t="shared" ca="1" si="1"/>
        <v>431.8</v>
      </c>
      <c r="AU20">
        <f t="shared" ca="1" si="1"/>
        <v>682.90000000000009</v>
      </c>
      <c r="AV20" s="70">
        <f t="shared" ca="1" si="22"/>
        <v>3405.9</v>
      </c>
      <c r="AW20">
        <f t="shared" si="17"/>
        <v>2017</v>
      </c>
      <c r="AX20">
        <f t="shared" ca="1" si="10"/>
        <v>536.30000000000007</v>
      </c>
      <c r="AY20">
        <f t="shared" ca="1" si="10"/>
        <v>408.5</v>
      </c>
      <c r="AZ20">
        <f t="shared" ca="1" si="10"/>
        <v>472.39999999999992</v>
      </c>
      <c r="BA20">
        <f t="shared" ca="1" si="10"/>
        <v>199.29999999999993</v>
      </c>
      <c r="BB20">
        <f t="shared" ca="1" si="10"/>
        <v>131.29999999999998</v>
      </c>
      <c r="BC20">
        <f t="shared" ca="1" si="10"/>
        <v>6.9000000000000021</v>
      </c>
      <c r="BD20">
        <f t="shared" ca="1" si="10"/>
        <v>0</v>
      </c>
      <c r="BE20">
        <f t="shared" ca="1" si="10"/>
        <v>5.5</v>
      </c>
      <c r="BF20">
        <f t="shared" ca="1" si="10"/>
        <v>36.299999999999997</v>
      </c>
      <c r="BG20">
        <f t="shared" ca="1" si="10"/>
        <v>108.1</v>
      </c>
      <c r="BH20">
        <f t="shared" ca="1" si="10"/>
        <v>371.8</v>
      </c>
      <c r="BI20">
        <f t="shared" ca="1" si="10"/>
        <v>620.9</v>
      </c>
      <c r="BK20">
        <f t="shared" si="18"/>
        <v>2017</v>
      </c>
      <c r="BL20">
        <f t="shared" ca="1" si="11"/>
        <v>474.3</v>
      </c>
      <c r="BM20">
        <f t="shared" ca="1" si="4"/>
        <v>352.5</v>
      </c>
      <c r="BN20">
        <f t="shared" ca="1" si="4"/>
        <v>410.4</v>
      </c>
      <c r="BO20">
        <f t="shared" ca="1" si="4"/>
        <v>145.69999999999996</v>
      </c>
      <c r="BP20">
        <f t="shared" ca="1" si="4"/>
        <v>92.100000000000023</v>
      </c>
      <c r="BQ20">
        <f t="shared" ca="1" si="4"/>
        <v>0.70000000000000107</v>
      </c>
      <c r="BR20">
        <f t="shared" ca="1" si="4"/>
        <v>0</v>
      </c>
      <c r="BS20">
        <f t="shared" ca="1" si="4"/>
        <v>0.80000000000000071</v>
      </c>
      <c r="BT20">
        <f t="shared" ca="1" si="4"/>
        <v>13.7</v>
      </c>
      <c r="BU20">
        <f t="shared" ca="1" si="4"/>
        <v>74.899999999999991</v>
      </c>
      <c r="BV20">
        <f t="shared" ca="1" si="4"/>
        <v>311.8</v>
      </c>
      <c r="BW20">
        <f t="shared" ca="1" si="4"/>
        <v>558.9</v>
      </c>
      <c r="BY20">
        <f t="shared" si="19"/>
        <v>2017</v>
      </c>
      <c r="BZ20">
        <f t="shared" ca="1" si="12"/>
        <v>412.30000000000007</v>
      </c>
      <c r="CA20">
        <f t="shared" ca="1" si="12"/>
        <v>296.49999999999994</v>
      </c>
      <c r="CB20">
        <f t="shared" ca="1" si="12"/>
        <v>348.4</v>
      </c>
      <c r="CC20">
        <f t="shared" ca="1" si="12"/>
        <v>100.60000000000001</v>
      </c>
      <c r="CD20">
        <f t="shared" ca="1" si="12"/>
        <v>61.100000000000009</v>
      </c>
      <c r="CE20">
        <f t="shared" ca="1" si="12"/>
        <v>0</v>
      </c>
      <c r="CF20">
        <f t="shared" ca="1" si="12"/>
        <v>0</v>
      </c>
      <c r="CG20">
        <f t="shared" ca="1" si="12"/>
        <v>0</v>
      </c>
      <c r="CH20">
        <f t="shared" ca="1" si="12"/>
        <v>3.2000000000000011</v>
      </c>
      <c r="CI20">
        <f t="shared" ca="1" si="12"/>
        <v>48.2</v>
      </c>
      <c r="CJ20">
        <f t="shared" ca="1" si="12"/>
        <v>252.70000000000002</v>
      </c>
      <c r="CK20">
        <f t="shared" ca="1" si="12"/>
        <v>496.89999999999992</v>
      </c>
      <c r="CM20">
        <f t="shared" si="20"/>
        <v>2017</v>
      </c>
      <c r="CN20">
        <f t="shared" ca="1" si="13"/>
        <v>350.30000000000007</v>
      </c>
      <c r="CO20">
        <f t="shared" ca="1" si="13"/>
        <v>241.89999999999998</v>
      </c>
      <c r="CP20">
        <f t="shared" ca="1" si="13"/>
        <v>288.09999999999997</v>
      </c>
      <c r="CQ20">
        <f t="shared" ca="1" si="13"/>
        <v>58.7</v>
      </c>
      <c r="CR20">
        <f t="shared" ca="1" si="13"/>
        <v>33.099999999999994</v>
      </c>
      <c r="CS20">
        <f t="shared" ca="1" si="13"/>
        <v>0</v>
      </c>
      <c r="CT20">
        <f t="shared" ca="1" si="13"/>
        <v>0</v>
      </c>
      <c r="CU20">
        <f t="shared" ca="1" si="13"/>
        <v>0</v>
      </c>
      <c r="CV20">
        <f t="shared" ca="1" si="13"/>
        <v>0</v>
      </c>
      <c r="CW20">
        <f t="shared" ca="1" si="13"/>
        <v>29.299999999999997</v>
      </c>
      <c r="CX20">
        <f t="shared" ca="1" si="13"/>
        <v>195.2</v>
      </c>
      <c r="CY20">
        <f t="shared" ca="1" si="13"/>
        <v>434.9</v>
      </c>
      <c r="DA20">
        <f t="shared" si="21"/>
        <v>2017</v>
      </c>
      <c r="DB20">
        <f t="shared" ca="1" si="14"/>
        <v>288.3</v>
      </c>
      <c r="DC20">
        <f t="shared" ca="1" si="14"/>
        <v>192.80000000000004</v>
      </c>
      <c r="DD20">
        <f t="shared" ca="1" si="14"/>
        <v>230.69999999999996</v>
      </c>
      <c r="DE20">
        <f t="shared" ca="1" si="14"/>
        <v>28.499999999999996</v>
      </c>
      <c r="DF20">
        <f t="shared" ca="1" si="14"/>
        <v>12.599999999999998</v>
      </c>
      <c r="DG20">
        <f t="shared" ca="1" si="14"/>
        <v>0</v>
      </c>
      <c r="DH20">
        <f t="shared" ca="1" si="14"/>
        <v>0</v>
      </c>
      <c r="DI20">
        <f t="shared" ca="1" si="14"/>
        <v>0</v>
      </c>
      <c r="DJ20">
        <f t="shared" ca="1" si="14"/>
        <v>0</v>
      </c>
      <c r="DK20">
        <f t="shared" ca="1" si="14"/>
        <v>15.599999999999998</v>
      </c>
      <c r="DL20">
        <f t="shared" ca="1" si="14"/>
        <v>141.20000000000002</v>
      </c>
      <c r="DM20">
        <f t="shared" ca="1" si="14"/>
        <v>372.89999999999992</v>
      </c>
    </row>
    <row r="21" spans="1:117">
      <c r="A21">
        <v>2000</v>
      </c>
      <c r="B21">
        <v>8</v>
      </c>
      <c r="C21">
        <v>53.7</v>
      </c>
      <c r="D21">
        <v>29.1</v>
      </c>
      <c r="E21">
        <v>26.6</v>
      </c>
      <c r="F21">
        <v>64</v>
      </c>
      <c r="G21">
        <v>10.9</v>
      </c>
      <c r="H21">
        <v>110.29999999999998</v>
      </c>
      <c r="I21">
        <v>1.9000000000000004</v>
      </c>
      <c r="J21">
        <v>163.29999999999998</v>
      </c>
      <c r="K21">
        <v>0</v>
      </c>
      <c r="L21">
        <v>223.39999999999998</v>
      </c>
      <c r="M21">
        <v>0</v>
      </c>
      <c r="N21">
        <v>285.39999999999992</v>
      </c>
      <c r="O21">
        <v>0</v>
      </c>
      <c r="P21">
        <v>347.4</v>
      </c>
      <c r="Q21">
        <v>19.206451612903223</v>
      </c>
      <c r="U21">
        <f t="shared" si="15"/>
        <v>2018</v>
      </c>
      <c r="V21">
        <f t="shared" ca="1" si="8"/>
        <v>779.5</v>
      </c>
      <c r="W21">
        <f t="shared" ca="1" si="8"/>
        <v>624.4</v>
      </c>
      <c r="X21">
        <f t="shared" ca="1" si="8"/>
        <v>637.19999999999993</v>
      </c>
      <c r="Y21">
        <f t="shared" ca="1" si="8"/>
        <v>492</v>
      </c>
      <c r="Z21">
        <f t="shared" ca="1" si="8"/>
        <v>160.89999999999998</v>
      </c>
      <c r="AA21">
        <f t="shared" ca="1" si="8"/>
        <v>75.100000000000023</v>
      </c>
      <c r="AB21">
        <f t="shared" ca="1" si="8"/>
        <v>10.799999999999997</v>
      </c>
      <c r="AC21">
        <f t="shared" ca="1" si="8"/>
        <v>7.2999999999999972</v>
      </c>
      <c r="AD21">
        <f t="shared" ca="1" si="8"/>
        <v>96.999999999999986</v>
      </c>
      <c r="AE21">
        <f t="shared" ca="1" si="8"/>
        <v>317.8</v>
      </c>
      <c r="AF21">
        <f t="shared" ca="1" si="8"/>
        <v>553.50000000000011</v>
      </c>
      <c r="AG21">
        <f t="shared" ca="1" si="8"/>
        <v>606.19999999999993</v>
      </c>
      <c r="AI21">
        <f t="shared" si="16"/>
        <v>2018</v>
      </c>
      <c r="AJ21">
        <f t="shared" ca="1" si="9"/>
        <v>717.49999999999989</v>
      </c>
      <c r="AK21">
        <f t="shared" ca="1" si="9"/>
        <v>568.4</v>
      </c>
      <c r="AL21">
        <f t="shared" ca="1" si="9"/>
        <v>575.19999999999993</v>
      </c>
      <c r="AM21">
        <f t="shared" ca="1" si="9"/>
        <v>432</v>
      </c>
      <c r="AN21">
        <f t="shared" ca="1" si="9"/>
        <v>115.69999999999999</v>
      </c>
      <c r="AO21">
        <f t="shared" ca="1" si="9"/>
        <v>39.499999999999993</v>
      </c>
      <c r="AP21">
        <f t="shared" ca="1" si="9"/>
        <v>2.3999999999999986</v>
      </c>
      <c r="AQ21">
        <f t="shared" ca="1" si="9"/>
        <v>1.3999999999999986</v>
      </c>
      <c r="AR21">
        <f t="shared" ca="1" si="9"/>
        <v>62.199999999999996</v>
      </c>
      <c r="AS21">
        <f t="shared" ca="1" si="9"/>
        <v>262.7</v>
      </c>
      <c r="AT21">
        <f t="shared" ca="1" si="9"/>
        <v>493.50000000000006</v>
      </c>
      <c r="AU21">
        <f t="shared" ca="1" si="9"/>
        <v>544.19999999999993</v>
      </c>
      <c r="AV21" s="70">
        <f t="shared" ca="1" si="22"/>
        <v>3814.6999999999994</v>
      </c>
      <c r="AW21">
        <f t="shared" si="17"/>
        <v>2018</v>
      </c>
      <c r="AX21">
        <f t="shared" ca="1" si="10"/>
        <v>655.49999999999989</v>
      </c>
      <c r="AY21">
        <f t="shared" ca="1" si="10"/>
        <v>512.4</v>
      </c>
      <c r="AZ21">
        <f t="shared" ca="1" si="10"/>
        <v>513.19999999999993</v>
      </c>
      <c r="BA21">
        <f t="shared" ca="1" si="10"/>
        <v>372.00000000000006</v>
      </c>
      <c r="BB21">
        <f t="shared" ca="1" si="10"/>
        <v>76.600000000000009</v>
      </c>
      <c r="BC21">
        <f t="shared" ca="1" si="10"/>
        <v>14.299999999999999</v>
      </c>
      <c r="BD21">
        <f t="shared" ca="1" si="10"/>
        <v>0</v>
      </c>
      <c r="BE21">
        <f t="shared" ca="1" si="10"/>
        <v>0</v>
      </c>
      <c r="BF21">
        <f t="shared" ca="1" si="10"/>
        <v>35.199999999999996</v>
      </c>
      <c r="BG21">
        <f t="shared" ca="1" si="10"/>
        <v>210.20000000000002</v>
      </c>
      <c r="BH21">
        <f t="shared" ca="1" si="10"/>
        <v>433.50000000000006</v>
      </c>
      <c r="BI21">
        <f t="shared" ca="1" si="10"/>
        <v>482.19999999999987</v>
      </c>
      <c r="BK21">
        <f t="shared" si="18"/>
        <v>2018</v>
      </c>
      <c r="BL21">
        <f t="shared" ca="1" si="11"/>
        <v>593.49999999999989</v>
      </c>
      <c r="BM21">
        <f t="shared" ca="1" si="11"/>
        <v>456.40000000000003</v>
      </c>
      <c r="BN21">
        <f t="shared" ca="1" si="11"/>
        <v>451.2</v>
      </c>
      <c r="BO21">
        <f t="shared" ca="1" si="11"/>
        <v>312.00000000000006</v>
      </c>
      <c r="BP21">
        <f t="shared" ca="1" si="11"/>
        <v>47.5</v>
      </c>
      <c r="BQ21">
        <f t="shared" ca="1" si="11"/>
        <v>5.2999999999999989</v>
      </c>
      <c r="BR21">
        <f t="shared" ca="1" si="11"/>
        <v>0</v>
      </c>
      <c r="BS21">
        <f t="shared" ca="1" si="11"/>
        <v>0</v>
      </c>
      <c r="BT21">
        <f t="shared" ca="1" si="11"/>
        <v>15.100000000000001</v>
      </c>
      <c r="BU21">
        <f t="shared" ca="1" si="11"/>
        <v>160.9</v>
      </c>
      <c r="BV21">
        <f t="shared" ca="1" si="11"/>
        <v>373.50000000000011</v>
      </c>
      <c r="BW21">
        <f t="shared" ca="1" si="11"/>
        <v>420.19999999999987</v>
      </c>
      <c r="BY21">
        <f t="shared" si="19"/>
        <v>2018</v>
      </c>
      <c r="BZ21">
        <f t="shared" ca="1" si="12"/>
        <v>531.5</v>
      </c>
      <c r="CA21">
        <f t="shared" ca="1" si="12"/>
        <v>400.40000000000003</v>
      </c>
      <c r="CB21">
        <f t="shared" ca="1" si="12"/>
        <v>389.2</v>
      </c>
      <c r="CC21">
        <f t="shared" ca="1" si="12"/>
        <v>254.20000000000002</v>
      </c>
      <c r="CD21">
        <f t="shared" ca="1" si="12"/>
        <v>25.4</v>
      </c>
      <c r="CE21">
        <f t="shared" ca="1" si="12"/>
        <v>0.69999999999999929</v>
      </c>
      <c r="CF21">
        <f t="shared" ca="1" si="12"/>
        <v>0</v>
      </c>
      <c r="CG21">
        <f t="shared" ca="1" si="12"/>
        <v>0</v>
      </c>
      <c r="CH21">
        <f t="shared" ca="1" si="12"/>
        <v>3.9000000000000004</v>
      </c>
      <c r="CI21">
        <f t="shared" ca="1" si="12"/>
        <v>116.60000000000001</v>
      </c>
      <c r="CJ21">
        <f t="shared" ca="1" si="12"/>
        <v>313.5</v>
      </c>
      <c r="CK21">
        <f t="shared" ca="1" si="12"/>
        <v>358.19999999999993</v>
      </c>
      <c r="CM21">
        <f t="shared" si="20"/>
        <v>2018</v>
      </c>
      <c r="CN21">
        <f t="shared" ca="1" si="13"/>
        <v>469.49999999999994</v>
      </c>
      <c r="CO21">
        <f t="shared" ca="1" si="13"/>
        <v>346.1</v>
      </c>
      <c r="CP21">
        <f t="shared" ca="1" si="13"/>
        <v>327.20000000000005</v>
      </c>
      <c r="CQ21">
        <f t="shared" ca="1" si="13"/>
        <v>199.5</v>
      </c>
      <c r="CR21">
        <f t="shared" ca="1" si="13"/>
        <v>10.899999999999999</v>
      </c>
      <c r="CS21">
        <f t="shared" ca="1" si="13"/>
        <v>0</v>
      </c>
      <c r="CT21">
        <f t="shared" ca="1" si="13"/>
        <v>0</v>
      </c>
      <c r="CU21">
        <f t="shared" ca="1" si="13"/>
        <v>0</v>
      </c>
      <c r="CV21">
        <f t="shared" ca="1" si="13"/>
        <v>0</v>
      </c>
      <c r="CW21">
        <f t="shared" ca="1" si="13"/>
        <v>74</v>
      </c>
      <c r="CX21">
        <f t="shared" ca="1" si="13"/>
        <v>254.49999999999997</v>
      </c>
      <c r="CY21">
        <f t="shared" ca="1" si="13"/>
        <v>296.2</v>
      </c>
      <c r="DA21">
        <f t="shared" si="21"/>
        <v>2018</v>
      </c>
      <c r="DB21">
        <f t="shared" ca="1" si="14"/>
        <v>407.8</v>
      </c>
      <c r="DC21">
        <f t="shared" ca="1" si="14"/>
        <v>292.80000000000007</v>
      </c>
      <c r="DD21">
        <f t="shared" ca="1" si="14"/>
        <v>265.20000000000005</v>
      </c>
      <c r="DE21">
        <f t="shared" ca="1" si="14"/>
        <v>149.6</v>
      </c>
      <c r="DF21">
        <f t="shared" ca="1" si="14"/>
        <v>3.6999999999999993</v>
      </c>
      <c r="DG21">
        <f t="shared" ca="1" si="14"/>
        <v>0</v>
      </c>
      <c r="DH21">
        <f t="shared" ca="1" si="14"/>
        <v>0</v>
      </c>
      <c r="DI21">
        <f t="shared" ca="1" si="14"/>
        <v>0</v>
      </c>
      <c r="DJ21">
        <f t="shared" ca="1" si="14"/>
        <v>0</v>
      </c>
      <c r="DK21">
        <f t="shared" ca="1" si="14"/>
        <v>35.4</v>
      </c>
      <c r="DL21">
        <f t="shared" ca="1" si="14"/>
        <v>198.5</v>
      </c>
      <c r="DM21">
        <f t="shared" ca="1" si="14"/>
        <v>235.70000000000002</v>
      </c>
    </row>
    <row r="22" spans="1:117">
      <c r="A22">
        <v>2000</v>
      </c>
      <c r="B22">
        <v>9</v>
      </c>
      <c r="C22">
        <v>139.19999999999999</v>
      </c>
      <c r="D22">
        <v>17.400000000000002</v>
      </c>
      <c r="E22">
        <v>97.2</v>
      </c>
      <c r="F22">
        <v>35.4</v>
      </c>
      <c r="G22">
        <v>61.3</v>
      </c>
      <c r="H22">
        <v>59.5</v>
      </c>
      <c r="I22">
        <v>32.900000000000006</v>
      </c>
      <c r="J22">
        <v>91.100000000000009</v>
      </c>
      <c r="K22">
        <v>13.6</v>
      </c>
      <c r="L22">
        <v>131.79999999999998</v>
      </c>
      <c r="M22">
        <v>4.9999999999999991</v>
      </c>
      <c r="N22">
        <v>183.19999999999996</v>
      </c>
      <c r="O22">
        <v>1.7999999999999998</v>
      </c>
      <c r="P22">
        <v>239.99999999999994</v>
      </c>
      <c r="Q22">
        <v>15.940000000000003</v>
      </c>
      <c r="U22">
        <f t="shared" si="15"/>
        <v>2019</v>
      </c>
      <c r="V22">
        <f t="shared" ca="1" si="8"/>
        <v>780.8</v>
      </c>
      <c r="W22">
        <f t="shared" ca="1" si="8"/>
        <v>660.5</v>
      </c>
      <c r="X22">
        <f t="shared" ca="1" si="8"/>
        <v>636.59999999999991</v>
      </c>
      <c r="Y22">
        <f t="shared" ca="1" si="8"/>
        <v>390.3</v>
      </c>
      <c r="Z22">
        <f t="shared" ca="1" si="8"/>
        <v>258.19999999999993</v>
      </c>
      <c r="AA22">
        <f t="shared" ca="1" si="8"/>
        <v>101.90000000000002</v>
      </c>
      <c r="AB22">
        <f t="shared" ca="1" si="8"/>
        <v>9.1999999999999993</v>
      </c>
      <c r="AC22">
        <f t="shared" ca="1" si="8"/>
        <v>23.400000000000002</v>
      </c>
      <c r="AD22">
        <f t="shared" ca="1" si="8"/>
        <v>69.900000000000006</v>
      </c>
      <c r="AE22">
        <f t="shared" ca="1" si="8"/>
        <v>293.8</v>
      </c>
      <c r="AF22">
        <f t="shared" ca="1" si="8"/>
        <v>563</v>
      </c>
      <c r="AG22">
        <f t="shared" ca="1" si="8"/>
        <v>595.1</v>
      </c>
      <c r="AI22">
        <f t="shared" si="16"/>
        <v>2019</v>
      </c>
      <c r="AJ22">
        <f t="shared" ca="1" si="9"/>
        <v>718.8</v>
      </c>
      <c r="AK22">
        <f t="shared" ca="1" si="9"/>
        <v>604.5</v>
      </c>
      <c r="AL22">
        <f t="shared" ca="1" si="9"/>
        <v>574.6</v>
      </c>
      <c r="AM22">
        <f t="shared" ca="1" si="9"/>
        <v>330.3</v>
      </c>
      <c r="AN22">
        <f t="shared" ca="1" si="9"/>
        <v>199.39999999999995</v>
      </c>
      <c r="AO22">
        <f t="shared" ca="1" si="9"/>
        <v>58.5</v>
      </c>
      <c r="AP22">
        <f t="shared" ca="1" si="9"/>
        <v>1.3999999999999986</v>
      </c>
      <c r="AQ22">
        <f t="shared" ca="1" si="9"/>
        <v>5.3000000000000007</v>
      </c>
      <c r="AR22">
        <f t="shared" ca="1" si="9"/>
        <v>32.6</v>
      </c>
      <c r="AS22">
        <f t="shared" ca="1" si="9"/>
        <v>233.80000000000007</v>
      </c>
      <c r="AT22">
        <f t="shared" ca="1" si="9"/>
        <v>503</v>
      </c>
      <c r="AU22">
        <f t="shared" ca="1" si="9"/>
        <v>533.1</v>
      </c>
      <c r="AV22" s="70">
        <f t="shared" ca="1" si="22"/>
        <v>3795.3000000000006</v>
      </c>
      <c r="AW22">
        <f t="shared" si="17"/>
        <v>2019</v>
      </c>
      <c r="AX22">
        <f t="shared" ca="1" si="10"/>
        <v>656.80000000000007</v>
      </c>
      <c r="AY22">
        <f t="shared" ca="1" si="10"/>
        <v>548.5</v>
      </c>
      <c r="AZ22">
        <f t="shared" ca="1" si="10"/>
        <v>512.60000000000014</v>
      </c>
      <c r="BA22">
        <f t="shared" ca="1" si="10"/>
        <v>270.30000000000007</v>
      </c>
      <c r="BB22">
        <f t="shared" ca="1" si="10"/>
        <v>143.4</v>
      </c>
      <c r="BC22">
        <f t="shared" ca="1" si="10"/>
        <v>27.199999999999996</v>
      </c>
      <c r="BD22">
        <f t="shared" ca="1" si="10"/>
        <v>0</v>
      </c>
      <c r="BE22">
        <f t="shared" ca="1" si="10"/>
        <v>0</v>
      </c>
      <c r="BF22">
        <f t="shared" ca="1" si="10"/>
        <v>10.099999999999998</v>
      </c>
      <c r="BG22">
        <f t="shared" ca="1" si="10"/>
        <v>174.10000000000005</v>
      </c>
      <c r="BH22">
        <f t="shared" ca="1" si="10"/>
        <v>442.99999999999994</v>
      </c>
      <c r="BI22">
        <f t="shared" ca="1" si="10"/>
        <v>471.1</v>
      </c>
      <c r="BK22">
        <f t="shared" si="18"/>
        <v>2019</v>
      </c>
      <c r="BL22">
        <f t="shared" ca="1" si="11"/>
        <v>594.79999999999995</v>
      </c>
      <c r="BM22">
        <f t="shared" ca="1" si="11"/>
        <v>492.5</v>
      </c>
      <c r="BN22">
        <f t="shared" ca="1" si="11"/>
        <v>450.60000000000014</v>
      </c>
      <c r="BO22">
        <f t="shared" ca="1" si="11"/>
        <v>210.80000000000007</v>
      </c>
      <c r="BP22">
        <f t="shared" ca="1" si="11"/>
        <v>95.2</v>
      </c>
      <c r="BQ22">
        <f t="shared" ca="1" si="11"/>
        <v>9.3000000000000007</v>
      </c>
      <c r="BR22">
        <f t="shared" ca="1" si="11"/>
        <v>0</v>
      </c>
      <c r="BS22">
        <f t="shared" ca="1" si="11"/>
        <v>0</v>
      </c>
      <c r="BT22">
        <f t="shared" ca="1" si="11"/>
        <v>0.59999999999999964</v>
      </c>
      <c r="BU22">
        <f t="shared" ca="1" si="11"/>
        <v>118.5</v>
      </c>
      <c r="BV22">
        <f t="shared" ca="1" si="11"/>
        <v>383</v>
      </c>
      <c r="BW22">
        <f t="shared" ca="1" si="11"/>
        <v>409.1</v>
      </c>
      <c r="BY22">
        <f t="shared" si="19"/>
        <v>2019</v>
      </c>
      <c r="BZ22">
        <f t="shared" ca="1" si="12"/>
        <v>532.79999999999995</v>
      </c>
      <c r="CA22">
        <f t="shared" ca="1" si="12"/>
        <v>436.5</v>
      </c>
      <c r="CB22">
        <f t="shared" ca="1" si="12"/>
        <v>388.60000000000008</v>
      </c>
      <c r="CC22">
        <f t="shared" ca="1" si="12"/>
        <v>155.90000000000003</v>
      </c>
      <c r="CD22">
        <f t="shared" ca="1" si="12"/>
        <v>56.300000000000004</v>
      </c>
      <c r="CE22">
        <f t="shared" ca="1" si="12"/>
        <v>2.8000000000000007</v>
      </c>
      <c r="CF22">
        <f t="shared" ca="1" si="12"/>
        <v>0</v>
      </c>
      <c r="CG22">
        <f t="shared" ca="1" si="12"/>
        <v>0</v>
      </c>
      <c r="CH22">
        <f t="shared" ca="1" si="12"/>
        <v>0</v>
      </c>
      <c r="CI22">
        <f t="shared" ca="1" si="12"/>
        <v>71.3</v>
      </c>
      <c r="CJ22">
        <f t="shared" ca="1" si="12"/>
        <v>323</v>
      </c>
      <c r="CK22">
        <f t="shared" ca="1" si="12"/>
        <v>347.1</v>
      </c>
      <c r="CM22">
        <f t="shared" si="20"/>
        <v>2019</v>
      </c>
      <c r="CN22">
        <f t="shared" ca="1" si="13"/>
        <v>470.79999999999995</v>
      </c>
      <c r="CO22">
        <f t="shared" ca="1" si="13"/>
        <v>380.5</v>
      </c>
      <c r="CP22">
        <f t="shared" ca="1" si="13"/>
        <v>327.2000000000001</v>
      </c>
      <c r="CQ22">
        <f t="shared" ca="1" si="13"/>
        <v>109.30000000000001</v>
      </c>
      <c r="CR22">
        <f t="shared" ca="1" si="13"/>
        <v>30.4</v>
      </c>
      <c r="CS22">
        <f t="shared" ca="1" si="13"/>
        <v>0</v>
      </c>
      <c r="CT22">
        <f t="shared" ca="1" si="13"/>
        <v>0</v>
      </c>
      <c r="CU22">
        <f t="shared" ca="1" si="13"/>
        <v>0</v>
      </c>
      <c r="CV22">
        <f t="shared" ca="1" si="13"/>
        <v>0</v>
      </c>
      <c r="CW22">
        <f t="shared" ca="1" si="13"/>
        <v>36.200000000000003</v>
      </c>
      <c r="CX22">
        <f t="shared" ca="1" si="13"/>
        <v>262.99999999999994</v>
      </c>
      <c r="CY22">
        <f t="shared" ca="1" si="13"/>
        <v>285.09999999999997</v>
      </c>
      <c r="DA22">
        <f t="shared" si="21"/>
        <v>2019</v>
      </c>
      <c r="DB22">
        <f t="shared" ca="1" si="14"/>
        <v>408.8</v>
      </c>
      <c r="DC22">
        <f t="shared" ca="1" si="14"/>
        <v>324.5</v>
      </c>
      <c r="DD22">
        <f t="shared" ca="1" si="14"/>
        <v>268.90000000000003</v>
      </c>
      <c r="DE22">
        <f t="shared" ca="1" si="14"/>
        <v>67.799999999999983</v>
      </c>
      <c r="DF22">
        <f t="shared" ca="1" si="14"/>
        <v>13.5</v>
      </c>
      <c r="DG22">
        <f t="shared" ca="1" si="14"/>
        <v>0</v>
      </c>
      <c r="DH22">
        <f t="shared" ca="1" si="14"/>
        <v>0</v>
      </c>
      <c r="DI22">
        <f t="shared" ca="1" si="14"/>
        <v>0</v>
      </c>
      <c r="DJ22">
        <f t="shared" ca="1" si="14"/>
        <v>0</v>
      </c>
      <c r="DK22">
        <f t="shared" ca="1" si="14"/>
        <v>14</v>
      </c>
      <c r="DL22">
        <f t="shared" ca="1" si="14"/>
        <v>203.19999999999996</v>
      </c>
      <c r="DM22">
        <f t="shared" ca="1" si="14"/>
        <v>223.5</v>
      </c>
    </row>
    <row r="23" spans="1:117">
      <c r="A23">
        <v>2000</v>
      </c>
      <c r="B23">
        <v>10</v>
      </c>
      <c r="C23">
        <v>266.09999999999997</v>
      </c>
      <c r="D23">
        <v>0</v>
      </c>
      <c r="E23">
        <v>205.39999999999995</v>
      </c>
      <c r="F23">
        <v>1.3000000000000007</v>
      </c>
      <c r="G23">
        <v>149.19999999999996</v>
      </c>
      <c r="H23">
        <v>7.1000000000000014</v>
      </c>
      <c r="I23">
        <v>101.30000000000001</v>
      </c>
      <c r="J23">
        <v>21.200000000000003</v>
      </c>
      <c r="K23">
        <v>62.6</v>
      </c>
      <c r="L23">
        <v>44.499999999999986</v>
      </c>
      <c r="M23">
        <v>36.800000000000004</v>
      </c>
      <c r="N23">
        <v>80.699999999999989</v>
      </c>
      <c r="O23">
        <v>19.5</v>
      </c>
      <c r="P23">
        <v>125.4</v>
      </c>
      <c r="Q23">
        <v>11.416129032258064</v>
      </c>
      <c r="U23">
        <f t="shared" si="15"/>
        <v>2020</v>
      </c>
      <c r="V23">
        <f t="shared" ca="1" si="8"/>
        <v>622.30000000000007</v>
      </c>
      <c r="W23">
        <f t="shared" ca="1" si="8"/>
        <v>642.40000000000009</v>
      </c>
      <c r="X23">
        <f t="shared" ca="1" si="8"/>
        <v>517.70000000000005</v>
      </c>
      <c r="Y23">
        <f t="shared" ca="1" si="8"/>
        <v>436.59999999999997</v>
      </c>
      <c r="Z23">
        <f t="shared" ca="1" si="8"/>
        <v>263.60000000000002</v>
      </c>
      <c r="AA23">
        <f t="shared" ca="1" si="8"/>
        <v>59.5</v>
      </c>
      <c r="AB23">
        <f t="shared" ca="1" si="8"/>
        <v>1.3000000000000007</v>
      </c>
      <c r="AC23">
        <f t="shared" ca="1" si="8"/>
        <v>16.899999999999999</v>
      </c>
      <c r="AD23">
        <f t="shared" ca="1" si="8"/>
        <v>127.69999999999999</v>
      </c>
      <c r="AE23">
        <f t="shared" ca="1" si="8"/>
        <v>319.8</v>
      </c>
      <c r="AF23">
        <f t="shared" ca="1" si="8"/>
        <v>386.19999999999993</v>
      </c>
      <c r="AG23">
        <f t="shared" ca="1" si="8"/>
        <v>607.40000000000009</v>
      </c>
      <c r="AI23">
        <f t="shared" si="16"/>
        <v>2020</v>
      </c>
      <c r="AJ23">
        <f t="shared" ca="1" si="9"/>
        <v>560.30000000000007</v>
      </c>
      <c r="AK23">
        <f t="shared" ca="1" si="9"/>
        <v>584.40000000000009</v>
      </c>
      <c r="AL23">
        <f t="shared" ca="1" si="9"/>
        <v>455.7000000000001</v>
      </c>
      <c r="AM23">
        <f t="shared" ca="1" si="9"/>
        <v>376.6</v>
      </c>
      <c r="AN23">
        <f t="shared" ca="1" si="9"/>
        <v>212.40000000000003</v>
      </c>
      <c r="AO23">
        <f t="shared" ca="1" si="9"/>
        <v>33.4</v>
      </c>
      <c r="AP23">
        <f t="shared" ca="1" si="9"/>
        <v>0</v>
      </c>
      <c r="AQ23">
        <f t="shared" ca="1" si="9"/>
        <v>2.3999999999999986</v>
      </c>
      <c r="AR23">
        <f t="shared" ca="1" si="9"/>
        <v>83.399999999999991</v>
      </c>
      <c r="AS23">
        <f t="shared" ca="1" si="9"/>
        <v>257.8</v>
      </c>
      <c r="AT23">
        <f t="shared" ca="1" si="9"/>
        <v>326.99999999999994</v>
      </c>
      <c r="AU23">
        <f t="shared" ca="1" si="9"/>
        <v>545.4</v>
      </c>
      <c r="AV23" s="70">
        <f t="shared" ca="1" si="22"/>
        <v>3438.8000000000011</v>
      </c>
      <c r="AW23">
        <f t="shared" si="17"/>
        <v>2020</v>
      </c>
      <c r="AX23">
        <f t="shared" ca="1" si="10"/>
        <v>498.29999999999995</v>
      </c>
      <c r="AY23">
        <f t="shared" ca="1" si="10"/>
        <v>526.40000000000009</v>
      </c>
      <c r="AZ23">
        <f t="shared" ca="1" si="10"/>
        <v>393.70000000000005</v>
      </c>
      <c r="BA23">
        <f t="shared" ca="1" si="10"/>
        <v>316.60000000000002</v>
      </c>
      <c r="BB23">
        <f t="shared" ca="1" si="10"/>
        <v>164.40000000000003</v>
      </c>
      <c r="BC23">
        <f t="shared" ca="1" si="10"/>
        <v>16.099999999999998</v>
      </c>
      <c r="BD23">
        <f t="shared" ca="1" si="10"/>
        <v>0</v>
      </c>
      <c r="BE23">
        <f t="shared" ca="1" si="10"/>
        <v>0</v>
      </c>
      <c r="BF23">
        <f t="shared" ca="1" si="10"/>
        <v>47.600000000000009</v>
      </c>
      <c r="BG23">
        <f t="shared" ca="1" si="10"/>
        <v>196.4</v>
      </c>
      <c r="BH23">
        <f t="shared" ca="1" si="10"/>
        <v>269.60000000000002</v>
      </c>
      <c r="BI23">
        <f t="shared" ca="1" si="10"/>
        <v>483.40000000000003</v>
      </c>
      <c r="BK23">
        <f t="shared" si="18"/>
        <v>2020</v>
      </c>
      <c r="BL23">
        <f t="shared" ca="1" si="11"/>
        <v>436.29999999999995</v>
      </c>
      <c r="BM23">
        <f t="shared" ca="1" si="11"/>
        <v>468.4</v>
      </c>
      <c r="BN23">
        <f t="shared" ca="1" si="11"/>
        <v>331.70000000000005</v>
      </c>
      <c r="BO23">
        <f t="shared" ca="1" si="11"/>
        <v>257.10000000000008</v>
      </c>
      <c r="BP23">
        <f t="shared" ca="1" si="11"/>
        <v>121.30000000000003</v>
      </c>
      <c r="BQ23">
        <f t="shared" ca="1" si="11"/>
        <v>6.7999999999999989</v>
      </c>
      <c r="BR23">
        <f t="shared" ca="1" si="11"/>
        <v>0</v>
      </c>
      <c r="BS23">
        <f t="shared" ca="1" si="11"/>
        <v>0</v>
      </c>
      <c r="BT23">
        <f t="shared" ca="1" si="11"/>
        <v>21.7</v>
      </c>
      <c r="BU23">
        <f t="shared" ca="1" si="11"/>
        <v>139.79999999999998</v>
      </c>
      <c r="BV23">
        <f t="shared" ca="1" si="11"/>
        <v>213.70000000000002</v>
      </c>
      <c r="BW23">
        <f t="shared" ca="1" si="11"/>
        <v>421.4</v>
      </c>
      <c r="BY23">
        <f t="shared" si="19"/>
        <v>2020</v>
      </c>
      <c r="BZ23">
        <f t="shared" ca="1" si="12"/>
        <v>374.29999999999995</v>
      </c>
      <c r="CA23">
        <f t="shared" ca="1" si="12"/>
        <v>410.4</v>
      </c>
      <c r="CB23">
        <f t="shared" ca="1" si="12"/>
        <v>270.60000000000002</v>
      </c>
      <c r="CC23">
        <f t="shared" ca="1" si="12"/>
        <v>201.10000000000005</v>
      </c>
      <c r="CD23">
        <f t="shared" ca="1" si="12"/>
        <v>87.800000000000026</v>
      </c>
      <c r="CE23">
        <f t="shared" ca="1" si="12"/>
        <v>0.19999999999999929</v>
      </c>
      <c r="CF23">
        <f t="shared" ca="1" si="12"/>
        <v>0</v>
      </c>
      <c r="CG23">
        <f t="shared" ca="1" si="12"/>
        <v>0</v>
      </c>
      <c r="CH23">
        <f t="shared" ca="1" si="12"/>
        <v>7.1</v>
      </c>
      <c r="CI23">
        <f t="shared" ca="1" si="12"/>
        <v>90.1</v>
      </c>
      <c r="CJ23">
        <f t="shared" ca="1" si="12"/>
        <v>164.70000000000002</v>
      </c>
      <c r="CK23">
        <f t="shared" ca="1" si="12"/>
        <v>359.4</v>
      </c>
      <c r="CM23">
        <f t="shared" si="20"/>
        <v>2020</v>
      </c>
      <c r="CN23">
        <f t="shared" ca="1" si="13"/>
        <v>312.29999999999995</v>
      </c>
      <c r="CO23">
        <f t="shared" ca="1" si="13"/>
        <v>352.39999999999992</v>
      </c>
      <c r="CP23">
        <f t="shared" ca="1" si="13"/>
        <v>211.29999999999998</v>
      </c>
      <c r="CQ23">
        <f t="shared" ca="1" si="13"/>
        <v>146.90000000000006</v>
      </c>
      <c r="CR23">
        <f t="shared" ca="1" si="13"/>
        <v>59.899999999999991</v>
      </c>
      <c r="CS23">
        <f t="shared" ca="1" si="13"/>
        <v>0</v>
      </c>
      <c r="CT23">
        <f t="shared" ca="1" si="13"/>
        <v>0</v>
      </c>
      <c r="CU23">
        <f t="shared" ca="1" si="13"/>
        <v>0</v>
      </c>
      <c r="CV23">
        <f t="shared" ca="1" si="13"/>
        <v>3.0999999999999996</v>
      </c>
      <c r="CW23">
        <f t="shared" ca="1" si="13"/>
        <v>54.2</v>
      </c>
      <c r="CX23">
        <f t="shared" ca="1" si="13"/>
        <v>121.00000000000001</v>
      </c>
      <c r="CY23">
        <f t="shared" ca="1" si="13"/>
        <v>297.39999999999998</v>
      </c>
      <c r="DA23">
        <f t="shared" si="21"/>
        <v>2020</v>
      </c>
      <c r="DB23">
        <f t="shared" ca="1" si="14"/>
        <v>250.29999999999995</v>
      </c>
      <c r="DC23">
        <f t="shared" ca="1" si="14"/>
        <v>294.40000000000003</v>
      </c>
      <c r="DD23">
        <f t="shared" ca="1" si="14"/>
        <v>153.29999999999998</v>
      </c>
      <c r="DE23">
        <f t="shared" ca="1" si="14"/>
        <v>96.499999999999986</v>
      </c>
      <c r="DF23">
        <f t="shared" ca="1" si="14"/>
        <v>36.099999999999994</v>
      </c>
      <c r="DG23">
        <f t="shared" ca="1" si="14"/>
        <v>0</v>
      </c>
      <c r="DH23">
        <f t="shared" ca="1" si="14"/>
        <v>0</v>
      </c>
      <c r="DI23">
        <f t="shared" ca="1" si="14"/>
        <v>0</v>
      </c>
      <c r="DJ23">
        <f t="shared" ca="1" si="14"/>
        <v>9.9999999999999645E-2</v>
      </c>
      <c r="DK23">
        <f t="shared" ca="1" si="14"/>
        <v>27.5</v>
      </c>
      <c r="DL23">
        <f t="shared" ca="1" si="14"/>
        <v>82.8</v>
      </c>
      <c r="DM23">
        <f t="shared" ca="1" si="14"/>
        <v>235.39999999999995</v>
      </c>
    </row>
    <row r="24" spans="1:117">
      <c r="A24">
        <v>2000</v>
      </c>
      <c r="B24">
        <v>11</v>
      </c>
      <c r="C24">
        <v>477.09999999999991</v>
      </c>
      <c r="D24">
        <v>0</v>
      </c>
      <c r="E24">
        <v>417.09999999999991</v>
      </c>
      <c r="F24">
        <v>0</v>
      </c>
      <c r="G24">
        <v>357.09999999999997</v>
      </c>
      <c r="H24">
        <v>0</v>
      </c>
      <c r="I24">
        <v>297.09999999999991</v>
      </c>
      <c r="J24">
        <v>0</v>
      </c>
      <c r="K24">
        <v>239.59999999999997</v>
      </c>
      <c r="L24">
        <v>2.4999999999999982</v>
      </c>
      <c r="M24">
        <v>188.1</v>
      </c>
      <c r="N24">
        <v>10.999999999999998</v>
      </c>
      <c r="O24">
        <v>139.4</v>
      </c>
      <c r="P24">
        <v>22.3</v>
      </c>
      <c r="Q24">
        <v>4.0966666666666658</v>
      </c>
      <c r="U24">
        <f t="shared" si="15"/>
        <v>2021</v>
      </c>
      <c r="V24">
        <f t="shared" ca="1" si="8"/>
        <v>679.19999999999982</v>
      </c>
      <c r="W24">
        <f t="shared" ca="1" si="8"/>
        <v>713.6</v>
      </c>
      <c r="X24">
        <f t="shared" ca="1" si="8"/>
        <v>492.5</v>
      </c>
      <c r="Y24">
        <f t="shared" ca="1" si="8"/>
        <v>338.09999999999991</v>
      </c>
      <c r="Z24">
        <f t="shared" ca="1" si="8"/>
        <v>232.9</v>
      </c>
      <c r="AA24">
        <f t="shared" ca="1" si="8"/>
        <v>31.900000000000006</v>
      </c>
      <c r="AB24">
        <f t="shared" ca="1" si="8"/>
        <v>25.4</v>
      </c>
      <c r="AC24">
        <f t="shared" ca="1" si="8"/>
        <v>13.299999999999997</v>
      </c>
      <c r="AD24">
        <f t="shared" ca="1" si="8"/>
        <v>84.5</v>
      </c>
      <c r="AE24">
        <f t="shared" ca="1" si="8"/>
        <v>177.60000000000002</v>
      </c>
      <c r="AF24">
        <f t="shared" ca="1" si="8"/>
        <v>483.09999999999997</v>
      </c>
      <c r="AG24">
        <f t="shared" ca="1" si="8"/>
        <v>559.4</v>
      </c>
      <c r="AI24">
        <f t="shared" si="16"/>
        <v>2021</v>
      </c>
      <c r="AJ24">
        <f t="shared" ca="1" si="9"/>
        <v>617.19999999999982</v>
      </c>
      <c r="AK24">
        <f t="shared" ca="1" si="9"/>
        <v>657.59999999999991</v>
      </c>
      <c r="AL24">
        <f t="shared" ca="1" si="9"/>
        <v>430.5</v>
      </c>
      <c r="AM24">
        <f t="shared" ca="1" si="9"/>
        <v>279.7</v>
      </c>
      <c r="AN24">
        <f t="shared" ca="1" si="9"/>
        <v>180.70000000000002</v>
      </c>
      <c r="AO24">
        <f t="shared" ca="1" si="9"/>
        <v>13.400000000000004</v>
      </c>
      <c r="AP24">
        <f t="shared" ca="1" si="9"/>
        <v>7.6999999999999993</v>
      </c>
      <c r="AQ24">
        <f t="shared" ca="1" si="9"/>
        <v>3.3000000000000007</v>
      </c>
      <c r="AR24">
        <f t="shared" ca="1" si="9"/>
        <v>45.8</v>
      </c>
      <c r="AS24">
        <f t="shared" ca="1" si="9"/>
        <v>133.4</v>
      </c>
      <c r="AT24">
        <f t="shared" ca="1" si="9"/>
        <v>423.1</v>
      </c>
      <c r="AU24">
        <f t="shared" ca="1" si="9"/>
        <v>497.39999999999992</v>
      </c>
      <c r="AV24" s="70">
        <f t="shared" ref="AV24:AV25" ca="1" si="23">SUM(AJ24:AU24)</f>
        <v>3289.8</v>
      </c>
      <c r="AW24">
        <f t="shared" si="17"/>
        <v>2021</v>
      </c>
      <c r="AX24">
        <f t="shared" ca="1" si="10"/>
        <v>555.19999999999993</v>
      </c>
      <c r="AY24">
        <f t="shared" ca="1" si="10"/>
        <v>601.59999999999991</v>
      </c>
      <c r="AZ24">
        <f t="shared" ca="1" si="10"/>
        <v>368.7</v>
      </c>
      <c r="BA24">
        <f t="shared" ca="1" si="10"/>
        <v>223.69999999999996</v>
      </c>
      <c r="BB24">
        <f t="shared" ca="1" si="10"/>
        <v>135.4</v>
      </c>
      <c r="BC24">
        <f t="shared" ca="1" si="10"/>
        <v>3.9000000000000004</v>
      </c>
      <c r="BD24">
        <f t="shared" ca="1" si="10"/>
        <v>1.1999999999999993</v>
      </c>
      <c r="BE24">
        <f t="shared" ca="1" si="10"/>
        <v>0</v>
      </c>
      <c r="BF24">
        <f t="shared" ca="1" si="10"/>
        <v>20.699999999999996</v>
      </c>
      <c r="BG24">
        <f t="shared" ca="1" si="10"/>
        <v>96.199999999999989</v>
      </c>
      <c r="BH24">
        <f t="shared" ca="1" si="10"/>
        <v>363.1</v>
      </c>
      <c r="BI24">
        <f t="shared" ca="1" si="10"/>
        <v>435.39999999999992</v>
      </c>
      <c r="BK24">
        <f t="shared" si="18"/>
        <v>2021</v>
      </c>
      <c r="BL24">
        <f t="shared" ca="1" si="11"/>
        <v>493.19999999999993</v>
      </c>
      <c r="BM24">
        <f t="shared" ca="1" si="11"/>
        <v>545.5999999999998</v>
      </c>
      <c r="BN24">
        <f t="shared" ca="1" si="11"/>
        <v>308.70000000000005</v>
      </c>
      <c r="BO24">
        <f t="shared" ca="1" si="11"/>
        <v>174.19999999999996</v>
      </c>
      <c r="BP24">
        <f t="shared" ca="1" si="11"/>
        <v>97</v>
      </c>
      <c r="BQ24">
        <f t="shared" ca="1" si="11"/>
        <v>0</v>
      </c>
      <c r="BR24">
        <f t="shared" ca="1" si="11"/>
        <v>0</v>
      </c>
      <c r="BS24">
        <f t="shared" ca="1" si="11"/>
        <v>0</v>
      </c>
      <c r="BT24">
        <f t="shared" ca="1" si="11"/>
        <v>5.6999999999999975</v>
      </c>
      <c r="BU24">
        <f t="shared" ca="1" si="11"/>
        <v>63.599999999999994</v>
      </c>
      <c r="BV24">
        <f t="shared" ca="1" si="11"/>
        <v>303.09999999999997</v>
      </c>
      <c r="BW24">
        <f t="shared" ca="1" si="11"/>
        <v>373.4</v>
      </c>
      <c r="BY24">
        <f t="shared" si="19"/>
        <v>2021</v>
      </c>
      <c r="BZ24">
        <f t="shared" ca="1" si="12"/>
        <v>431.2</v>
      </c>
      <c r="CA24">
        <f t="shared" ca="1" si="12"/>
        <v>489.59999999999991</v>
      </c>
      <c r="CB24">
        <f t="shared" ca="1" si="12"/>
        <v>250.30000000000004</v>
      </c>
      <c r="CC24">
        <f t="shared" ca="1" si="12"/>
        <v>130.5</v>
      </c>
      <c r="CD24">
        <f t="shared" ca="1" si="12"/>
        <v>64.999999999999986</v>
      </c>
      <c r="CE24">
        <f t="shared" ca="1" si="12"/>
        <v>0</v>
      </c>
      <c r="CF24">
        <f t="shared" ca="1" si="12"/>
        <v>0</v>
      </c>
      <c r="CG24">
        <f t="shared" ca="1" si="12"/>
        <v>0</v>
      </c>
      <c r="CH24">
        <f t="shared" ca="1" si="12"/>
        <v>0</v>
      </c>
      <c r="CI24">
        <f t="shared" ca="1" si="12"/>
        <v>36.899999999999991</v>
      </c>
      <c r="CJ24">
        <f t="shared" ca="1" si="12"/>
        <v>243.09999999999997</v>
      </c>
      <c r="CK24">
        <f t="shared" ca="1" si="12"/>
        <v>311.40000000000003</v>
      </c>
      <c r="CM24">
        <f t="shared" si="20"/>
        <v>2021</v>
      </c>
      <c r="CN24">
        <f t="shared" ca="1" si="13"/>
        <v>369.2</v>
      </c>
      <c r="CO24">
        <f t="shared" ca="1" si="13"/>
        <v>433.59999999999991</v>
      </c>
      <c r="CP24">
        <f t="shared" ca="1" si="13"/>
        <v>198.4</v>
      </c>
      <c r="CQ24">
        <f t="shared" ca="1" si="13"/>
        <v>91.300000000000011</v>
      </c>
      <c r="CR24">
        <f t="shared" ca="1" si="13"/>
        <v>37.4</v>
      </c>
      <c r="CS24">
        <f t="shared" ca="1" si="13"/>
        <v>0</v>
      </c>
      <c r="CT24">
        <f t="shared" ca="1" si="13"/>
        <v>0</v>
      </c>
      <c r="CU24">
        <f t="shared" ca="1" si="13"/>
        <v>0</v>
      </c>
      <c r="CV24">
        <f t="shared" ca="1" si="13"/>
        <v>0</v>
      </c>
      <c r="CW24">
        <f t="shared" ca="1" si="13"/>
        <v>16.099999999999998</v>
      </c>
      <c r="CX24">
        <f t="shared" ca="1" si="13"/>
        <v>186.09999999999997</v>
      </c>
      <c r="CY24">
        <f t="shared" ca="1" si="13"/>
        <v>249.40000000000009</v>
      </c>
      <c r="DA24">
        <f t="shared" si="21"/>
        <v>2021</v>
      </c>
      <c r="DB24">
        <f t="shared" ca="1" si="14"/>
        <v>307.2</v>
      </c>
      <c r="DC24">
        <f t="shared" ca="1" si="14"/>
        <v>377.59999999999997</v>
      </c>
      <c r="DD24">
        <f t="shared" ca="1" si="14"/>
        <v>150.4</v>
      </c>
      <c r="DE24">
        <f t="shared" ca="1" si="14"/>
        <v>56.400000000000006</v>
      </c>
      <c r="DF24">
        <f t="shared" ca="1" si="14"/>
        <v>16.100000000000001</v>
      </c>
      <c r="DG24">
        <f t="shared" ca="1" si="14"/>
        <v>0</v>
      </c>
      <c r="DH24">
        <f t="shared" ca="1" si="14"/>
        <v>0</v>
      </c>
      <c r="DI24">
        <f t="shared" ca="1" si="14"/>
        <v>0</v>
      </c>
      <c r="DJ24">
        <f t="shared" ca="1" si="14"/>
        <v>0</v>
      </c>
      <c r="DK24">
        <f t="shared" ca="1" si="14"/>
        <v>5.3999999999999995</v>
      </c>
      <c r="DL24">
        <f t="shared" ca="1" si="14"/>
        <v>135</v>
      </c>
      <c r="DM24">
        <f t="shared" ca="1" si="14"/>
        <v>190.50000000000006</v>
      </c>
    </row>
    <row r="25" spans="1:117">
      <c r="A25">
        <v>2000</v>
      </c>
      <c r="B25">
        <v>12</v>
      </c>
      <c r="C25">
        <v>860.29999999999973</v>
      </c>
      <c r="D25">
        <v>0</v>
      </c>
      <c r="E25">
        <v>798.29999999999984</v>
      </c>
      <c r="F25">
        <v>0</v>
      </c>
      <c r="G25">
        <v>736.3</v>
      </c>
      <c r="H25">
        <v>0</v>
      </c>
      <c r="I25">
        <v>674.29999999999984</v>
      </c>
      <c r="J25">
        <v>0</v>
      </c>
      <c r="K25">
        <v>612.29999999999995</v>
      </c>
      <c r="L25">
        <v>0</v>
      </c>
      <c r="M25">
        <v>550.29999999999995</v>
      </c>
      <c r="N25">
        <v>0</v>
      </c>
      <c r="O25">
        <v>488.3</v>
      </c>
      <c r="P25">
        <v>0</v>
      </c>
      <c r="Q25">
        <v>-7.7516129032258076</v>
      </c>
      <c r="U25">
        <f t="shared" si="15"/>
        <v>2022</v>
      </c>
      <c r="V25">
        <f t="shared" ref="V25:AG25" ca="1" si="24">OFFSET($C$38,(ROW()-5)*12+COLUMN()-22,0)</f>
        <v>835.79999999999984</v>
      </c>
      <c r="W25">
        <f t="shared" ca="1" si="24"/>
        <v>662.6</v>
      </c>
      <c r="X25">
        <f t="shared" ca="1" si="24"/>
        <v>568.30000000000007</v>
      </c>
      <c r="Y25">
        <f t="shared" ca="1" si="24"/>
        <v>417.7999999999999</v>
      </c>
      <c r="Z25">
        <f t="shared" ca="1" si="24"/>
        <v>176</v>
      </c>
      <c r="AA25">
        <f t="shared" ca="1" si="24"/>
        <v>73.2</v>
      </c>
      <c r="AB25">
        <f t="shared" ca="1" si="24"/>
        <v>12.100000000000001</v>
      </c>
      <c r="AC25">
        <f t="shared" ca="1" si="24"/>
        <v>12.899999999999999</v>
      </c>
      <c r="AD25">
        <f t="shared" ca="1" si="24"/>
        <v>95.3</v>
      </c>
      <c r="AE25">
        <f t="shared" ca="1" si="24"/>
        <v>291.20000000000005</v>
      </c>
      <c r="AF25">
        <f t="shared" ca="1" si="24"/>
        <v>429.2999999999999</v>
      </c>
      <c r="AG25">
        <f t="shared" ca="1" si="24"/>
        <v>628.50000000000011</v>
      </c>
      <c r="AI25">
        <f t="shared" si="16"/>
        <v>2022</v>
      </c>
      <c r="AJ25">
        <f t="shared" ref="AJ25:AU25" ca="1" si="25">OFFSET($E$38,(ROW()-5)*12+COLUMN()-36,0)</f>
        <v>773.79999999999984</v>
      </c>
      <c r="AK25">
        <f t="shared" ca="1" si="25"/>
        <v>606.6</v>
      </c>
      <c r="AL25">
        <f t="shared" ca="1" si="25"/>
        <v>506.3</v>
      </c>
      <c r="AM25">
        <f t="shared" ca="1" si="25"/>
        <v>358.89999999999986</v>
      </c>
      <c r="AN25">
        <f t="shared" ca="1" si="25"/>
        <v>132.80000000000001</v>
      </c>
      <c r="AO25">
        <f t="shared" ca="1" si="25"/>
        <v>38.299999999999997</v>
      </c>
      <c r="AP25">
        <f t="shared" ca="1" si="25"/>
        <v>1.1000000000000014</v>
      </c>
      <c r="AQ25">
        <f t="shared" ca="1" si="25"/>
        <v>2</v>
      </c>
      <c r="AR25">
        <f t="shared" ca="1" si="25"/>
        <v>61.5</v>
      </c>
      <c r="AS25">
        <f t="shared" ca="1" si="25"/>
        <v>229.29999999999998</v>
      </c>
      <c r="AT25">
        <f t="shared" ca="1" si="25"/>
        <v>370.19999999999993</v>
      </c>
      <c r="AU25">
        <f t="shared" ca="1" si="25"/>
        <v>566.5</v>
      </c>
      <c r="AV25" s="70">
        <f t="shared" ca="1" si="23"/>
        <v>3647.2999999999997</v>
      </c>
      <c r="AW25">
        <f t="shared" si="17"/>
        <v>2022</v>
      </c>
      <c r="AX25">
        <f t="shared" ref="AX25:BI25" ca="1" si="26">OFFSET($G$38,(ROW()-5)*12+COLUMN()-50,0)</f>
        <v>711.8</v>
      </c>
      <c r="AY25">
        <f t="shared" ca="1" si="26"/>
        <v>550.6</v>
      </c>
      <c r="AZ25">
        <f t="shared" ca="1" si="26"/>
        <v>444.30000000000007</v>
      </c>
      <c r="BA25">
        <f t="shared" ca="1" si="26"/>
        <v>300.89999999999992</v>
      </c>
      <c r="BB25">
        <f t="shared" ca="1" si="26"/>
        <v>93.399999999999991</v>
      </c>
      <c r="BC25">
        <f t="shared" ca="1" si="26"/>
        <v>13.699999999999998</v>
      </c>
      <c r="BD25">
        <f t="shared" ca="1" si="26"/>
        <v>0</v>
      </c>
      <c r="BE25">
        <f t="shared" ca="1" si="26"/>
        <v>0</v>
      </c>
      <c r="BF25">
        <f t="shared" ca="1" si="26"/>
        <v>36</v>
      </c>
      <c r="BG25">
        <f t="shared" ca="1" si="26"/>
        <v>174.19999999999996</v>
      </c>
      <c r="BH25">
        <f t="shared" ca="1" si="26"/>
        <v>312.19999999999993</v>
      </c>
      <c r="BI25">
        <f t="shared" ca="1" si="26"/>
        <v>504.5</v>
      </c>
      <c r="BK25">
        <f t="shared" si="18"/>
        <v>2022</v>
      </c>
      <c r="BL25">
        <f t="shared" ref="BL25:BW25" ca="1" si="27">OFFSET($I$38,(ROW()-5)*12+COLUMN()-64,0)</f>
        <v>649.79999999999984</v>
      </c>
      <c r="BM25">
        <f t="shared" ca="1" si="27"/>
        <v>494.60000000000008</v>
      </c>
      <c r="BN25">
        <f t="shared" ca="1" si="27"/>
        <v>382.30000000000013</v>
      </c>
      <c r="BO25">
        <f t="shared" ca="1" si="27"/>
        <v>246.29999999999995</v>
      </c>
      <c r="BP25">
        <f t="shared" ca="1" si="27"/>
        <v>59.300000000000011</v>
      </c>
      <c r="BQ25">
        <f t="shared" ca="1" si="27"/>
        <v>2.8999999999999986</v>
      </c>
      <c r="BR25">
        <f t="shared" ca="1" si="27"/>
        <v>0</v>
      </c>
      <c r="BS25">
        <f t="shared" ca="1" si="27"/>
        <v>0</v>
      </c>
      <c r="BT25">
        <f t="shared" ca="1" si="27"/>
        <v>17.5</v>
      </c>
      <c r="BU25">
        <f t="shared" ca="1" si="27"/>
        <v>125.90000000000002</v>
      </c>
      <c r="BV25">
        <f t="shared" ca="1" si="27"/>
        <v>256.90000000000003</v>
      </c>
      <c r="BW25">
        <f t="shared" ca="1" si="27"/>
        <v>442.5</v>
      </c>
      <c r="BY25">
        <f t="shared" si="19"/>
        <v>2022</v>
      </c>
      <c r="BZ25">
        <f t="shared" ref="BZ25:CK25" ca="1" si="28">OFFSET($K$38,(ROW()-5)*12+COLUMN()-78,0)</f>
        <v>587.79999999999973</v>
      </c>
      <c r="CA25">
        <f t="shared" ca="1" si="28"/>
        <v>438.60000000000008</v>
      </c>
      <c r="CB25">
        <f t="shared" ca="1" si="28"/>
        <v>320.40000000000009</v>
      </c>
      <c r="CC25">
        <f t="shared" ca="1" si="28"/>
        <v>192.79999999999998</v>
      </c>
      <c r="CD25">
        <f t="shared" ca="1" si="28"/>
        <v>35.399999999999991</v>
      </c>
      <c r="CE25">
        <f t="shared" ca="1" si="28"/>
        <v>0.19999999999999929</v>
      </c>
      <c r="CF25">
        <f t="shared" ca="1" si="28"/>
        <v>0</v>
      </c>
      <c r="CG25">
        <f t="shared" ca="1" si="28"/>
        <v>0</v>
      </c>
      <c r="CH25">
        <f t="shared" ca="1" si="28"/>
        <v>4.5</v>
      </c>
      <c r="CI25">
        <f t="shared" ca="1" si="28"/>
        <v>81.199999999999989</v>
      </c>
      <c r="CJ25">
        <f t="shared" ca="1" si="28"/>
        <v>204.70000000000002</v>
      </c>
      <c r="CK25">
        <f t="shared" ca="1" si="28"/>
        <v>380.5</v>
      </c>
      <c r="CM25">
        <f t="shared" si="20"/>
        <v>2022</v>
      </c>
      <c r="CN25">
        <f t="shared" ref="CN25:CY25" ca="1" si="29">OFFSET($M$38,(ROW()-5)*12+COLUMN()-92,0)</f>
        <v>525.79999999999995</v>
      </c>
      <c r="CO25">
        <f t="shared" ca="1" si="29"/>
        <v>382.6</v>
      </c>
      <c r="CP25">
        <f t="shared" ca="1" si="29"/>
        <v>260.40000000000009</v>
      </c>
      <c r="CQ25">
        <f t="shared" ca="1" si="29"/>
        <v>144.79999999999998</v>
      </c>
      <c r="CR25">
        <f t="shared" ca="1" si="29"/>
        <v>15.6</v>
      </c>
      <c r="CS25">
        <f t="shared" ca="1" si="29"/>
        <v>0</v>
      </c>
      <c r="CT25">
        <f t="shared" ca="1" si="29"/>
        <v>0</v>
      </c>
      <c r="CU25">
        <f t="shared" ca="1" si="29"/>
        <v>0</v>
      </c>
      <c r="CV25">
        <f t="shared" ca="1" si="29"/>
        <v>0.30000000000000071</v>
      </c>
      <c r="CW25">
        <f t="shared" ca="1" si="29"/>
        <v>44.7</v>
      </c>
      <c r="CX25">
        <f t="shared" ca="1" si="29"/>
        <v>158.9</v>
      </c>
      <c r="CY25">
        <f t="shared" ca="1" si="29"/>
        <v>318.5</v>
      </c>
      <c r="DA25">
        <f t="shared" si="21"/>
        <v>2022</v>
      </c>
      <c r="DB25">
        <f t="shared" ref="DB25:DM25" ca="1" si="30">OFFSET($O$38,(ROW()-5)*12+COLUMN()-106,0)</f>
        <v>463.79999999999995</v>
      </c>
      <c r="DC25">
        <f t="shared" ca="1" si="30"/>
        <v>326.60000000000008</v>
      </c>
      <c r="DD25">
        <f t="shared" ca="1" si="30"/>
        <v>202.10000000000002</v>
      </c>
      <c r="DE25">
        <f t="shared" ca="1" si="30"/>
        <v>101.10000000000001</v>
      </c>
      <c r="DF25">
        <f t="shared" ca="1" si="30"/>
        <v>4.5</v>
      </c>
      <c r="DG25">
        <f t="shared" ca="1" si="30"/>
        <v>0</v>
      </c>
      <c r="DH25">
        <f t="shared" ca="1" si="30"/>
        <v>0</v>
      </c>
      <c r="DI25">
        <f t="shared" ca="1" si="30"/>
        <v>0</v>
      </c>
      <c r="DJ25">
        <f t="shared" ca="1" si="30"/>
        <v>0</v>
      </c>
      <c r="DK25">
        <f t="shared" ca="1" si="30"/>
        <v>17.899999999999999</v>
      </c>
      <c r="DL25">
        <f t="shared" ca="1" si="30"/>
        <v>117.90000000000002</v>
      </c>
      <c r="DM25">
        <f t="shared" ca="1" si="30"/>
        <v>258.29999999999995</v>
      </c>
    </row>
    <row r="26" spans="1:117">
      <c r="A26">
        <v>2001</v>
      </c>
      <c r="B26">
        <v>1</v>
      </c>
      <c r="C26">
        <v>738</v>
      </c>
      <c r="D26">
        <v>0</v>
      </c>
      <c r="E26">
        <v>676</v>
      </c>
      <c r="F26">
        <v>0</v>
      </c>
      <c r="G26">
        <v>614</v>
      </c>
      <c r="H26">
        <v>0</v>
      </c>
      <c r="I26">
        <v>551.99999999999989</v>
      </c>
      <c r="J26">
        <v>0</v>
      </c>
      <c r="K26">
        <v>490.00000000000006</v>
      </c>
      <c r="L26">
        <v>0</v>
      </c>
      <c r="M26">
        <v>428.00000000000006</v>
      </c>
      <c r="N26">
        <v>0</v>
      </c>
      <c r="O26">
        <v>366.00000000000006</v>
      </c>
      <c r="P26">
        <v>0</v>
      </c>
      <c r="Q26">
        <v>-3.8064516129032255</v>
      </c>
      <c r="U26" s="11">
        <f>U25+1</f>
        <v>2023</v>
      </c>
      <c r="V26" s="14">
        <f ca="1">TREND(V$6:V$25,U$6:U$25,U26)</f>
        <v>729.04210526315728</v>
      </c>
      <c r="W26" s="14">
        <f ca="1">TREND(W$6:W$25,U$6:U$25,U26)</f>
        <v>657.26789473684312</v>
      </c>
      <c r="X26" s="14">
        <f ca="1">TREND(X$6:X$25,U$6:U$25,U26)</f>
        <v>564.72631578947312</v>
      </c>
      <c r="Y26" s="14">
        <f ca="1">TREND(Y$6:Y$25,U$6:U$25,U26)</f>
        <v>406.79789473684195</v>
      </c>
      <c r="Z26" s="14">
        <f ca="1">TREND(Z$6:Z$25,U$6:U$25,U26)</f>
        <v>199.878947368421</v>
      </c>
      <c r="AA26" s="14">
        <f ca="1">TREND(AA$6:AA$25,U$6:U$25,U26)</f>
        <v>61.96684210526314</v>
      </c>
      <c r="AB26" s="14">
        <f ca="1">TREND(AB$6:AB$25,U$6:U$25,U26)</f>
        <v>12.622631578947448</v>
      </c>
      <c r="AC26" s="14">
        <f ca="1">TREND(AC$6:AC$25,U$6:U$25,U26)</f>
        <v>14.654736842105194</v>
      </c>
      <c r="AD26" s="14">
        <f ca="1">TREND(AD$6:AD$25,U$6:U$25,U26)</f>
        <v>97.013684210526264</v>
      </c>
      <c r="AE26" s="14">
        <f ca="1">TREND(AE$6:AE$25,U$6:U$25,U26)</f>
        <v>259.38947368421032</v>
      </c>
      <c r="AF26" s="14">
        <f ca="1">TREND(AF$6:AF$25,U$6:U$25,U26)</f>
        <v>477.88210526315788</v>
      </c>
      <c r="AG26" s="14">
        <f ca="1">TREND(AG$6:AG$25,U$6:U$25,U26)</f>
        <v>601.27894736842063</v>
      </c>
      <c r="AI26" s="11">
        <f>AI25+1</f>
        <v>2023</v>
      </c>
      <c r="AJ26" s="14">
        <f ca="1">TREND(AJ$6:AJ$25,AI$6:AI$25,AI26)</f>
        <v>667.04210526315728</v>
      </c>
      <c r="AK26" s="14">
        <f ca="1">TREND(AK$6:AK$25,AI$6:AI$25,AI26)</f>
        <v>600.84684210526302</v>
      </c>
      <c r="AL26" s="14">
        <f ca="1">TREND(AL$6:AL$25,AI$6:AI$25,AI26)</f>
        <v>502.88631578947388</v>
      </c>
      <c r="AM26" s="14">
        <f ca="1">TREND(AM$6:AM$25,AI$6:AI$25,AI26)</f>
        <v>347.10210526315814</v>
      </c>
      <c r="AN26" s="14">
        <f ca="1">TREND(AN$6:AN$25,AI$6:AI$25,AI26)</f>
        <v>152.41894736842096</v>
      </c>
      <c r="AO26" s="14">
        <f ca="1">TREND(AO$6:AO$25,AI$6:AI$25,AI26)</f>
        <v>31.617894736842118</v>
      </c>
      <c r="AP26" s="14">
        <f ca="1">TREND(AP$6:AP$25,AI$6:AI$25,AI26)</f>
        <v>3.0589473684210589</v>
      </c>
      <c r="AQ26" s="14">
        <f ca="1">TREND(AQ$6:AQ$25,AI$6:AI$25,AI26)</f>
        <v>3.1499999999999773</v>
      </c>
      <c r="AR26" s="14">
        <f ca="1">TREND(AR$6:AR$25,AI$6:AI$25,AI26)</f>
        <v>59.974210526315801</v>
      </c>
      <c r="AS26" s="14">
        <f ca="1">TREND(AS$6:AS$25,AI$6:AI$25,AI26)</f>
        <v>202.91526315789497</v>
      </c>
      <c r="AT26" s="14">
        <f ca="1">TREND(AT$6:AT$25,AI$6:AI$25,AI26)</f>
        <v>418.19684210526339</v>
      </c>
      <c r="AU26" s="14">
        <f ca="1">TREND(AU$6:AU$25,AI$6:AI$25,AI26)</f>
        <v>539.27894736842154</v>
      </c>
      <c r="AV26" s="70">
        <f t="shared" ca="1" si="22"/>
        <v>3528.4884210526325</v>
      </c>
      <c r="AW26" s="11">
        <f>AW25+1</f>
        <v>2023</v>
      </c>
      <c r="AX26" s="14">
        <f ca="1">TREND(AX$6:AX$25,AW$6:AW$25,AW26)</f>
        <v>605.04210526315819</v>
      </c>
      <c r="AY26" s="14">
        <f ca="1">TREND(AY$6:AY$25,AW$6:AW$25,AW26)</f>
        <v>544.42578947368384</v>
      </c>
      <c r="AZ26" s="14">
        <f ca="1">TREND(AZ$6:AZ$25,AW$6:AW$25,AW26)</f>
        <v>441.27526315789419</v>
      </c>
      <c r="BA26" s="14">
        <f ca="1">TREND(BA$6:BA$25,AW$6:AW$25,AW26)</f>
        <v>288.18684210526317</v>
      </c>
      <c r="BB26" s="14">
        <f ca="1">TREND(BB$6:BB$25,AW$6:AW$25,AW26)</f>
        <v>110.79947368421062</v>
      </c>
      <c r="BC26" s="14">
        <f ca="1">TREND(BC$6:BC$25,AW$6:AW$25,AW26)</f>
        <v>12.015789473684208</v>
      </c>
      <c r="BD26" s="14">
        <f ca="1">TREND(BD$6:BD$25,AW$6:AW$25,AW26)</f>
        <v>0.51684210526315866</v>
      </c>
      <c r="BE26" s="14">
        <f ca="1">TREND(BE$6:BE$25,AW$6:AW$25,AW26)</f>
        <v>0.24210526315789593</v>
      </c>
      <c r="BF26" s="14">
        <f ca="1">TREND(BF$6:BF$25,AW$6:AW$25,AW26)</f>
        <v>32.047894736842125</v>
      </c>
      <c r="BG26" s="14">
        <f ca="1">TREND(BG$6:BG$25,AW$6:AW$25,AW26)</f>
        <v>150.88526315789477</v>
      </c>
      <c r="BH26" s="14">
        <f ca="1">TREND(BH$6:BH$25,AW$6:AW$25,AW26)</f>
        <v>359.1510526315792</v>
      </c>
      <c r="BI26" s="14">
        <f ca="1">TREND(BI$6:BI$25,AW$6:AW$25,AW26)</f>
        <v>477.27894736842154</v>
      </c>
      <c r="BK26" s="11">
        <f>BK25+1</f>
        <v>2023</v>
      </c>
      <c r="BL26" s="14">
        <f ca="1">TREND(BL$6:BL$25,BK$6:BK$25,BK26)</f>
        <v>543.04210526315819</v>
      </c>
      <c r="BM26" s="14">
        <f ca="1">TREND(BM$6:BM$25,BK$6:BK$25,BK26)</f>
        <v>488.00473684210647</v>
      </c>
      <c r="BN26" s="14">
        <f ca="1">TREND(BN$6:BN$25,BK$6:BK$25,BK26)</f>
        <v>380.37789473684097</v>
      </c>
      <c r="BO26" s="14">
        <f ca="1">TREND(BO$6:BO$25,BK$6:BK$25,BK26)</f>
        <v>230.90157894736831</v>
      </c>
      <c r="BP26" s="14">
        <f ca="1">TREND(BP$6:BP$25,BK$6:BK$25,BK26)</f>
        <v>76.621052631578948</v>
      </c>
      <c r="BQ26" s="14">
        <f ca="1">TREND(BQ$6:BQ$25,BK$6:BK$25,BK26)</f>
        <v>3.5068421052631606</v>
      </c>
      <c r="BR26" s="14">
        <f ca="1">TREND(BR$6:BR$25,BK$6:BK$25,BK26)</f>
        <v>0</v>
      </c>
      <c r="BS26" s="14">
        <f ca="1">TREND(BS$6:BS$25,BK$6:BK$25,BK26)</f>
        <v>9.0526315789473566E-2</v>
      </c>
      <c r="BT26" s="14">
        <f ca="1">TREND(BT$6:BT$25,BK$6:BK$25,BK26)</f>
        <v>12.559473684210516</v>
      </c>
      <c r="BU26" s="14">
        <f ca="1">TREND(BU$6:BU$25,BK$6:BK$25,BK26)</f>
        <v>105.61631578947345</v>
      </c>
      <c r="BV26" s="14">
        <f ca="1">TREND(BV$6:BV$25,BK$6:BK$25,BK26)</f>
        <v>301.52789473684197</v>
      </c>
      <c r="BW26" s="14">
        <f ca="1">TREND(BW$6:BW$25,BK$6:BK$25,BK26)</f>
        <v>415.27894736842063</v>
      </c>
      <c r="BY26" s="11">
        <f>BY25+1</f>
        <v>2023</v>
      </c>
      <c r="BZ26" s="14">
        <f ca="1">TREND(BZ$6:BZ$25,BY$6:BY$25,BY26)</f>
        <v>481.03157894736796</v>
      </c>
      <c r="CA26" s="14">
        <f ca="1">TREND(CA$6:CA$25,BY$6:BY$25,BY26)</f>
        <v>431.58368421052546</v>
      </c>
      <c r="CB26" s="14">
        <f ca="1">TREND(CB$6:CB$25,BY$6:BY$25,BY26)</f>
        <v>320.02315789473687</v>
      </c>
      <c r="CC26" s="14">
        <f ca="1">TREND(CC$6:CC$25,BY$6:BY$25,BY26)</f>
        <v>177.53684210526308</v>
      </c>
      <c r="CD26" s="14">
        <f ca="1">TREND(CD$6:CD$25,BY$6:BY$25,BY26)</f>
        <v>49.440000000000055</v>
      </c>
      <c r="CE26" s="14">
        <f ca="1">TREND(CE$6:CE$25,BY$6:BY$25,BY26)</f>
        <v>0.53999999999999204</v>
      </c>
      <c r="CF26" s="14">
        <f ca="1">TREND(CF$6:CF$25,BY$6:BY$25,BY26)</f>
        <v>0</v>
      </c>
      <c r="CG26" s="14">
        <f ca="1">TREND(CG$6:CG$25,BY$6:BY$25,BY26)</f>
        <v>0</v>
      </c>
      <c r="CH26" s="14">
        <f ca="1">TREND(CH$6:CH$25,BY$6:BY$25,BY26)</f>
        <v>2.8826315789473682</v>
      </c>
      <c r="CI26" s="14">
        <f ca="1">TREND(CI$6:CI$25,BY$6:BY$25,BY26)</f>
        <v>67.864736842105231</v>
      </c>
      <c r="CJ26" s="14">
        <f ca="1">TREND(CJ$6:CJ$25,BY$6:BY$25,BY26)</f>
        <v>245.83684210526326</v>
      </c>
      <c r="CK26" s="14">
        <f ca="1">TREND(CK$6:CK$25,BY$6:BY$25,BY26)</f>
        <v>353.27894736842063</v>
      </c>
      <c r="CM26" s="11">
        <f>CM25+1</f>
        <v>2023</v>
      </c>
      <c r="CN26" s="14">
        <f ca="1">TREND(CN$6:CN$25,CM$6:CM$25,CM26)</f>
        <v>418.94736842105249</v>
      </c>
      <c r="CO26" s="14">
        <f ca="1">TREND(CO$6:CO$25,CM$6:CM$25,CM26)</f>
        <v>375.56473684210505</v>
      </c>
      <c r="CP26" s="14">
        <f ca="1">TREND(CP$6:CP$25,CM$6:CM$25,CM26)</f>
        <v>261.89052631578943</v>
      </c>
      <c r="CQ26" s="14">
        <f ca="1">TREND(CQ$6:CQ$25,CM$6:CM$25,CM26)</f>
        <v>128.31631578947372</v>
      </c>
      <c r="CR26" s="14">
        <f ca="1">TREND(CR$6:CR$25,CM$6:CM$25,CM26)</f>
        <v>28.299473684210511</v>
      </c>
      <c r="CS26" s="14">
        <f ca="1">TREND(CS$6:CS$25,CM$6:CM$25,CM26)</f>
        <v>-1.2105263157895507E-2</v>
      </c>
      <c r="CT26" s="14">
        <f ca="1">TREND(CT$6:CT$25,CM$6:CM$25,CM26)</f>
        <v>0</v>
      </c>
      <c r="CU26" s="14">
        <f ca="1">TREND(CU$6:CU$25,CM$6:CM$25,CM26)</f>
        <v>0</v>
      </c>
      <c r="CV26" s="14">
        <f ca="1">TREND(CV$6:CV$25,CM$6:CM$25,CM26)</f>
        <v>0.11105263157895706</v>
      </c>
      <c r="CW26" s="14">
        <f ca="1">TREND(CW$6:CW$25,CM$6:CM$25,CM26)</f>
        <v>38.562631578947389</v>
      </c>
      <c r="CX26" s="14">
        <f ca="1">TREND(CX$6:CX$25,CM$6:CM$25,CM26)</f>
        <v>192.63842105263166</v>
      </c>
      <c r="CY26" s="14">
        <f ca="1">TREND(CY$6:CY$25,CM$6:CM$25,CM26)</f>
        <v>291.54263157894729</v>
      </c>
      <c r="DA26" s="11">
        <f>DA25+1</f>
        <v>2023</v>
      </c>
      <c r="DB26" s="14">
        <f ca="1">TREND(DB$6:DB$25,DA$6:DA$25,DA26)</f>
        <v>356.96947368421024</v>
      </c>
      <c r="DC26" s="14">
        <f ca="1">TREND(DC$6:DC$25,DA$6:DA$25,DA26)</f>
        <v>320.50473684210556</v>
      </c>
      <c r="DD26" s="14">
        <f ca="1">TREND(DD$6:DD$25,DA$6:DA$25,DA26)</f>
        <v>205.75999999999931</v>
      </c>
      <c r="DE26" s="14">
        <f ca="1">TREND(DE$6:DE$25,DA$6:DA$25,DA26)</f>
        <v>85.277368421052643</v>
      </c>
      <c r="DF26" s="14">
        <f ca="1">TREND(DF$6:DF$25,DA$6:DA$25,DA26)</f>
        <v>13.521052631578982</v>
      </c>
      <c r="DG26" s="14">
        <f ca="1">TREND(DG$6:DG$25,DA$6:DA$25,DA26)</f>
        <v>0</v>
      </c>
      <c r="DH26" s="14">
        <f ca="1">TREND(DH$6:DH$25,DA$6:DA$25,DA26)</f>
        <v>0</v>
      </c>
      <c r="DI26" s="14">
        <f ca="1">TREND(DI$6:DI$25,DA$6:DA$25,DA26)</f>
        <v>0</v>
      </c>
      <c r="DJ26" s="14">
        <f ca="1">TREND(DJ$6:DJ$25,DA$6:DA$25,DA26)</f>
        <v>-4.7368421052635057E-2</v>
      </c>
      <c r="DK26" s="14">
        <f ca="1">TREND(DK$6:DK$25,DA$6:DA$25,DA26)</f>
        <v>16.545263157894709</v>
      </c>
      <c r="DL26" s="14">
        <f ca="1">TREND(DL$6:DL$25,DA$6:DA$25,DA26)</f>
        <v>143.84736842105258</v>
      </c>
      <c r="DM26" s="14">
        <f ca="1">TREND(DM$6:DM$25,DA$6:DA$25,DA26)</f>
        <v>231.45157894736803</v>
      </c>
    </row>
    <row r="27" spans="1:117">
      <c r="A27">
        <v>2001</v>
      </c>
      <c r="B27">
        <v>2</v>
      </c>
      <c r="C27">
        <v>639.1</v>
      </c>
      <c r="D27">
        <v>0</v>
      </c>
      <c r="E27">
        <v>583.10000000000014</v>
      </c>
      <c r="F27">
        <v>0</v>
      </c>
      <c r="G27">
        <v>527.10000000000014</v>
      </c>
      <c r="H27">
        <v>0</v>
      </c>
      <c r="I27">
        <v>471.10000000000008</v>
      </c>
      <c r="J27">
        <v>0</v>
      </c>
      <c r="K27">
        <v>415.10000000000008</v>
      </c>
      <c r="L27">
        <v>0</v>
      </c>
      <c r="M27">
        <v>359.10000000000008</v>
      </c>
      <c r="N27">
        <v>0</v>
      </c>
      <c r="O27">
        <v>303.10000000000002</v>
      </c>
      <c r="P27">
        <v>0</v>
      </c>
      <c r="Q27">
        <v>-2.8249999999999993</v>
      </c>
      <c r="AV27" s="70"/>
    </row>
    <row r="28" spans="1:117">
      <c r="A28">
        <v>2001</v>
      </c>
      <c r="B28">
        <v>3</v>
      </c>
      <c r="C28">
        <v>627.80000000000007</v>
      </c>
      <c r="D28">
        <v>0</v>
      </c>
      <c r="E28">
        <v>565.80000000000007</v>
      </c>
      <c r="F28">
        <v>0</v>
      </c>
      <c r="G28">
        <v>503.8</v>
      </c>
      <c r="H28">
        <v>0</v>
      </c>
      <c r="I28">
        <v>441.80000000000007</v>
      </c>
      <c r="J28">
        <v>0</v>
      </c>
      <c r="K28">
        <v>379.8</v>
      </c>
      <c r="L28">
        <v>0</v>
      </c>
      <c r="M28">
        <v>317.8</v>
      </c>
      <c r="N28">
        <v>0</v>
      </c>
      <c r="O28">
        <v>255.8</v>
      </c>
      <c r="P28">
        <v>0</v>
      </c>
      <c r="Q28">
        <v>-0.25161290322580648</v>
      </c>
      <c r="U28" s="10" t="s">
        <v>42</v>
      </c>
      <c r="V28">
        <f ca="1">AVERAGE(V16:V25)</f>
        <v>750.86</v>
      </c>
      <c r="W28">
        <f t="shared" ref="W28:AG28" ca="1" si="31">AVERAGE(W16:W25)</f>
        <v>685.63000000000011</v>
      </c>
      <c r="X28">
        <f t="shared" ca="1" si="31"/>
        <v>597.92000000000007</v>
      </c>
      <c r="Y28">
        <f t="shared" ca="1" si="31"/>
        <v>405.52999999999992</v>
      </c>
      <c r="Z28">
        <f t="shared" ca="1" si="31"/>
        <v>212.29999999999995</v>
      </c>
      <c r="AA28">
        <f t="shared" ca="1" si="31"/>
        <v>70.23</v>
      </c>
      <c r="AB28">
        <f t="shared" ca="1" si="31"/>
        <v>18.859999999999996</v>
      </c>
      <c r="AC28">
        <f t="shared" ca="1" si="31"/>
        <v>22.540000000000006</v>
      </c>
      <c r="AD28">
        <f t="shared" ca="1" si="31"/>
        <v>95.889999999999986</v>
      </c>
      <c r="AE28">
        <f t="shared" ca="1" si="31"/>
        <v>268.88</v>
      </c>
      <c r="AF28">
        <f t="shared" ca="1" si="31"/>
        <v>474.74000000000007</v>
      </c>
      <c r="AG28">
        <f t="shared" ca="1" si="31"/>
        <v>626.25</v>
      </c>
      <c r="AI28" s="10" t="s">
        <v>42</v>
      </c>
      <c r="AJ28">
        <f ca="1">AVERAGE(AJ16:AJ25)</f>
        <v>688.86</v>
      </c>
      <c r="AK28">
        <f t="shared" ref="AK28:AU28" ca="1" si="32">AVERAGE(AK16:AK25)</f>
        <v>629.23000000000013</v>
      </c>
      <c r="AL28">
        <f t="shared" ca="1" si="32"/>
        <v>535.92000000000007</v>
      </c>
      <c r="AM28">
        <f t="shared" ca="1" si="32"/>
        <v>345.8</v>
      </c>
      <c r="AN28">
        <f t="shared" ca="1" si="32"/>
        <v>161.94999999999999</v>
      </c>
      <c r="AO28">
        <f t="shared" ca="1" si="32"/>
        <v>37.47</v>
      </c>
      <c r="AP28">
        <f t="shared" ca="1" si="32"/>
        <v>5.3900000000000015</v>
      </c>
      <c r="AQ28">
        <f t="shared" ca="1" si="32"/>
        <v>6.85</v>
      </c>
      <c r="AR28">
        <f t="shared" ca="1" si="32"/>
        <v>57.89</v>
      </c>
      <c r="AS28">
        <f t="shared" ca="1" si="32"/>
        <v>211.51000000000005</v>
      </c>
      <c r="AT28">
        <f t="shared" ca="1" si="32"/>
        <v>414.91</v>
      </c>
      <c r="AU28">
        <f t="shared" ca="1" si="32"/>
        <v>564.24999999999989</v>
      </c>
      <c r="AV28" s="70">
        <f t="shared" ca="1" si="22"/>
        <v>3660.0299999999997</v>
      </c>
      <c r="AW28" s="10" t="s">
        <v>42</v>
      </c>
      <c r="AX28">
        <f ca="1">AVERAGE(AX16:AX25)</f>
        <v>626.86</v>
      </c>
      <c r="AY28">
        <f t="shared" ref="AY28:BI28" ca="1" si="33">AVERAGE(AY16:AY25)</f>
        <v>572.83000000000015</v>
      </c>
      <c r="AZ28">
        <f t="shared" ca="1" si="33"/>
        <v>473.94000000000005</v>
      </c>
      <c r="BA28">
        <f t="shared" ca="1" si="33"/>
        <v>286.88</v>
      </c>
      <c r="BB28">
        <f t="shared" ca="1" si="33"/>
        <v>117.34</v>
      </c>
      <c r="BC28">
        <f t="shared" ca="1" si="33"/>
        <v>15.6</v>
      </c>
      <c r="BD28">
        <f t="shared" ca="1" si="33"/>
        <v>0.76999999999999991</v>
      </c>
      <c r="BE28">
        <f t="shared" ca="1" si="33"/>
        <v>0.92000000000000015</v>
      </c>
      <c r="BF28">
        <f t="shared" ca="1" si="33"/>
        <v>30.089999999999996</v>
      </c>
      <c r="BG28">
        <f t="shared" ca="1" si="33"/>
        <v>158.22000000000003</v>
      </c>
      <c r="BH28">
        <f t="shared" ca="1" si="33"/>
        <v>355.49999999999994</v>
      </c>
      <c r="BI28">
        <f t="shared" ca="1" si="33"/>
        <v>502.25</v>
      </c>
      <c r="BK28" s="10" t="s">
        <v>42</v>
      </c>
      <c r="BL28">
        <f ca="1">AVERAGE(BL16:BL25)</f>
        <v>564.86</v>
      </c>
      <c r="BM28">
        <f t="shared" ref="BM28:BW28" ca="1" si="34">AVERAGE(BM16:BM25)</f>
        <v>516.43000000000006</v>
      </c>
      <c r="BN28">
        <f t="shared" ca="1" si="34"/>
        <v>412.32</v>
      </c>
      <c r="BO28">
        <f t="shared" ca="1" si="34"/>
        <v>229.95</v>
      </c>
      <c r="BP28">
        <f t="shared" ca="1" si="34"/>
        <v>79.77000000000001</v>
      </c>
      <c r="BQ28">
        <f t="shared" ca="1" si="34"/>
        <v>5.16</v>
      </c>
      <c r="BR28">
        <f t="shared" ca="1" si="34"/>
        <v>0</v>
      </c>
      <c r="BS28">
        <f t="shared" ca="1" si="34"/>
        <v>8.0000000000000071E-2</v>
      </c>
      <c r="BT28">
        <f t="shared" ca="1" si="34"/>
        <v>12.280000000000001</v>
      </c>
      <c r="BU28">
        <f t="shared" ca="1" si="34"/>
        <v>111.21000000000001</v>
      </c>
      <c r="BV28">
        <f t="shared" ca="1" si="34"/>
        <v>297.28000000000003</v>
      </c>
      <c r="BW28">
        <f t="shared" ca="1" si="34"/>
        <v>440.25</v>
      </c>
      <c r="BY28" s="10" t="s">
        <v>42</v>
      </c>
      <c r="BZ28">
        <f ca="1">AVERAGE(BZ16:BZ25)</f>
        <v>502.86</v>
      </c>
      <c r="CA28">
        <f t="shared" ref="CA28:CK28" ca="1" si="35">AVERAGE(CA16:CA25)</f>
        <v>460.03000000000009</v>
      </c>
      <c r="CB28">
        <f t="shared" ca="1" si="35"/>
        <v>351.31</v>
      </c>
      <c r="CC28">
        <f t="shared" ca="1" si="35"/>
        <v>176.95000000000002</v>
      </c>
      <c r="CD28">
        <f t="shared" ca="1" si="35"/>
        <v>49.68</v>
      </c>
      <c r="CE28">
        <f t="shared" ca="1" si="35"/>
        <v>0.96</v>
      </c>
      <c r="CF28">
        <f t="shared" ca="1" si="35"/>
        <v>0</v>
      </c>
      <c r="CG28">
        <f t="shared" ca="1" si="35"/>
        <v>0</v>
      </c>
      <c r="CH28">
        <f t="shared" ca="1" si="35"/>
        <v>3.2300000000000004</v>
      </c>
      <c r="CI28">
        <f t="shared" ca="1" si="35"/>
        <v>71.63</v>
      </c>
      <c r="CJ28">
        <f t="shared" ca="1" si="35"/>
        <v>240.86999999999998</v>
      </c>
      <c r="CK28">
        <f t="shared" ca="1" si="35"/>
        <v>378.25</v>
      </c>
      <c r="CM28" s="10" t="s">
        <v>42</v>
      </c>
      <c r="CN28">
        <f ca="1">AVERAGE(CN16:CN25)</f>
        <v>440.86</v>
      </c>
      <c r="CO28">
        <f t="shared" ref="CO28:CY28" ca="1" si="36">AVERAGE(CO16:CO25)</f>
        <v>403.93999999999994</v>
      </c>
      <c r="CP28">
        <f t="shared" ca="1" si="36"/>
        <v>291.90000000000003</v>
      </c>
      <c r="CQ28">
        <f t="shared" ca="1" si="36"/>
        <v>128</v>
      </c>
      <c r="CR28">
        <f t="shared" ca="1" si="36"/>
        <v>26.77</v>
      </c>
      <c r="CS28">
        <f t="shared" ca="1" si="36"/>
        <v>0.05</v>
      </c>
      <c r="CT28">
        <f t="shared" ca="1" si="36"/>
        <v>0</v>
      </c>
      <c r="CU28">
        <f t="shared" ca="1" si="36"/>
        <v>0</v>
      </c>
      <c r="CV28">
        <f t="shared" ca="1" si="36"/>
        <v>0.35</v>
      </c>
      <c r="CW28">
        <f t="shared" ca="1" si="36"/>
        <v>40.32</v>
      </c>
      <c r="CX28">
        <f t="shared" ca="1" si="36"/>
        <v>187.19</v>
      </c>
      <c r="CY28">
        <f t="shared" ca="1" si="36"/>
        <v>316.54000000000002</v>
      </c>
      <c r="DA28" s="10" t="s">
        <v>42</v>
      </c>
      <c r="DB28">
        <f ca="1">AVERAGE(DB16:DB25)</f>
        <v>379.06000000000006</v>
      </c>
      <c r="DC28">
        <f t="shared" ref="DC28:DM28" ca="1" si="37">AVERAGE(DC16:DC25)</f>
        <v>348.65</v>
      </c>
      <c r="DD28">
        <f t="shared" ca="1" si="37"/>
        <v>234.17</v>
      </c>
      <c r="DE28">
        <f t="shared" ca="1" si="37"/>
        <v>85.41</v>
      </c>
      <c r="DF28">
        <f t="shared" ca="1" si="37"/>
        <v>11.629999999999999</v>
      </c>
      <c r="DG28">
        <f t="shared" ca="1" si="37"/>
        <v>0</v>
      </c>
      <c r="DH28">
        <f t="shared" ca="1" si="37"/>
        <v>0</v>
      </c>
      <c r="DI28">
        <f t="shared" ca="1" si="37"/>
        <v>0</v>
      </c>
      <c r="DJ28">
        <f t="shared" ca="1" si="37"/>
        <v>9.9999999999999638E-3</v>
      </c>
      <c r="DK28">
        <f t="shared" ca="1" si="37"/>
        <v>17.32</v>
      </c>
      <c r="DL28">
        <f t="shared" ca="1" si="37"/>
        <v>139.07</v>
      </c>
      <c r="DM28">
        <f t="shared" ca="1" si="37"/>
        <v>255.9</v>
      </c>
    </row>
    <row r="29" spans="1:117">
      <c r="A29">
        <v>2001</v>
      </c>
      <c r="B29">
        <v>4</v>
      </c>
      <c r="C29">
        <v>372.2000000000001</v>
      </c>
      <c r="D29">
        <v>0</v>
      </c>
      <c r="E29">
        <v>312.90000000000003</v>
      </c>
      <c r="F29">
        <v>0.69999999999999929</v>
      </c>
      <c r="G29">
        <v>254.89999999999995</v>
      </c>
      <c r="H29">
        <v>2.6999999999999993</v>
      </c>
      <c r="I29">
        <v>201.2</v>
      </c>
      <c r="J29">
        <v>8.9999999999999982</v>
      </c>
      <c r="K29">
        <v>151.19999999999996</v>
      </c>
      <c r="L29">
        <v>18.999999999999996</v>
      </c>
      <c r="M29">
        <v>103.19999999999996</v>
      </c>
      <c r="N29">
        <v>30.999999999999996</v>
      </c>
      <c r="O29">
        <v>61.400000000000013</v>
      </c>
      <c r="P29">
        <v>49.2</v>
      </c>
      <c r="Q29">
        <v>7.5933333333333337</v>
      </c>
    </row>
    <row r="30" spans="1:117">
      <c r="A30">
        <v>2001</v>
      </c>
      <c r="B30">
        <v>5</v>
      </c>
      <c r="C30">
        <v>195.70000000000002</v>
      </c>
      <c r="D30">
        <v>1.1000000000000014</v>
      </c>
      <c r="E30">
        <v>137.9</v>
      </c>
      <c r="F30">
        <v>5.3000000000000007</v>
      </c>
      <c r="G30">
        <v>90.40000000000002</v>
      </c>
      <c r="H30">
        <v>19.800000000000004</v>
      </c>
      <c r="I30">
        <v>52.199999999999996</v>
      </c>
      <c r="J30">
        <v>43.600000000000009</v>
      </c>
      <c r="K30">
        <v>24.6</v>
      </c>
      <c r="L30">
        <v>78</v>
      </c>
      <c r="M30">
        <v>10.299999999999999</v>
      </c>
      <c r="N30">
        <v>125.69999999999999</v>
      </c>
      <c r="O30">
        <v>2.2999999999999998</v>
      </c>
      <c r="P30">
        <v>179.70000000000002</v>
      </c>
      <c r="Q30">
        <v>13.722580645161292</v>
      </c>
    </row>
    <row r="31" spans="1:117">
      <c r="A31">
        <v>2001</v>
      </c>
      <c r="B31">
        <v>6</v>
      </c>
      <c r="C31">
        <v>81.7</v>
      </c>
      <c r="D31">
        <v>44.699999999999996</v>
      </c>
      <c r="E31">
        <v>50.099999999999994</v>
      </c>
      <c r="F31">
        <v>73.099999999999994</v>
      </c>
      <c r="G31">
        <v>26.699999999999996</v>
      </c>
      <c r="H31">
        <v>109.69999999999999</v>
      </c>
      <c r="I31">
        <v>12.399999999999999</v>
      </c>
      <c r="J31">
        <v>155.4</v>
      </c>
      <c r="K31">
        <v>2.8999999999999986</v>
      </c>
      <c r="L31">
        <v>205.9</v>
      </c>
      <c r="M31">
        <v>0</v>
      </c>
      <c r="N31">
        <v>263</v>
      </c>
      <c r="O31">
        <v>0</v>
      </c>
      <c r="P31">
        <v>322.99999999999989</v>
      </c>
      <c r="Q31">
        <v>18.766666666666666</v>
      </c>
      <c r="U31" s="13" t="s">
        <v>174</v>
      </c>
      <c r="V31" s="1" t="s">
        <v>50</v>
      </c>
      <c r="W31" s="1" t="s">
        <v>49</v>
      </c>
      <c r="X31" s="1" t="s">
        <v>48</v>
      </c>
      <c r="Y31" s="1" t="s">
        <v>47</v>
      </c>
      <c r="Z31" s="1" t="s">
        <v>36</v>
      </c>
      <c r="AA31" s="1" t="s">
        <v>35</v>
      </c>
      <c r="AB31" s="1" t="s">
        <v>34</v>
      </c>
      <c r="AC31" s="12" t="s">
        <v>33</v>
      </c>
      <c r="AD31" s="12" t="s">
        <v>46</v>
      </c>
      <c r="AE31" s="12" t="s">
        <v>45</v>
      </c>
      <c r="AF31" s="12" t="s">
        <v>44</v>
      </c>
      <c r="AG31" s="12" t="s">
        <v>43</v>
      </c>
      <c r="AI31" s="13" t="s">
        <v>176</v>
      </c>
      <c r="AJ31" s="1" t="s">
        <v>50</v>
      </c>
      <c r="AK31" s="1" t="s">
        <v>49</v>
      </c>
      <c r="AL31" s="1" t="s">
        <v>48</v>
      </c>
      <c r="AM31" s="1" t="s">
        <v>47</v>
      </c>
      <c r="AN31" s="1" t="s">
        <v>36</v>
      </c>
      <c r="AO31" s="1" t="s">
        <v>35</v>
      </c>
      <c r="AP31" s="1" t="s">
        <v>34</v>
      </c>
      <c r="AQ31" s="12" t="s">
        <v>33</v>
      </c>
      <c r="AR31" s="12" t="s">
        <v>46</v>
      </c>
      <c r="AS31" s="12" t="s">
        <v>45</v>
      </c>
      <c r="AT31" s="12" t="s">
        <v>44</v>
      </c>
      <c r="AU31" s="12" t="s">
        <v>43</v>
      </c>
      <c r="AW31" s="13" t="s">
        <v>178</v>
      </c>
      <c r="AX31" s="1" t="s">
        <v>50</v>
      </c>
      <c r="AY31" s="1" t="s">
        <v>49</v>
      </c>
      <c r="AZ31" s="1" t="s">
        <v>48</v>
      </c>
      <c r="BA31" s="1" t="s">
        <v>47</v>
      </c>
      <c r="BB31" s="1" t="s">
        <v>36</v>
      </c>
      <c r="BC31" s="1" t="s">
        <v>35</v>
      </c>
      <c r="BD31" s="1" t="s">
        <v>34</v>
      </c>
      <c r="BE31" s="12" t="s">
        <v>33</v>
      </c>
      <c r="BF31" s="12" t="s">
        <v>46</v>
      </c>
      <c r="BG31" s="12" t="s">
        <v>45</v>
      </c>
      <c r="BH31" s="12" t="s">
        <v>44</v>
      </c>
      <c r="BI31" s="12" t="s">
        <v>43</v>
      </c>
      <c r="BK31" s="13" t="s">
        <v>180</v>
      </c>
      <c r="BL31" s="1" t="s">
        <v>50</v>
      </c>
      <c r="BM31" s="1" t="s">
        <v>49</v>
      </c>
      <c r="BN31" s="1" t="s">
        <v>48</v>
      </c>
      <c r="BO31" s="1" t="s">
        <v>47</v>
      </c>
      <c r="BP31" s="1" t="s">
        <v>36</v>
      </c>
      <c r="BQ31" s="1" t="s">
        <v>35</v>
      </c>
      <c r="BR31" s="1" t="s">
        <v>34</v>
      </c>
      <c r="BS31" s="12" t="s">
        <v>33</v>
      </c>
      <c r="BT31" s="12" t="s">
        <v>46</v>
      </c>
      <c r="BU31" s="12" t="s">
        <v>45</v>
      </c>
      <c r="BV31" s="12" t="s">
        <v>44</v>
      </c>
      <c r="BW31" s="12" t="s">
        <v>43</v>
      </c>
      <c r="BY31" s="13" t="s">
        <v>182</v>
      </c>
      <c r="BZ31" s="1" t="s">
        <v>50</v>
      </c>
      <c r="CA31" s="1" t="s">
        <v>49</v>
      </c>
      <c r="CB31" s="1" t="s">
        <v>48</v>
      </c>
      <c r="CC31" s="1" t="s">
        <v>47</v>
      </c>
      <c r="CD31" s="1" t="s">
        <v>36</v>
      </c>
      <c r="CE31" s="1" t="s">
        <v>35</v>
      </c>
      <c r="CF31" s="1" t="s">
        <v>34</v>
      </c>
      <c r="CG31" s="12" t="s">
        <v>33</v>
      </c>
      <c r="CH31" s="12" t="s">
        <v>46</v>
      </c>
      <c r="CI31" s="12" t="s">
        <v>45</v>
      </c>
      <c r="CJ31" s="12" t="s">
        <v>44</v>
      </c>
      <c r="CK31" s="12" t="s">
        <v>43</v>
      </c>
      <c r="CM31" s="13" t="s">
        <v>128</v>
      </c>
      <c r="CN31" s="1" t="s">
        <v>50</v>
      </c>
      <c r="CO31" s="1" t="s">
        <v>49</v>
      </c>
      <c r="CP31" s="1" t="s">
        <v>48</v>
      </c>
      <c r="CQ31" s="1" t="s">
        <v>47</v>
      </c>
      <c r="CR31" s="1" t="s">
        <v>36</v>
      </c>
      <c r="CS31" s="1" t="s">
        <v>35</v>
      </c>
      <c r="CT31" s="1" t="s">
        <v>34</v>
      </c>
      <c r="CU31" s="12" t="s">
        <v>33</v>
      </c>
      <c r="CV31" s="12" t="s">
        <v>46</v>
      </c>
      <c r="CW31" s="12" t="s">
        <v>45</v>
      </c>
      <c r="CX31" s="12" t="s">
        <v>44</v>
      </c>
      <c r="CY31" s="12" t="s">
        <v>43</v>
      </c>
      <c r="DA31" s="13" t="s">
        <v>184</v>
      </c>
      <c r="DB31" s="1" t="s">
        <v>50</v>
      </c>
      <c r="DC31" s="1" t="s">
        <v>49</v>
      </c>
      <c r="DD31" s="1" t="s">
        <v>48</v>
      </c>
      <c r="DE31" s="1" t="s">
        <v>47</v>
      </c>
      <c r="DF31" s="1" t="s">
        <v>36</v>
      </c>
      <c r="DG31" s="1" t="s">
        <v>35</v>
      </c>
      <c r="DH31" s="1" t="s">
        <v>34</v>
      </c>
      <c r="DI31" s="12" t="s">
        <v>33</v>
      </c>
      <c r="DJ31" s="12" t="s">
        <v>46</v>
      </c>
      <c r="DK31" s="12" t="s">
        <v>45</v>
      </c>
      <c r="DL31" s="12" t="s">
        <v>44</v>
      </c>
      <c r="DM31" s="12" t="s">
        <v>43</v>
      </c>
    </row>
    <row r="32" spans="1:117">
      <c r="A32">
        <v>2001</v>
      </c>
      <c r="B32">
        <v>7</v>
      </c>
      <c r="C32">
        <v>29.299999999999997</v>
      </c>
      <c r="D32">
        <v>61.499999999999986</v>
      </c>
      <c r="E32">
        <v>8.9999999999999964</v>
      </c>
      <c r="F32">
        <v>103.19999999999999</v>
      </c>
      <c r="G32">
        <v>2.5</v>
      </c>
      <c r="H32">
        <v>158.70000000000002</v>
      </c>
      <c r="I32">
        <v>0.19999999999999929</v>
      </c>
      <c r="J32">
        <v>218.4</v>
      </c>
      <c r="K32">
        <v>0</v>
      </c>
      <c r="L32">
        <v>280.20000000000005</v>
      </c>
      <c r="M32">
        <v>0</v>
      </c>
      <c r="N32">
        <v>342.20000000000005</v>
      </c>
      <c r="O32">
        <v>0</v>
      </c>
      <c r="P32">
        <v>404.2</v>
      </c>
      <c r="Q32">
        <v>21.038709677419348</v>
      </c>
      <c r="U32">
        <v>2002</v>
      </c>
      <c r="V32">
        <f ca="1">OFFSET($D$38,(ROW()-32)*12+COLUMN()-22,0)</f>
        <v>0</v>
      </c>
      <c r="W32">
        <f t="shared" ref="W32:AG47" ca="1" si="38">OFFSET($D$38,(ROW()-32)*12+COLUMN()-22,0)</f>
        <v>0</v>
      </c>
      <c r="X32">
        <f t="shared" ca="1" si="38"/>
        <v>0</v>
      </c>
      <c r="Y32">
        <f t="shared" ca="1" si="38"/>
        <v>4.1999999999999993</v>
      </c>
      <c r="Z32">
        <f t="shared" ca="1" si="38"/>
        <v>2.6999999999999993</v>
      </c>
      <c r="AA32">
        <f t="shared" ca="1" si="38"/>
        <v>49.300000000000004</v>
      </c>
      <c r="AB32">
        <f t="shared" ca="1" si="38"/>
        <v>104.60000000000001</v>
      </c>
      <c r="AC32">
        <f t="shared" ca="1" si="38"/>
        <v>46.800000000000004</v>
      </c>
      <c r="AD32">
        <f t="shared" ca="1" si="38"/>
        <v>44</v>
      </c>
      <c r="AE32">
        <f t="shared" ca="1" si="38"/>
        <v>5</v>
      </c>
      <c r="AF32">
        <f t="shared" ca="1" si="38"/>
        <v>0</v>
      </c>
      <c r="AG32">
        <f t="shared" ca="1" si="38"/>
        <v>0</v>
      </c>
      <c r="AI32">
        <v>2002</v>
      </c>
      <c r="AJ32">
        <f ca="1">OFFSET($F$38,(ROW()-32)*12+COLUMN()-36,0)</f>
        <v>0</v>
      </c>
      <c r="AK32">
        <f t="shared" ref="AK32:AU47" ca="1" si="39">OFFSET($F$38,(ROW()-32)*12+COLUMN()-36,0)</f>
        <v>0</v>
      </c>
      <c r="AL32">
        <f t="shared" ca="1" si="39"/>
        <v>0</v>
      </c>
      <c r="AM32">
        <f t="shared" ca="1" si="39"/>
        <v>10</v>
      </c>
      <c r="AN32">
        <f t="shared" ca="1" si="39"/>
        <v>8.3999999999999986</v>
      </c>
      <c r="AO32">
        <f t="shared" ca="1" si="39"/>
        <v>78.399999999999977</v>
      </c>
      <c r="AP32">
        <f t="shared" ca="1" si="39"/>
        <v>154.89999999999995</v>
      </c>
      <c r="AQ32">
        <f t="shared" ca="1" si="39"/>
        <v>91.000000000000028</v>
      </c>
      <c r="AR32">
        <f t="shared" ca="1" si="39"/>
        <v>75.299999999999983</v>
      </c>
      <c r="AS32">
        <f t="shared" ca="1" si="39"/>
        <v>9.8000000000000007</v>
      </c>
      <c r="AT32">
        <f t="shared" ca="1" si="39"/>
        <v>0</v>
      </c>
      <c r="AU32">
        <f t="shared" ca="1" si="39"/>
        <v>0</v>
      </c>
      <c r="AV32" s="70">
        <f t="shared" ref="AV32:AV41" ca="1" si="40">SUM(AJ32:AU32)</f>
        <v>427.7999999999999</v>
      </c>
      <c r="AW32">
        <v>2002</v>
      </c>
      <c r="AX32">
        <f ca="1">OFFSET($H$38,(ROW()-32)*12+COLUMN()-50,0)</f>
        <v>0</v>
      </c>
      <c r="AY32">
        <f t="shared" ref="AY32:BI47" ca="1" si="41">OFFSET($H$38,(ROW()-32)*12+COLUMN()-50,0)</f>
        <v>0</v>
      </c>
      <c r="AZ32">
        <f t="shared" ca="1" si="41"/>
        <v>0</v>
      </c>
      <c r="BA32">
        <f t="shared" ca="1" si="41"/>
        <v>17.600000000000001</v>
      </c>
      <c r="BB32">
        <f t="shared" ca="1" si="41"/>
        <v>14.399999999999999</v>
      </c>
      <c r="BC32">
        <f t="shared" ca="1" si="41"/>
        <v>115.19999999999999</v>
      </c>
      <c r="BD32">
        <f t="shared" ca="1" si="41"/>
        <v>215.09999999999994</v>
      </c>
      <c r="BE32">
        <f t="shared" ca="1" si="41"/>
        <v>146.1</v>
      </c>
      <c r="BF32">
        <f t="shared" ca="1" si="41"/>
        <v>117.60000000000002</v>
      </c>
      <c r="BG32">
        <f t="shared" ca="1" si="41"/>
        <v>15.8</v>
      </c>
      <c r="BH32">
        <f t="shared" ca="1" si="41"/>
        <v>0</v>
      </c>
      <c r="BI32">
        <f t="shared" ca="1" si="41"/>
        <v>0</v>
      </c>
      <c r="BK32">
        <v>2002</v>
      </c>
      <c r="BL32">
        <f ca="1">OFFSET($J$38,(ROW()-32)*12+COLUMN()-64,0)</f>
        <v>0</v>
      </c>
      <c r="BM32">
        <f t="shared" ref="BM32:BW47" ca="1" si="42">OFFSET($J$38,(ROW()-32)*12+COLUMN()-64,0)</f>
        <v>0</v>
      </c>
      <c r="BN32">
        <f t="shared" ca="1" si="42"/>
        <v>0</v>
      </c>
      <c r="BO32">
        <f t="shared" ca="1" si="42"/>
        <v>25.6</v>
      </c>
      <c r="BP32">
        <f t="shared" ca="1" si="42"/>
        <v>25</v>
      </c>
      <c r="BQ32">
        <f t="shared" ca="1" si="42"/>
        <v>162.1</v>
      </c>
      <c r="BR32">
        <f t="shared" ca="1" si="42"/>
        <v>277.09999999999997</v>
      </c>
      <c r="BS32">
        <f t="shared" ca="1" si="42"/>
        <v>207.49999999999994</v>
      </c>
      <c r="BT32">
        <f t="shared" ca="1" si="42"/>
        <v>167.80000000000007</v>
      </c>
      <c r="BU32">
        <f t="shared" ca="1" si="42"/>
        <v>24.000000000000004</v>
      </c>
      <c r="BV32">
        <f t="shared" ca="1" si="42"/>
        <v>0.5</v>
      </c>
      <c r="BW32">
        <f t="shared" ca="1" si="42"/>
        <v>0</v>
      </c>
      <c r="BY32">
        <v>2002</v>
      </c>
      <c r="BZ32">
        <f ca="1">OFFSET($L$38,(ROW()-32)*12+COLUMN()-78,0)</f>
        <v>0</v>
      </c>
      <c r="CA32">
        <f t="shared" ref="CA32:CK47" ca="1" si="43">OFFSET($L$38,(ROW()-32)*12+COLUMN()-78,0)</f>
        <v>0</v>
      </c>
      <c r="CB32">
        <f t="shared" ca="1" si="43"/>
        <v>0</v>
      </c>
      <c r="CC32">
        <f t="shared" ca="1" si="43"/>
        <v>36.000000000000007</v>
      </c>
      <c r="CD32">
        <f t="shared" ca="1" si="43"/>
        <v>43.5</v>
      </c>
      <c r="CE32">
        <f t="shared" ca="1" si="43"/>
        <v>217.10000000000002</v>
      </c>
      <c r="CF32">
        <f t="shared" ca="1" si="43"/>
        <v>339.09999999999997</v>
      </c>
      <c r="CG32">
        <f t="shared" ca="1" si="43"/>
        <v>269.49999999999994</v>
      </c>
      <c r="CH32">
        <f t="shared" ca="1" si="43"/>
        <v>224.40000000000006</v>
      </c>
      <c r="CI32">
        <f t="shared" ca="1" si="43"/>
        <v>38</v>
      </c>
      <c r="CJ32">
        <f t="shared" ca="1" si="43"/>
        <v>3</v>
      </c>
      <c r="CK32">
        <f t="shared" ca="1" si="43"/>
        <v>0</v>
      </c>
      <c r="CM32">
        <v>2002</v>
      </c>
      <c r="CN32">
        <f ca="1">OFFSET($N$38,(ROW()-32)*12+COLUMN()-92,0)</f>
        <v>0</v>
      </c>
      <c r="CO32">
        <f t="shared" ref="CO32:CY47" ca="1" si="44">OFFSET($N$38,(ROW()-32)*12+COLUMN()-92,0)</f>
        <v>0</v>
      </c>
      <c r="CP32">
        <f t="shared" ca="1" si="44"/>
        <v>0</v>
      </c>
      <c r="CQ32">
        <f t="shared" ca="1" si="44"/>
        <v>49.900000000000006</v>
      </c>
      <c r="CR32">
        <f t="shared" ca="1" si="44"/>
        <v>70</v>
      </c>
      <c r="CS32">
        <f t="shared" ca="1" si="44"/>
        <v>274.60000000000002</v>
      </c>
      <c r="CT32">
        <f t="shared" ca="1" si="44"/>
        <v>401.10000000000008</v>
      </c>
      <c r="CU32">
        <f t="shared" ca="1" si="44"/>
        <v>331.49999999999994</v>
      </c>
      <c r="CV32">
        <f t="shared" ca="1" si="44"/>
        <v>284.40000000000003</v>
      </c>
      <c r="CW32">
        <f t="shared" ca="1" si="44"/>
        <v>58.400000000000006</v>
      </c>
      <c r="CX32">
        <f t="shared" ca="1" si="44"/>
        <v>8.4</v>
      </c>
      <c r="CY32">
        <f t="shared" ca="1" si="44"/>
        <v>0</v>
      </c>
      <c r="DA32">
        <v>2002</v>
      </c>
      <c r="DB32">
        <f ca="1">OFFSET($P$38,(ROW()-32)*12+COLUMN()-106,0)</f>
        <v>0</v>
      </c>
      <c r="DC32">
        <f t="shared" ref="DC32:DM47" ca="1" si="45">OFFSET($P$38,(ROW()-32)*12+COLUMN()-106,0)</f>
        <v>0</v>
      </c>
      <c r="DD32">
        <f t="shared" ca="1" si="45"/>
        <v>0</v>
      </c>
      <c r="DE32">
        <f t="shared" ca="1" si="45"/>
        <v>66.099999999999994</v>
      </c>
      <c r="DF32">
        <f t="shared" ca="1" si="45"/>
        <v>105</v>
      </c>
      <c r="DG32">
        <f t="shared" ca="1" si="45"/>
        <v>334.60000000000008</v>
      </c>
      <c r="DH32">
        <f t="shared" ca="1" si="45"/>
        <v>463.10000000000008</v>
      </c>
      <c r="DI32">
        <f t="shared" ca="1" si="45"/>
        <v>393.5</v>
      </c>
      <c r="DJ32">
        <f t="shared" ca="1" si="45"/>
        <v>344.40000000000003</v>
      </c>
      <c r="DK32">
        <f t="shared" ca="1" si="45"/>
        <v>82.000000000000014</v>
      </c>
      <c r="DL32">
        <f t="shared" ca="1" si="45"/>
        <v>15.4</v>
      </c>
      <c r="DM32">
        <f t="shared" ca="1" si="45"/>
        <v>0</v>
      </c>
    </row>
    <row r="33" spans="1:117">
      <c r="A33">
        <v>2001</v>
      </c>
      <c r="B33">
        <v>8</v>
      </c>
      <c r="C33">
        <v>11.2</v>
      </c>
      <c r="D33">
        <v>60.500000000000014</v>
      </c>
      <c r="E33">
        <v>0.30000000000000071</v>
      </c>
      <c r="F33">
        <v>111.60000000000001</v>
      </c>
      <c r="G33">
        <v>0</v>
      </c>
      <c r="H33">
        <v>173.29999999999998</v>
      </c>
      <c r="I33">
        <v>0</v>
      </c>
      <c r="J33">
        <v>235.29999999999998</v>
      </c>
      <c r="K33">
        <v>0</v>
      </c>
      <c r="L33">
        <v>297.3</v>
      </c>
      <c r="M33">
        <v>0</v>
      </c>
      <c r="N33">
        <v>359.3</v>
      </c>
      <c r="O33">
        <v>0</v>
      </c>
      <c r="P33">
        <v>421.3</v>
      </c>
      <c r="Q33">
        <v>21.590322580645164</v>
      </c>
      <c r="U33">
        <f>U32+1</f>
        <v>2003</v>
      </c>
      <c r="V33">
        <f t="shared" ref="V33:AG51" ca="1" si="46">OFFSET($D$38,(ROW()-32)*12+COLUMN()-22,0)</f>
        <v>0</v>
      </c>
      <c r="W33">
        <f t="shared" ca="1" si="38"/>
        <v>0</v>
      </c>
      <c r="X33">
        <f t="shared" ca="1" si="38"/>
        <v>0</v>
      </c>
      <c r="Y33">
        <f t="shared" ca="1" si="38"/>
        <v>0</v>
      </c>
      <c r="Z33">
        <f t="shared" ca="1" si="38"/>
        <v>0</v>
      </c>
      <c r="AA33">
        <f t="shared" ca="1" si="38"/>
        <v>16.2</v>
      </c>
      <c r="AB33">
        <f t="shared" ca="1" si="38"/>
        <v>43.000000000000014</v>
      </c>
      <c r="AC33">
        <f t="shared" ca="1" si="38"/>
        <v>48.1</v>
      </c>
      <c r="AD33">
        <f t="shared" ca="1" si="38"/>
        <v>8.6000000000000014</v>
      </c>
      <c r="AE33">
        <f t="shared" ca="1" si="38"/>
        <v>0</v>
      </c>
      <c r="AF33">
        <f t="shared" ca="1" si="38"/>
        <v>0</v>
      </c>
      <c r="AG33">
        <f t="shared" ca="1" si="38"/>
        <v>0</v>
      </c>
      <c r="AI33">
        <f>AI32+1</f>
        <v>2003</v>
      </c>
      <c r="AJ33">
        <f t="shared" ref="AJ33:AU51" ca="1" si="47">OFFSET($F$38,(ROW()-32)*12+COLUMN()-36,0)</f>
        <v>0</v>
      </c>
      <c r="AK33">
        <f t="shared" ca="1" si="39"/>
        <v>0</v>
      </c>
      <c r="AL33">
        <f t="shared" ca="1" si="39"/>
        <v>0</v>
      </c>
      <c r="AM33">
        <f t="shared" ca="1" si="39"/>
        <v>0.10000000000000142</v>
      </c>
      <c r="AN33">
        <f t="shared" ca="1" si="39"/>
        <v>0</v>
      </c>
      <c r="AO33">
        <f t="shared" ca="1" si="39"/>
        <v>34.799999999999997</v>
      </c>
      <c r="AP33">
        <f t="shared" ca="1" si="39"/>
        <v>85.100000000000009</v>
      </c>
      <c r="AQ33">
        <f t="shared" ca="1" si="39"/>
        <v>96.199999999999989</v>
      </c>
      <c r="AR33">
        <f t="shared" ca="1" si="39"/>
        <v>21.8</v>
      </c>
      <c r="AS33">
        <f t="shared" ca="1" si="39"/>
        <v>0</v>
      </c>
      <c r="AT33">
        <f t="shared" ca="1" si="39"/>
        <v>0</v>
      </c>
      <c r="AU33">
        <f t="shared" ca="1" si="39"/>
        <v>0</v>
      </c>
      <c r="AV33" s="70">
        <f t="shared" ca="1" si="40"/>
        <v>238</v>
      </c>
      <c r="AW33">
        <f>AW32+1</f>
        <v>2003</v>
      </c>
      <c r="AX33">
        <f t="shared" ref="AX33:BI51" ca="1" si="48">OFFSET($H$38,(ROW()-32)*12+COLUMN()-50,0)</f>
        <v>0</v>
      </c>
      <c r="AY33">
        <f t="shared" ca="1" si="41"/>
        <v>0</v>
      </c>
      <c r="AZ33">
        <f t="shared" ca="1" si="41"/>
        <v>0</v>
      </c>
      <c r="BA33">
        <f t="shared" ca="1" si="41"/>
        <v>3.1000000000000014</v>
      </c>
      <c r="BB33">
        <f t="shared" ca="1" si="41"/>
        <v>1.3999999999999986</v>
      </c>
      <c r="BC33">
        <f t="shared" ca="1" si="41"/>
        <v>60</v>
      </c>
      <c r="BD33">
        <f t="shared" ca="1" si="41"/>
        <v>143.09999999999997</v>
      </c>
      <c r="BE33">
        <f t="shared" ca="1" si="41"/>
        <v>153.19999999999999</v>
      </c>
      <c r="BF33">
        <f t="shared" ca="1" si="41"/>
        <v>51.7</v>
      </c>
      <c r="BG33">
        <f t="shared" ca="1" si="41"/>
        <v>4.5999999999999979</v>
      </c>
      <c r="BH33">
        <f t="shared" ca="1" si="41"/>
        <v>0</v>
      </c>
      <c r="BI33">
        <f t="shared" ca="1" si="41"/>
        <v>0</v>
      </c>
      <c r="BK33">
        <f>BK32+1</f>
        <v>2003</v>
      </c>
      <c r="BL33">
        <f t="shared" ref="BL33:BW51" ca="1" si="49">OFFSET($J$38,(ROW()-32)*12+COLUMN()-64,0)</f>
        <v>0</v>
      </c>
      <c r="BM33">
        <f t="shared" ca="1" si="42"/>
        <v>0</v>
      </c>
      <c r="BN33">
        <f t="shared" ca="1" si="42"/>
        <v>0.30000000000000071</v>
      </c>
      <c r="BO33">
        <f t="shared" ca="1" si="42"/>
        <v>7.8000000000000007</v>
      </c>
      <c r="BP33">
        <f t="shared" ca="1" si="42"/>
        <v>5.8999999999999986</v>
      </c>
      <c r="BQ33">
        <f t="shared" ca="1" si="42"/>
        <v>97.600000000000009</v>
      </c>
      <c r="BR33">
        <f t="shared" ca="1" si="42"/>
        <v>205.1</v>
      </c>
      <c r="BS33">
        <f t="shared" ca="1" si="42"/>
        <v>214.2</v>
      </c>
      <c r="BT33">
        <f t="shared" ca="1" si="42"/>
        <v>95.6</v>
      </c>
      <c r="BU33">
        <f t="shared" ca="1" si="42"/>
        <v>15.699999999999998</v>
      </c>
      <c r="BV33">
        <f t="shared" ca="1" si="42"/>
        <v>0</v>
      </c>
      <c r="BW33">
        <f t="shared" ca="1" si="42"/>
        <v>0</v>
      </c>
      <c r="BY33">
        <f>BY32+1</f>
        <v>2003</v>
      </c>
      <c r="BZ33">
        <f t="shared" ref="BZ33:CK51" ca="1" si="50">OFFSET($L$38,(ROW()-32)*12+COLUMN()-78,0)</f>
        <v>0</v>
      </c>
      <c r="CA33">
        <f t="shared" ca="1" si="43"/>
        <v>0</v>
      </c>
      <c r="CB33">
        <f t="shared" ca="1" si="43"/>
        <v>2.3000000000000007</v>
      </c>
      <c r="CC33">
        <f t="shared" ca="1" si="43"/>
        <v>15.100000000000001</v>
      </c>
      <c r="CD33">
        <f t="shared" ca="1" si="43"/>
        <v>19.5</v>
      </c>
      <c r="CE33">
        <f t="shared" ca="1" si="43"/>
        <v>146.20000000000002</v>
      </c>
      <c r="CF33">
        <f t="shared" ca="1" si="43"/>
        <v>267.10000000000002</v>
      </c>
      <c r="CG33">
        <f t="shared" ca="1" si="43"/>
        <v>276.2</v>
      </c>
      <c r="CH33">
        <f t="shared" ca="1" si="43"/>
        <v>144.9</v>
      </c>
      <c r="CI33">
        <f t="shared" ca="1" si="43"/>
        <v>28.499999999999996</v>
      </c>
      <c r="CJ33">
        <f t="shared" ca="1" si="43"/>
        <v>0.90000000000000036</v>
      </c>
      <c r="CK33">
        <f t="shared" ca="1" si="43"/>
        <v>0</v>
      </c>
      <c r="CM33">
        <f>CM32+1</f>
        <v>2003</v>
      </c>
      <c r="CN33">
        <f t="shared" ref="CN33:CY51" ca="1" si="51">OFFSET($N$38,(ROW()-32)*12+COLUMN()-92,0)</f>
        <v>0</v>
      </c>
      <c r="CO33">
        <f t="shared" ca="1" si="44"/>
        <v>0</v>
      </c>
      <c r="CP33">
        <f t="shared" ca="1" si="44"/>
        <v>4.3000000000000007</v>
      </c>
      <c r="CQ33">
        <f t="shared" ca="1" si="44"/>
        <v>24.6</v>
      </c>
      <c r="CR33">
        <f t="shared" ca="1" si="44"/>
        <v>47.000000000000007</v>
      </c>
      <c r="CS33">
        <f t="shared" ca="1" si="44"/>
        <v>203.7</v>
      </c>
      <c r="CT33">
        <f t="shared" ca="1" si="44"/>
        <v>329.09999999999997</v>
      </c>
      <c r="CU33">
        <f t="shared" ca="1" si="44"/>
        <v>338.2</v>
      </c>
      <c r="CV33">
        <f t="shared" ca="1" si="44"/>
        <v>198.8</v>
      </c>
      <c r="CW33">
        <f t="shared" ca="1" si="44"/>
        <v>46.399999999999991</v>
      </c>
      <c r="CX33">
        <f t="shared" ca="1" si="44"/>
        <v>7.6</v>
      </c>
      <c r="CY33">
        <f t="shared" ca="1" si="44"/>
        <v>0</v>
      </c>
      <c r="DA33">
        <f>DA32+1</f>
        <v>2003</v>
      </c>
      <c r="DB33">
        <f t="shared" ref="DB33:DM51" ca="1" si="52">OFFSET($P$38,(ROW()-32)*12+COLUMN()-106,0)</f>
        <v>0</v>
      </c>
      <c r="DC33">
        <f t="shared" ca="1" si="45"/>
        <v>0</v>
      </c>
      <c r="DD33">
        <f t="shared" ca="1" si="45"/>
        <v>9.5</v>
      </c>
      <c r="DE33">
        <f t="shared" ca="1" si="45"/>
        <v>40</v>
      </c>
      <c r="DF33">
        <f t="shared" ca="1" si="45"/>
        <v>88.899999999999977</v>
      </c>
      <c r="DG33">
        <f t="shared" ca="1" si="45"/>
        <v>263.19999999999993</v>
      </c>
      <c r="DH33">
        <f t="shared" ca="1" si="45"/>
        <v>391.09999999999991</v>
      </c>
      <c r="DI33">
        <f t="shared" ca="1" si="45"/>
        <v>400.2</v>
      </c>
      <c r="DJ33">
        <f t="shared" ca="1" si="45"/>
        <v>254.8</v>
      </c>
      <c r="DK33">
        <f t="shared" ca="1" si="45"/>
        <v>75.399999999999977</v>
      </c>
      <c r="DL33">
        <f t="shared" ca="1" si="45"/>
        <v>22.6</v>
      </c>
      <c r="DM33">
        <f t="shared" ca="1" si="45"/>
        <v>0</v>
      </c>
    </row>
    <row r="34" spans="1:117">
      <c r="A34">
        <v>2001</v>
      </c>
      <c r="B34">
        <v>9</v>
      </c>
      <c r="C34">
        <v>151.1</v>
      </c>
      <c r="D34">
        <v>12.2</v>
      </c>
      <c r="E34">
        <v>102.09999999999998</v>
      </c>
      <c r="F34">
        <v>23.2</v>
      </c>
      <c r="G34">
        <v>61.900000000000006</v>
      </c>
      <c r="H34">
        <v>43</v>
      </c>
      <c r="I34">
        <v>33.700000000000003</v>
      </c>
      <c r="J34">
        <v>74.800000000000011</v>
      </c>
      <c r="K34">
        <v>15.099999999999998</v>
      </c>
      <c r="L34">
        <v>116.2</v>
      </c>
      <c r="M34">
        <v>7.5999999999999988</v>
      </c>
      <c r="N34">
        <v>168.69999999999993</v>
      </c>
      <c r="O34">
        <v>2.8999999999999995</v>
      </c>
      <c r="P34">
        <v>223.99999999999997</v>
      </c>
      <c r="Q34">
        <v>15.370000000000001</v>
      </c>
      <c r="U34">
        <f t="shared" ref="U34:U53" si="53">U33+1</f>
        <v>2004</v>
      </c>
      <c r="V34">
        <f t="shared" ca="1" si="46"/>
        <v>0</v>
      </c>
      <c r="W34">
        <f t="shared" ca="1" si="38"/>
        <v>0</v>
      </c>
      <c r="X34">
        <f t="shared" ca="1" si="38"/>
        <v>0</v>
      </c>
      <c r="Y34">
        <f t="shared" ca="1" si="38"/>
        <v>0</v>
      </c>
      <c r="Z34">
        <f t="shared" ca="1" si="38"/>
        <v>2.1999999999999993</v>
      </c>
      <c r="AA34">
        <f t="shared" ca="1" si="38"/>
        <v>13.599999999999998</v>
      </c>
      <c r="AB34">
        <f t="shared" ca="1" si="38"/>
        <v>31.000000000000004</v>
      </c>
      <c r="AC34">
        <f t="shared" ca="1" si="38"/>
        <v>22.400000000000002</v>
      </c>
      <c r="AD34">
        <f t="shared" ca="1" si="38"/>
        <v>18.299999999999997</v>
      </c>
      <c r="AE34">
        <f t="shared" ca="1" si="38"/>
        <v>0</v>
      </c>
      <c r="AF34">
        <f t="shared" ca="1" si="38"/>
        <v>0</v>
      </c>
      <c r="AG34">
        <f t="shared" ca="1" si="38"/>
        <v>0</v>
      </c>
      <c r="AI34">
        <f t="shared" ref="AI34:AI52" si="54">AI33+1</f>
        <v>2004</v>
      </c>
      <c r="AJ34">
        <f t="shared" ca="1" si="47"/>
        <v>0</v>
      </c>
      <c r="AK34">
        <f t="shared" ca="1" si="39"/>
        <v>0</v>
      </c>
      <c r="AL34">
        <f t="shared" ca="1" si="39"/>
        <v>0</v>
      </c>
      <c r="AM34">
        <f t="shared" ca="1" si="39"/>
        <v>1.8999999999999986</v>
      </c>
      <c r="AN34">
        <f t="shared" ca="1" si="39"/>
        <v>8.3999999999999986</v>
      </c>
      <c r="AO34">
        <f t="shared" ca="1" si="39"/>
        <v>30.299999999999997</v>
      </c>
      <c r="AP34">
        <f t="shared" ca="1" si="39"/>
        <v>71.800000000000011</v>
      </c>
      <c r="AQ34">
        <f t="shared" ca="1" si="39"/>
        <v>47.400000000000006</v>
      </c>
      <c r="AR34">
        <f t="shared" ca="1" si="39"/>
        <v>43.599999999999994</v>
      </c>
      <c r="AS34">
        <f t="shared" ca="1" si="39"/>
        <v>0</v>
      </c>
      <c r="AT34">
        <f t="shared" ca="1" si="39"/>
        <v>0</v>
      </c>
      <c r="AU34">
        <f t="shared" ca="1" si="39"/>
        <v>0</v>
      </c>
      <c r="AV34" s="70">
        <f t="shared" ca="1" si="40"/>
        <v>203.4</v>
      </c>
      <c r="AW34">
        <f t="shared" ref="AW34:AW52" si="55">AW33+1</f>
        <v>2004</v>
      </c>
      <c r="AX34">
        <f t="shared" ca="1" si="48"/>
        <v>0</v>
      </c>
      <c r="AY34">
        <f t="shared" ca="1" si="41"/>
        <v>0</v>
      </c>
      <c r="AZ34">
        <f t="shared" ca="1" si="41"/>
        <v>0</v>
      </c>
      <c r="BA34">
        <f t="shared" ca="1" si="41"/>
        <v>4.2999999999999972</v>
      </c>
      <c r="BB34">
        <f t="shared" ca="1" si="41"/>
        <v>21.2</v>
      </c>
      <c r="BC34">
        <f t="shared" ca="1" si="41"/>
        <v>62.4</v>
      </c>
      <c r="BD34">
        <f t="shared" ca="1" si="41"/>
        <v>122.90000000000003</v>
      </c>
      <c r="BE34">
        <f t="shared" ca="1" si="41"/>
        <v>86.4</v>
      </c>
      <c r="BF34">
        <f t="shared" ca="1" si="41"/>
        <v>79.59999999999998</v>
      </c>
      <c r="BG34">
        <f t="shared" ca="1" si="41"/>
        <v>2.5</v>
      </c>
      <c r="BH34">
        <f t="shared" ca="1" si="41"/>
        <v>0</v>
      </c>
      <c r="BI34">
        <f t="shared" ca="1" si="41"/>
        <v>0</v>
      </c>
      <c r="BK34">
        <f t="shared" ref="BK34:BK52" si="56">BK33+1</f>
        <v>2004</v>
      </c>
      <c r="BL34">
        <f t="shared" ca="1" si="49"/>
        <v>0</v>
      </c>
      <c r="BM34">
        <f t="shared" ca="1" si="42"/>
        <v>0</v>
      </c>
      <c r="BN34">
        <f t="shared" ca="1" si="42"/>
        <v>0</v>
      </c>
      <c r="BO34">
        <f t="shared" ca="1" si="42"/>
        <v>12.199999999999998</v>
      </c>
      <c r="BP34">
        <f t="shared" ca="1" si="42"/>
        <v>42.899999999999991</v>
      </c>
      <c r="BQ34">
        <f t="shared" ca="1" si="42"/>
        <v>104.99999999999997</v>
      </c>
      <c r="BR34">
        <f t="shared" ca="1" si="42"/>
        <v>184.5</v>
      </c>
      <c r="BS34">
        <f t="shared" ca="1" si="42"/>
        <v>142.40000000000003</v>
      </c>
      <c r="BT34">
        <f t="shared" ca="1" si="42"/>
        <v>125.99999999999997</v>
      </c>
      <c r="BU34">
        <f t="shared" ca="1" si="42"/>
        <v>8.8000000000000007</v>
      </c>
      <c r="BV34">
        <f t="shared" ca="1" si="42"/>
        <v>0</v>
      </c>
      <c r="BW34">
        <f t="shared" ca="1" si="42"/>
        <v>0</v>
      </c>
      <c r="BY34">
        <f t="shared" ref="BY34:BY52" si="57">BY33+1</f>
        <v>2004</v>
      </c>
      <c r="BZ34">
        <f t="shared" ca="1" si="50"/>
        <v>0</v>
      </c>
      <c r="CA34">
        <f t="shared" ca="1" si="43"/>
        <v>0</v>
      </c>
      <c r="CB34">
        <f t="shared" ca="1" si="43"/>
        <v>1</v>
      </c>
      <c r="CC34">
        <f t="shared" ca="1" si="43"/>
        <v>25.2</v>
      </c>
      <c r="CD34">
        <f t="shared" ca="1" si="43"/>
        <v>74.600000000000009</v>
      </c>
      <c r="CE34">
        <f t="shared" ca="1" si="43"/>
        <v>156.4</v>
      </c>
      <c r="CF34">
        <f t="shared" ca="1" si="43"/>
        <v>246.5</v>
      </c>
      <c r="CG34">
        <f t="shared" ca="1" si="43"/>
        <v>204.4</v>
      </c>
      <c r="CH34">
        <f t="shared" ca="1" si="43"/>
        <v>181.20000000000002</v>
      </c>
      <c r="CI34">
        <f t="shared" ca="1" si="43"/>
        <v>21.200000000000003</v>
      </c>
      <c r="CJ34">
        <f t="shared" ca="1" si="43"/>
        <v>1.6999999999999993</v>
      </c>
      <c r="CK34">
        <f t="shared" ca="1" si="43"/>
        <v>0</v>
      </c>
      <c r="CM34">
        <f t="shared" ref="CM34:CM52" si="58">CM33+1</f>
        <v>2004</v>
      </c>
      <c r="CN34">
        <f t="shared" ca="1" si="51"/>
        <v>0</v>
      </c>
      <c r="CO34">
        <f t="shared" ca="1" si="44"/>
        <v>0</v>
      </c>
      <c r="CP34">
        <f t="shared" ca="1" si="44"/>
        <v>5.7999999999999989</v>
      </c>
      <c r="CQ34">
        <f t="shared" ca="1" si="44"/>
        <v>40.899999999999991</v>
      </c>
      <c r="CR34">
        <f t="shared" ca="1" si="44"/>
        <v>112.30000000000001</v>
      </c>
      <c r="CS34">
        <f t="shared" ca="1" si="44"/>
        <v>214.3</v>
      </c>
      <c r="CT34">
        <f t="shared" ca="1" si="44"/>
        <v>308.5</v>
      </c>
      <c r="CU34">
        <f t="shared" ca="1" si="44"/>
        <v>266.39999999999992</v>
      </c>
      <c r="CV34">
        <f t="shared" ca="1" si="44"/>
        <v>241.20000000000002</v>
      </c>
      <c r="CW34">
        <f t="shared" ca="1" si="44"/>
        <v>44.399999999999991</v>
      </c>
      <c r="CX34">
        <f t="shared" ca="1" si="44"/>
        <v>4.3999999999999986</v>
      </c>
      <c r="CY34">
        <f t="shared" ca="1" si="44"/>
        <v>0</v>
      </c>
      <c r="DA34">
        <f t="shared" ref="DA34:DA52" si="59">DA33+1</f>
        <v>2004</v>
      </c>
      <c r="DB34">
        <f t="shared" ca="1" si="52"/>
        <v>0</v>
      </c>
      <c r="DC34">
        <f t="shared" ca="1" si="45"/>
        <v>0</v>
      </c>
      <c r="DD34">
        <f t="shared" ca="1" si="45"/>
        <v>13.799999999999999</v>
      </c>
      <c r="DE34">
        <f t="shared" ca="1" si="45"/>
        <v>59.099999999999994</v>
      </c>
      <c r="DF34">
        <f t="shared" ca="1" si="45"/>
        <v>155.4</v>
      </c>
      <c r="DG34">
        <f t="shared" ca="1" si="45"/>
        <v>274.3</v>
      </c>
      <c r="DH34">
        <f t="shared" ca="1" si="45"/>
        <v>370.5</v>
      </c>
      <c r="DI34">
        <f t="shared" ca="1" si="45"/>
        <v>328.39999999999992</v>
      </c>
      <c r="DJ34">
        <f t="shared" ca="1" si="45"/>
        <v>301.19999999999993</v>
      </c>
      <c r="DK34">
        <f t="shared" ca="1" si="45"/>
        <v>88.600000000000009</v>
      </c>
      <c r="DL34">
        <f t="shared" ca="1" si="45"/>
        <v>14.3</v>
      </c>
      <c r="DM34">
        <f t="shared" ca="1" si="45"/>
        <v>0</v>
      </c>
    </row>
    <row r="35" spans="1:117">
      <c r="A35">
        <v>2001</v>
      </c>
      <c r="B35">
        <v>10</v>
      </c>
      <c r="C35">
        <v>291.10000000000002</v>
      </c>
      <c r="D35">
        <v>0</v>
      </c>
      <c r="E35">
        <v>229.7</v>
      </c>
      <c r="F35">
        <v>0.60000000000000142</v>
      </c>
      <c r="G35">
        <v>170.89999999999998</v>
      </c>
      <c r="H35">
        <v>3.8000000000000007</v>
      </c>
      <c r="I35">
        <v>123</v>
      </c>
      <c r="J35">
        <v>17.899999999999999</v>
      </c>
      <c r="K35">
        <v>83.6</v>
      </c>
      <c r="L35">
        <v>40.499999999999986</v>
      </c>
      <c r="M35">
        <v>49.2</v>
      </c>
      <c r="N35">
        <v>68.099999999999994</v>
      </c>
      <c r="O35">
        <v>24.799999999999997</v>
      </c>
      <c r="P35">
        <v>105.69999999999999</v>
      </c>
      <c r="Q35">
        <v>10.60967741935484</v>
      </c>
      <c r="U35">
        <f t="shared" si="53"/>
        <v>2005</v>
      </c>
      <c r="V35">
        <f t="shared" ca="1" si="46"/>
        <v>0</v>
      </c>
      <c r="W35">
        <f t="shared" ca="1" si="38"/>
        <v>0</v>
      </c>
      <c r="X35">
        <f t="shared" ca="1" si="38"/>
        <v>0</v>
      </c>
      <c r="Y35">
        <f t="shared" ca="1" si="38"/>
        <v>0</v>
      </c>
      <c r="Z35">
        <f t="shared" ca="1" si="38"/>
        <v>0</v>
      </c>
      <c r="AA35">
        <f t="shared" ca="1" si="38"/>
        <v>76.900000000000006</v>
      </c>
      <c r="AB35">
        <f t="shared" ca="1" si="38"/>
        <v>68.199999999999989</v>
      </c>
      <c r="AC35">
        <f t="shared" ca="1" si="38"/>
        <v>66.100000000000009</v>
      </c>
      <c r="AD35">
        <f t="shared" ca="1" si="38"/>
        <v>24.400000000000006</v>
      </c>
      <c r="AE35">
        <f t="shared" ca="1" si="38"/>
        <v>8.1000000000000014</v>
      </c>
      <c r="AF35">
        <f t="shared" ca="1" si="38"/>
        <v>0</v>
      </c>
      <c r="AG35">
        <f t="shared" ca="1" si="38"/>
        <v>0</v>
      </c>
      <c r="AI35">
        <f t="shared" si="54"/>
        <v>2005</v>
      </c>
      <c r="AJ35">
        <f t="shared" ca="1" si="47"/>
        <v>0</v>
      </c>
      <c r="AK35">
        <f t="shared" ca="1" si="39"/>
        <v>0</v>
      </c>
      <c r="AL35">
        <f t="shared" ca="1" si="39"/>
        <v>0</v>
      </c>
      <c r="AM35">
        <f t="shared" ca="1" si="39"/>
        <v>0.5</v>
      </c>
      <c r="AN35">
        <f t="shared" ca="1" si="39"/>
        <v>1.1999999999999993</v>
      </c>
      <c r="AO35">
        <f t="shared" ca="1" si="39"/>
        <v>117.39999999999998</v>
      </c>
      <c r="AP35">
        <f t="shared" ca="1" si="39"/>
        <v>118.3</v>
      </c>
      <c r="AQ35">
        <f t="shared" ca="1" si="39"/>
        <v>117.9</v>
      </c>
      <c r="AR35">
        <f t="shared" ca="1" si="39"/>
        <v>56.8</v>
      </c>
      <c r="AS35">
        <f t="shared" ca="1" si="39"/>
        <v>16.900000000000002</v>
      </c>
      <c r="AT35">
        <f t="shared" ca="1" si="39"/>
        <v>0</v>
      </c>
      <c r="AU35">
        <f t="shared" ca="1" si="39"/>
        <v>0</v>
      </c>
      <c r="AV35" s="70">
        <f t="shared" ca="1" si="40"/>
        <v>428.99999999999994</v>
      </c>
      <c r="AW35">
        <f t="shared" si="55"/>
        <v>2005</v>
      </c>
      <c r="AX35">
        <f t="shared" ca="1" si="48"/>
        <v>0</v>
      </c>
      <c r="AY35">
        <f t="shared" ca="1" si="41"/>
        <v>0</v>
      </c>
      <c r="AZ35">
        <f t="shared" ca="1" si="41"/>
        <v>0</v>
      </c>
      <c r="BA35">
        <f t="shared" ca="1" si="41"/>
        <v>2.5</v>
      </c>
      <c r="BB35">
        <f t="shared" ca="1" si="41"/>
        <v>5.8999999999999986</v>
      </c>
      <c r="BC35">
        <f t="shared" ca="1" si="41"/>
        <v>166.6</v>
      </c>
      <c r="BD35">
        <f t="shared" ca="1" si="41"/>
        <v>177.6</v>
      </c>
      <c r="BE35">
        <f t="shared" ca="1" si="41"/>
        <v>177.70000000000005</v>
      </c>
      <c r="BF35">
        <f t="shared" ca="1" si="41"/>
        <v>103.69999999999999</v>
      </c>
      <c r="BG35">
        <f t="shared" ca="1" si="41"/>
        <v>27.700000000000003</v>
      </c>
      <c r="BH35">
        <f t="shared" ca="1" si="41"/>
        <v>0</v>
      </c>
      <c r="BI35">
        <f t="shared" ca="1" si="41"/>
        <v>0</v>
      </c>
      <c r="BK35">
        <f t="shared" si="56"/>
        <v>2005</v>
      </c>
      <c r="BL35">
        <f t="shared" ca="1" si="49"/>
        <v>0</v>
      </c>
      <c r="BM35">
        <f t="shared" ca="1" si="42"/>
        <v>0</v>
      </c>
      <c r="BN35">
        <f t="shared" ca="1" si="42"/>
        <v>0</v>
      </c>
      <c r="BO35">
        <f t="shared" ca="1" si="42"/>
        <v>5.8000000000000007</v>
      </c>
      <c r="BP35">
        <f t="shared" ca="1" si="42"/>
        <v>15.399999999999999</v>
      </c>
      <c r="BQ35">
        <f t="shared" ca="1" si="42"/>
        <v>222.49999999999997</v>
      </c>
      <c r="BR35">
        <f t="shared" ca="1" si="42"/>
        <v>239.59999999999997</v>
      </c>
      <c r="BS35">
        <f t="shared" ca="1" si="42"/>
        <v>239.70000000000002</v>
      </c>
      <c r="BT35">
        <f t="shared" ca="1" si="42"/>
        <v>159.50000000000003</v>
      </c>
      <c r="BU35">
        <f t="shared" ca="1" si="42"/>
        <v>43.8</v>
      </c>
      <c r="BV35">
        <f t="shared" ca="1" si="42"/>
        <v>1.3000000000000007</v>
      </c>
      <c r="BW35">
        <f t="shared" ca="1" si="42"/>
        <v>0</v>
      </c>
      <c r="BY35">
        <f t="shared" si="57"/>
        <v>2005</v>
      </c>
      <c r="BZ35">
        <f t="shared" ca="1" si="50"/>
        <v>0</v>
      </c>
      <c r="CA35">
        <f t="shared" ca="1" si="43"/>
        <v>0</v>
      </c>
      <c r="CB35">
        <f t="shared" ca="1" si="43"/>
        <v>0</v>
      </c>
      <c r="CC35">
        <f t="shared" ca="1" si="43"/>
        <v>9.8000000000000007</v>
      </c>
      <c r="CD35">
        <f t="shared" ca="1" si="43"/>
        <v>37.200000000000003</v>
      </c>
      <c r="CE35">
        <f t="shared" ca="1" si="43"/>
        <v>282.49999999999989</v>
      </c>
      <c r="CF35">
        <f t="shared" ca="1" si="43"/>
        <v>301.59999999999997</v>
      </c>
      <c r="CG35">
        <f t="shared" ca="1" si="43"/>
        <v>301.7</v>
      </c>
      <c r="CH35">
        <f t="shared" ca="1" si="43"/>
        <v>215.50000000000006</v>
      </c>
      <c r="CI35">
        <f t="shared" ca="1" si="43"/>
        <v>66.499999999999986</v>
      </c>
      <c r="CJ35">
        <f t="shared" ca="1" si="43"/>
        <v>7.1000000000000014</v>
      </c>
      <c r="CK35">
        <f t="shared" ca="1" si="43"/>
        <v>0</v>
      </c>
      <c r="CM35">
        <f t="shared" si="58"/>
        <v>2005</v>
      </c>
      <c r="CN35">
        <f t="shared" ca="1" si="51"/>
        <v>0</v>
      </c>
      <c r="CO35">
        <f t="shared" ca="1" si="44"/>
        <v>0</v>
      </c>
      <c r="CP35">
        <f t="shared" ca="1" si="44"/>
        <v>0.69999999999999929</v>
      </c>
      <c r="CQ35">
        <f t="shared" ca="1" si="44"/>
        <v>18.899999999999999</v>
      </c>
      <c r="CR35">
        <f t="shared" ca="1" si="44"/>
        <v>70.300000000000011</v>
      </c>
      <c r="CS35">
        <f t="shared" ca="1" si="44"/>
        <v>342.49999999999989</v>
      </c>
      <c r="CT35">
        <f t="shared" ca="1" si="44"/>
        <v>363.59999999999997</v>
      </c>
      <c r="CU35">
        <f t="shared" ca="1" si="44"/>
        <v>363.7</v>
      </c>
      <c r="CV35">
        <f t="shared" ca="1" si="44"/>
        <v>275.00000000000006</v>
      </c>
      <c r="CW35">
        <f t="shared" ca="1" si="44"/>
        <v>98.59999999999998</v>
      </c>
      <c r="CX35">
        <f t="shared" ca="1" si="44"/>
        <v>20.700000000000003</v>
      </c>
      <c r="CY35">
        <f t="shared" ca="1" si="44"/>
        <v>0</v>
      </c>
      <c r="DA35">
        <f t="shared" si="59"/>
        <v>2005</v>
      </c>
      <c r="DB35">
        <f t="shared" ca="1" si="52"/>
        <v>0</v>
      </c>
      <c r="DC35">
        <f t="shared" ca="1" si="45"/>
        <v>0</v>
      </c>
      <c r="DD35">
        <f t="shared" ca="1" si="45"/>
        <v>4.2999999999999989</v>
      </c>
      <c r="DE35">
        <f t="shared" ca="1" si="45"/>
        <v>32.5</v>
      </c>
      <c r="DF35">
        <f t="shared" ca="1" si="45"/>
        <v>114.6</v>
      </c>
      <c r="DG35">
        <f t="shared" ca="1" si="45"/>
        <v>402.49999999999994</v>
      </c>
      <c r="DH35">
        <f t="shared" ca="1" si="45"/>
        <v>425.6</v>
      </c>
      <c r="DI35">
        <f t="shared" ca="1" si="45"/>
        <v>425.7</v>
      </c>
      <c r="DJ35">
        <f t="shared" ca="1" si="45"/>
        <v>335.00000000000011</v>
      </c>
      <c r="DK35">
        <f t="shared" ca="1" si="45"/>
        <v>137.69999999999999</v>
      </c>
      <c r="DL35">
        <f t="shared" ca="1" si="45"/>
        <v>43.2</v>
      </c>
      <c r="DM35">
        <f t="shared" ca="1" si="45"/>
        <v>0</v>
      </c>
    </row>
    <row r="36" spans="1:117">
      <c r="A36">
        <v>2001</v>
      </c>
      <c r="B36">
        <v>11</v>
      </c>
      <c r="C36">
        <v>370.70000000000005</v>
      </c>
      <c r="D36">
        <v>0</v>
      </c>
      <c r="E36">
        <v>310.70000000000005</v>
      </c>
      <c r="F36">
        <v>0</v>
      </c>
      <c r="G36">
        <v>250.70000000000002</v>
      </c>
      <c r="H36">
        <v>0</v>
      </c>
      <c r="I36">
        <v>190.90000000000003</v>
      </c>
      <c r="J36">
        <v>0.19999999999999929</v>
      </c>
      <c r="K36">
        <v>135.80000000000001</v>
      </c>
      <c r="L36">
        <v>5.0999999999999996</v>
      </c>
      <c r="M36">
        <v>87.2</v>
      </c>
      <c r="N36">
        <v>16.5</v>
      </c>
      <c r="O36">
        <v>47</v>
      </c>
      <c r="P36">
        <v>36.299999999999997</v>
      </c>
      <c r="Q36">
        <v>7.6433333333333318</v>
      </c>
      <c r="U36">
        <f t="shared" si="53"/>
        <v>2006</v>
      </c>
      <c r="V36">
        <f t="shared" ca="1" si="46"/>
        <v>0</v>
      </c>
      <c r="W36">
        <f t="shared" ca="1" si="38"/>
        <v>0</v>
      </c>
      <c r="X36">
        <f t="shared" ca="1" si="38"/>
        <v>0</v>
      </c>
      <c r="Y36">
        <f t="shared" ca="1" si="38"/>
        <v>0</v>
      </c>
      <c r="Z36">
        <f t="shared" ca="1" si="38"/>
        <v>15.8</v>
      </c>
      <c r="AA36">
        <f t="shared" ca="1" si="38"/>
        <v>21.4</v>
      </c>
      <c r="AB36">
        <f t="shared" ca="1" si="38"/>
        <v>89.200000000000017</v>
      </c>
      <c r="AC36">
        <f t="shared" ca="1" si="38"/>
        <v>37.5</v>
      </c>
      <c r="AD36">
        <f t="shared" ca="1" si="38"/>
        <v>1.3000000000000007</v>
      </c>
      <c r="AE36">
        <f t="shared" ca="1" si="38"/>
        <v>0</v>
      </c>
      <c r="AF36">
        <f t="shared" ca="1" si="38"/>
        <v>0</v>
      </c>
      <c r="AG36">
        <f t="shared" ca="1" si="38"/>
        <v>0</v>
      </c>
      <c r="AI36">
        <f t="shared" si="54"/>
        <v>2006</v>
      </c>
      <c r="AJ36">
        <f t="shared" ca="1" si="47"/>
        <v>0</v>
      </c>
      <c r="AK36">
        <f t="shared" ca="1" si="39"/>
        <v>0</v>
      </c>
      <c r="AL36">
        <f t="shared" ca="1" si="39"/>
        <v>0</v>
      </c>
      <c r="AM36">
        <f t="shared" ca="1" si="39"/>
        <v>0</v>
      </c>
      <c r="AN36">
        <f t="shared" ca="1" si="39"/>
        <v>25.900000000000002</v>
      </c>
      <c r="AO36">
        <f t="shared" ca="1" si="39"/>
        <v>43.800000000000011</v>
      </c>
      <c r="AP36">
        <f t="shared" ca="1" si="39"/>
        <v>144.70000000000002</v>
      </c>
      <c r="AQ36">
        <f t="shared" ca="1" si="39"/>
        <v>74.799999999999983</v>
      </c>
      <c r="AR36">
        <f t="shared" ca="1" si="39"/>
        <v>7.8000000000000007</v>
      </c>
      <c r="AS36">
        <f t="shared" ca="1" si="39"/>
        <v>1.8000000000000007</v>
      </c>
      <c r="AT36">
        <f t="shared" ca="1" si="39"/>
        <v>0</v>
      </c>
      <c r="AU36">
        <f t="shared" ca="1" si="39"/>
        <v>0</v>
      </c>
      <c r="AV36" s="70">
        <f t="shared" ca="1" si="40"/>
        <v>298.80000000000007</v>
      </c>
      <c r="AW36">
        <f t="shared" si="55"/>
        <v>2006</v>
      </c>
      <c r="AX36">
        <f t="shared" ca="1" si="48"/>
        <v>0</v>
      </c>
      <c r="AY36">
        <f t="shared" ca="1" si="41"/>
        <v>0</v>
      </c>
      <c r="AZ36">
        <f t="shared" ca="1" si="41"/>
        <v>0</v>
      </c>
      <c r="BA36">
        <f t="shared" ca="1" si="41"/>
        <v>1.2000000000000028</v>
      </c>
      <c r="BB36">
        <f t="shared" ca="1" si="41"/>
        <v>40.1</v>
      </c>
      <c r="BC36">
        <f t="shared" ca="1" si="41"/>
        <v>77</v>
      </c>
      <c r="BD36">
        <f t="shared" ca="1" si="41"/>
        <v>203.3</v>
      </c>
      <c r="BE36">
        <f t="shared" ca="1" si="41"/>
        <v>129.29999999999998</v>
      </c>
      <c r="BF36">
        <f t="shared" ca="1" si="41"/>
        <v>24</v>
      </c>
      <c r="BG36">
        <f t="shared" ca="1" si="41"/>
        <v>3.8000000000000007</v>
      </c>
      <c r="BH36">
        <f t="shared" ca="1" si="41"/>
        <v>0</v>
      </c>
      <c r="BI36">
        <f t="shared" ca="1" si="41"/>
        <v>0</v>
      </c>
      <c r="BK36">
        <f t="shared" si="56"/>
        <v>2006</v>
      </c>
      <c r="BL36">
        <f t="shared" ca="1" si="49"/>
        <v>0</v>
      </c>
      <c r="BM36">
        <f t="shared" ca="1" si="42"/>
        <v>0</v>
      </c>
      <c r="BN36">
        <f t="shared" ca="1" si="42"/>
        <v>0</v>
      </c>
      <c r="BO36">
        <f t="shared" ca="1" si="42"/>
        <v>9.1000000000000032</v>
      </c>
      <c r="BP36">
        <f t="shared" ca="1" si="42"/>
        <v>64.099999999999994</v>
      </c>
      <c r="BQ36">
        <f t="shared" ca="1" si="42"/>
        <v>124.19999999999999</v>
      </c>
      <c r="BR36">
        <f t="shared" ca="1" si="42"/>
        <v>265.2</v>
      </c>
      <c r="BS36">
        <f t="shared" ca="1" si="42"/>
        <v>191.29999999999998</v>
      </c>
      <c r="BT36">
        <f t="shared" ca="1" si="42"/>
        <v>60.899999999999991</v>
      </c>
      <c r="BU36">
        <f t="shared" ca="1" si="42"/>
        <v>6.1000000000000014</v>
      </c>
      <c r="BV36">
        <f t="shared" ca="1" si="42"/>
        <v>0.19999999999999929</v>
      </c>
      <c r="BW36">
        <f t="shared" ca="1" si="42"/>
        <v>0</v>
      </c>
      <c r="BY36">
        <f t="shared" si="57"/>
        <v>2006</v>
      </c>
      <c r="BZ36">
        <f t="shared" ca="1" si="50"/>
        <v>0</v>
      </c>
      <c r="CA36">
        <f t="shared" ca="1" si="43"/>
        <v>0</v>
      </c>
      <c r="CB36">
        <f t="shared" ca="1" si="43"/>
        <v>1.1999999999999993</v>
      </c>
      <c r="CC36">
        <f t="shared" ca="1" si="43"/>
        <v>21.000000000000004</v>
      </c>
      <c r="CD36">
        <f t="shared" ca="1" si="43"/>
        <v>100.20000000000002</v>
      </c>
      <c r="CE36">
        <f t="shared" ca="1" si="43"/>
        <v>180.5</v>
      </c>
      <c r="CF36">
        <f t="shared" ca="1" si="43"/>
        <v>327.19999999999993</v>
      </c>
      <c r="CG36">
        <f t="shared" ca="1" si="43"/>
        <v>253.3</v>
      </c>
      <c r="CH36">
        <f t="shared" ca="1" si="43"/>
        <v>106.89999999999999</v>
      </c>
      <c r="CI36">
        <f t="shared" ca="1" si="43"/>
        <v>15.8</v>
      </c>
      <c r="CJ36">
        <f t="shared" ca="1" si="43"/>
        <v>3.3999999999999986</v>
      </c>
      <c r="CK36">
        <f t="shared" ca="1" si="43"/>
        <v>0</v>
      </c>
      <c r="CM36">
        <f t="shared" si="58"/>
        <v>2006</v>
      </c>
      <c r="CN36">
        <f t="shared" ca="1" si="51"/>
        <v>0</v>
      </c>
      <c r="CO36">
        <f t="shared" ca="1" si="44"/>
        <v>0</v>
      </c>
      <c r="CP36">
        <f t="shared" ca="1" si="44"/>
        <v>3.5</v>
      </c>
      <c r="CQ36">
        <f t="shared" ca="1" si="44"/>
        <v>39.100000000000009</v>
      </c>
      <c r="CR36">
        <f t="shared" ca="1" si="44"/>
        <v>140.80000000000001</v>
      </c>
      <c r="CS36">
        <f t="shared" ca="1" si="44"/>
        <v>240.3</v>
      </c>
      <c r="CT36">
        <f t="shared" ca="1" si="44"/>
        <v>389.19999999999993</v>
      </c>
      <c r="CU36">
        <f t="shared" ca="1" si="44"/>
        <v>315.30000000000007</v>
      </c>
      <c r="CV36">
        <f t="shared" ca="1" si="44"/>
        <v>162.90000000000003</v>
      </c>
      <c r="CW36">
        <f t="shared" ca="1" si="44"/>
        <v>36</v>
      </c>
      <c r="CX36">
        <f t="shared" ca="1" si="44"/>
        <v>10.999999999999998</v>
      </c>
      <c r="CY36">
        <f t="shared" ca="1" si="44"/>
        <v>0</v>
      </c>
      <c r="DA36">
        <f t="shared" si="59"/>
        <v>2006</v>
      </c>
      <c r="DB36">
        <f t="shared" ca="1" si="52"/>
        <v>0</v>
      </c>
      <c r="DC36">
        <f t="shared" ca="1" si="45"/>
        <v>0</v>
      </c>
      <c r="DD36">
        <f t="shared" ca="1" si="45"/>
        <v>7.5</v>
      </c>
      <c r="DE36">
        <f t="shared" ca="1" si="45"/>
        <v>63.099999999999994</v>
      </c>
      <c r="DF36">
        <f t="shared" ca="1" si="45"/>
        <v>193.10000000000002</v>
      </c>
      <c r="DG36">
        <f t="shared" ca="1" si="45"/>
        <v>300.3</v>
      </c>
      <c r="DH36">
        <f t="shared" ca="1" si="45"/>
        <v>451.2</v>
      </c>
      <c r="DI36">
        <f t="shared" ca="1" si="45"/>
        <v>377.30000000000007</v>
      </c>
      <c r="DJ36">
        <f t="shared" ca="1" si="45"/>
        <v>222.30000000000004</v>
      </c>
      <c r="DK36">
        <f t="shared" ca="1" si="45"/>
        <v>62.699999999999996</v>
      </c>
      <c r="DL36">
        <f t="shared" ca="1" si="45"/>
        <v>26.5</v>
      </c>
      <c r="DM36">
        <f t="shared" ca="1" si="45"/>
        <v>0.59999999999999964</v>
      </c>
    </row>
    <row r="37" spans="1:117">
      <c r="A37">
        <v>2001</v>
      </c>
      <c r="B37">
        <v>12</v>
      </c>
      <c r="C37">
        <v>574.29999999999995</v>
      </c>
      <c r="D37">
        <v>0</v>
      </c>
      <c r="E37">
        <v>512.29999999999995</v>
      </c>
      <c r="F37">
        <v>0</v>
      </c>
      <c r="G37">
        <v>450.2999999999999</v>
      </c>
      <c r="H37">
        <v>0</v>
      </c>
      <c r="I37">
        <v>388.39999999999992</v>
      </c>
      <c r="J37">
        <v>9.9999999999999645E-2</v>
      </c>
      <c r="K37">
        <v>328.4</v>
      </c>
      <c r="L37">
        <v>2.0999999999999996</v>
      </c>
      <c r="M37">
        <v>268.39999999999998</v>
      </c>
      <c r="N37">
        <v>4.0999999999999996</v>
      </c>
      <c r="O37">
        <v>210.1</v>
      </c>
      <c r="P37">
        <v>7.7999999999999989</v>
      </c>
      <c r="Q37">
        <v>1.4741935483870965</v>
      </c>
      <c r="U37">
        <f t="shared" si="53"/>
        <v>2007</v>
      </c>
      <c r="V37">
        <f t="shared" ca="1" si="46"/>
        <v>0</v>
      </c>
      <c r="W37">
        <f t="shared" ca="1" si="38"/>
        <v>0</v>
      </c>
      <c r="X37">
        <f t="shared" ca="1" si="38"/>
        <v>0</v>
      </c>
      <c r="Y37">
        <f t="shared" ca="1" si="38"/>
        <v>0</v>
      </c>
      <c r="Z37">
        <f t="shared" ca="1" si="38"/>
        <v>12.899999999999999</v>
      </c>
      <c r="AA37">
        <f t="shared" ca="1" si="38"/>
        <v>34.9</v>
      </c>
      <c r="AB37">
        <f t="shared" ca="1" si="38"/>
        <v>42.100000000000009</v>
      </c>
      <c r="AC37">
        <f t="shared" ca="1" si="38"/>
        <v>58.199999999999996</v>
      </c>
      <c r="AD37">
        <f t="shared" ca="1" si="38"/>
        <v>21.700000000000003</v>
      </c>
      <c r="AE37">
        <f t="shared" ca="1" si="38"/>
        <v>20.7</v>
      </c>
      <c r="AF37">
        <f t="shared" ca="1" si="38"/>
        <v>0</v>
      </c>
      <c r="AG37">
        <f t="shared" ca="1" si="38"/>
        <v>0</v>
      </c>
      <c r="AI37">
        <f t="shared" si="54"/>
        <v>2007</v>
      </c>
      <c r="AJ37">
        <f t="shared" ca="1" si="47"/>
        <v>0</v>
      </c>
      <c r="AK37">
        <f t="shared" ca="1" si="39"/>
        <v>0</v>
      </c>
      <c r="AL37">
        <f t="shared" ca="1" si="39"/>
        <v>0</v>
      </c>
      <c r="AM37">
        <f t="shared" ca="1" si="39"/>
        <v>0</v>
      </c>
      <c r="AN37">
        <f t="shared" ca="1" si="39"/>
        <v>22.900000000000002</v>
      </c>
      <c r="AO37">
        <f t="shared" ca="1" si="39"/>
        <v>65.099999999999994</v>
      </c>
      <c r="AP37">
        <f t="shared" ca="1" si="39"/>
        <v>88.2</v>
      </c>
      <c r="AQ37">
        <f t="shared" ca="1" si="39"/>
        <v>99.299999999999983</v>
      </c>
      <c r="AR37">
        <f t="shared" ca="1" si="39"/>
        <v>46.1</v>
      </c>
      <c r="AS37">
        <f t="shared" ca="1" si="39"/>
        <v>31.5</v>
      </c>
      <c r="AT37">
        <f t="shared" ca="1" si="39"/>
        <v>0</v>
      </c>
      <c r="AU37">
        <f t="shared" ca="1" si="39"/>
        <v>0</v>
      </c>
      <c r="AV37" s="70">
        <f t="shared" ca="1" si="40"/>
        <v>353.1</v>
      </c>
      <c r="AW37">
        <f t="shared" si="55"/>
        <v>2007</v>
      </c>
      <c r="AX37">
        <f t="shared" ca="1" si="48"/>
        <v>0</v>
      </c>
      <c r="AY37">
        <f t="shared" ca="1" si="41"/>
        <v>0</v>
      </c>
      <c r="AZ37">
        <f t="shared" ca="1" si="41"/>
        <v>0.5</v>
      </c>
      <c r="BA37">
        <f t="shared" ca="1" si="41"/>
        <v>0</v>
      </c>
      <c r="BB37">
        <f t="shared" ca="1" si="41"/>
        <v>40.900000000000006</v>
      </c>
      <c r="BC37">
        <f t="shared" ca="1" si="41"/>
        <v>107.19999999999999</v>
      </c>
      <c r="BD37">
        <f t="shared" ca="1" si="41"/>
        <v>143</v>
      </c>
      <c r="BE37">
        <f t="shared" ca="1" si="41"/>
        <v>154.20000000000002</v>
      </c>
      <c r="BF37">
        <f t="shared" ca="1" si="41"/>
        <v>81.400000000000006</v>
      </c>
      <c r="BG37">
        <f t="shared" ca="1" si="41"/>
        <v>56.2</v>
      </c>
      <c r="BH37">
        <f t="shared" ca="1" si="41"/>
        <v>0</v>
      </c>
      <c r="BI37">
        <f t="shared" ca="1" si="41"/>
        <v>0</v>
      </c>
      <c r="BK37">
        <f t="shared" si="56"/>
        <v>2007</v>
      </c>
      <c r="BL37">
        <f t="shared" ca="1" si="49"/>
        <v>0</v>
      </c>
      <c r="BM37">
        <f t="shared" ca="1" si="42"/>
        <v>0</v>
      </c>
      <c r="BN37">
        <f t="shared" ca="1" si="42"/>
        <v>2.5</v>
      </c>
      <c r="BO37">
        <f t="shared" ca="1" si="42"/>
        <v>2.9000000000000004</v>
      </c>
      <c r="BP37">
        <f t="shared" ca="1" si="42"/>
        <v>65</v>
      </c>
      <c r="BQ37">
        <f t="shared" ca="1" si="42"/>
        <v>160.29999999999998</v>
      </c>
      <c r="BR37">
        <f t="shared" ca="1" si="42"/>
        <v>201.50000000000003</v>
      </c>
      <c r="BS37">
        <f t="shared" ca="1" si="42"/>
        <v>214.4</v>
      </c>
      <c r="BT37">
        <f t="shared" ca="1" si="42"/>
        <v>130.60000000000002</v>
      </c>
      <c r="BU37">
        <f t="shared" ca="1" si="42"/>
        <v>86.7</v>
      </c>
      <c r="BV37">
        <f t="shared" ca="1" si="42"/>
        <v>0</v>
      </c>
      <c r="BW37">
        <f t="shared" ca="1" si="42"/>
        <v>0</v>
      </c>
      <c r="BY37">
        <f t="shared" si="57"/>
        <v>2007</v>
      </c>
      <c r="BZ37">
        <f t="shared" ca="1" si="50"/>
        <v>0</v>
      </c>
      <c r="CA37">
        <f t="shared" ca="1" si="43"/>
        <v>0</v>
      </c>
      <c r="CB37">
        <f t="shared" ca="1" si="43"/>
        <v>4.5</v>
      </c>
      <c r="CC37">
        <f t="shared" ca="1" si="43"/>
        <v>10.299999999999999</v>
      </c>
      <c r="CD37">
        <f t="shared" ca="1" si="43"/>
        <v>97.100000000000009</v>
      </c>
      <c r="CE37">
        <f t="shared" ca="1" si="43"/>
        <v>217.1</v>
      </c>
      <c r="CF37">
        <f t="shared" ca="1" si="43"/>
        <v>263.50000000000006</v>
      </c>
      <c r="CG37">
        <f t="shared" ca="1" si="43"/>
        <v>276.39999999999998</v>
      </c>
      <c r="CH37">
        <f t="shared" ca="1" si="43"/>
        <v>185.80000000000004</v>
      </c>
      <c r="CI37">
        <f t="shared" ca="1" si="43"/>
        <v>121.09999999999998</v>
      </c>
      <c r="CJ37">
        <f t="shared" ca="1" si="43"/>
        <v>0</v>
      </c>
      <c r="CK37">
        <f t="shared" ca="1" si="43"/>
        <v>0</v>
      </c>
      <c r="CM37">
        <f t="shared" si="58"/>
        <v>2007</v>
      </c>
      <c r="CN37">
        <f t="shared" ca="1" si="51"/>
        <v>0</v>
      </c>
      <c r="CO37">
        <f t="shared" ca="1" si="44"/>
        <v>0</v>
      </c>
      <c r="CP37">
        <f t="shared" ca="1" si="44"/>
        <v>9</v>
      </c>
      <c r="CQ37">
        <f t="shared" ca="1" si="44"/>
        <v>23.7</v>
      </c>
      <c r="CR37">
        <f t="shared" ca="1" si="44"/>
        <v>136.10000000000002</v>
      </c>
      <c r="CS37">
        <f t="shared" ca="1" si="44"/>
        <v>275.09999999999997</v>
      </c>
      <c r="CT37">
        <f t="shared" ca="1" si="44"/>
        <v>325.5</v>
      </c>
      <c r="CU37">
        <f t="shared" ca="1" si="44"/>
        <v>338.4</v>
      </c>
      <c r="CV37">
        <f t="shared" ca="1" si="44"/>
        <v>243</v>
      </c>
      <c r="CW37">
        <f t="shared" ca="1" si="44"/>
        <v>159.1</v>
      </c>
      <c r="CX37">
        <f t="shared" ca="1" si="44"/>
        <v>0.79999999999999893</v>
      </c>
      <c r="CY37">
        <f t="shared" ca="1" si="44"/>
        <v>0</v>
      </c>
      <c r="DA37">
        <f t="shared" si="59"/>
        <v>2007</v>
      </c>
      <c r="DB37">
        <f t="shared" ca="1" si="52"/>
        <v>0.90000000000000036</v>
      </c>
      <c r="DC37">
        <f t="shared" ca="1" si="45"/>
        <v>0</v>
      </c>
      <c r="DD37">
        <f t="shared" ca="1" si="45"/>
        <v>16</v>
      </c>
      <c r="DE37">
        <f t="shared" ca="1" si="45"/>
        <v>42.9</v>
      </c>
      <c r="DF37">
        <f t="shared" ca="1" si="45"/>
        <v>186.5</v>
      </c>
      <c r="DG37">
        <f t="shared" ca="1" si="45"/>
        <v>335.09999999999997</v>
      </c>
      <c r="DH37">
        <f t="shared" ca="1" si="45"/>
        <v>387.5</v>
      </c>
      <c r="DI37">
        <f t="shared" ca="1" si="45"/>
        <v>400.4</v>
      </c>
      <c r="DJ37">
        <f t="shared" ca="1" si="45"/>
        <v>302.99999999999994</v>
      </c>
      <c r="DK37">
        <f t="shared" ca="1" si="45"/>
        <v>212.00000000000003</v>
      </c>
      <c r="DL37">
        <f t="shared" ca="1" si="45"/>
        <v>6.6999999999999993</v>
      </c>
      <c r="DM37">
        <f t="shared" ca="1" si="45"/>
        <v>0</v>
      </c>
    </row>
    <row r="38" spans="1:117">
      <c r="A38">
        <v>2002</v>
      </c>
      <c r="B38">
        <v>1</v>
      </c>
      <c r="C38">
        <v>642.9</v>
      </c>
      <c r="D38">
        <v>0</v>
      </c>
      <c r="E38">
        <v>580.90000000000009</v>
      </c>
      <c r="F38">
        <v>0</v>
      </c>
      <c r="G38">
        <v>518.89999999999986</v>
      </c>
      <c r="H38">
        <v>0</v>
      </c>
      <c r="I38">
        <v>456.89999999999992</v>
      </c>
      <c r="J38">
        <v>0</v>
      </c>
      <c r="K38">
        <v>394.89999999999992</v>
      </c>
      <c r="L38">
        <v>0</v>
      </c>
      <c r="M38">
        <v>332.89999999999992</v>
      </c>
      <c r="N38">
        <v>0</v>
      </c>
      <c r="O38">
        <v>270.89999999999998</v>
      </c>
      <c r="P38">
        <v>0</v>
      </c>
      <c r="Q38">
        <v>-0.73870967741935512</v>
      </c>
      <c r="U38">
        <f t="shared" si="53"/>
        <v>2008</v>
      </c>
      <c r="V38">
        <f t="shared" ca="1" si="46"/>
        <v>0</v>
      </c>
      <c r="W38">
        <f t="shared" ca="1" si="38"/>
        <v>0</v>
      </c>
      <c r="X38">
        <f t="shared" ca="1" si="38"/>
        <v>0</v>
      </c>
      <c r="Y38">
        <f t="shared" ca="1" si="38"/>
        <v>0</v>
      </c>
      <c r="Z38">
        <f t="shared" ca="1" si="38"/>
        <v>0</v>
      </c>
      <c r="AA38">
        <f t="shared" ca="1" si="38"/>
        <v>44.9</v>
      </c>
      <c r="AB38">
        <f t="shared" ca="1" si="38"/>
        <v>56.699999999999996</v>
      </c>
      <c r="AC38">
        <f t="shared" ca="1" si="38"/>
        <v>34.4</v>
      </c>
      <c r="AD38">
        <f t="shared" ca="1" si="38"/>
        <v>9.7999999999999972</v>
      </c>
      <c r="AE38">
        <f t="shared" ca="1" si="38"/>
        <v>0</v>
      </c>
      <c r="AF38">
        <f t="shared" ca="1" si="38"/>
        <v>0</v>
      </c>
      <c r="AG38">
        <f t="shared" ca="1" si="38"/>
        <v>0</v>
      </c>
      <c r="AI38">
        <f t="shared" si="54"/>
        <v>2008</v>
      </c>
      <c r="AJ38">
        <f t="shared" ca="1" si="47"/>
        <v>0</v>
      </c>
      <c r="AK38">
        <f t="shared" ca="1" si="39"/>
        <v>0</v>
      </c>
      <c r="AL38">
        <f t="shared" ca="1" si="39"/>
        <v>0</v>
      </c>
      <c r="AM38">
        <f t="shared" ca="1" si="39"/>
        <v>0.39999999999999858</v>
      </c>
      <c r="AN38">
        <f t="shared" ca="1" si="39"/>
        <v>1.1999999999999993</v>
      </c>
      <c r="AO38">
        <f t="shared" ca="1" si="39"/>
        <v>80.5</v>
      </c>
      <c r="AP38">
        <f t="shared" ca="1" si="39"/>
        <v>107.20000000000002</v>
      </c>
      <c r="AQ38">
        <f t="shared" ca="1" si="39"/>
        <v>71.699999999999989</v>
      </c>
      <c r="AR38">
        <f t="shared" ca="1" si="39"/>
        <v>28.8</v>
      </c>
      <c r="AS38">
        <f t="shared" ca="1" si="39"/>
        <v>0.60000000000000142</v>
      </c>
      <c r="AT38">
        <f t="shared" ca="1" si="39"/>
        <v>0</v>
      </c>
      <c r="AU38">
        <f t="shared" ca="1" si="39"/>
        <v>0</v>
      </c>
      <c r="AV38" s="70">
        <f t="shared" ca="1" si="40"/>
        <v>290.40000000000003</v>
      </c>
      <c r="AW38">
        <f t="shared" si="55"/>
        <v>2008</v>
      </c>
      <c r="AX38">
        <f t="shared" ca="1" si="48"/>
        <v>0</v>
      </c>
      <c r="AY38">
        <f t="shared" ca="1" si="41"/>
        <v>0</v>
      </c>
      <c r="AZ38">
        <f t="shared" ca="1" si="41"/>
        <v>0</v>
      </c>
      <c r="BA38">
        <f t="shared" ca="1" si="41"/>
        <v>5.5999999999999979</v>
      </c>
      <c r="BB38">
        <f t="shared" ca="1" si="41"/>
        <v>6.3999999999999986</v>
      </c>
      <c r="BC38">
        <f t="shared" ca="1" si="41"/>
        <v>122.09999999999997</v>
      </c>
      <c r="BD38">
        <f t="shared" ca="1" si="41"/>
        <v>163.50000000000003</v>
      </c>
      <c r="BE38">
        <f t="shared" ca="1" si="41"/>
        <v>121.80000000000001</v>
      </c>
      <c r="BF38">
        <f t="shared" ca="1" si="41"/>
        <v>58.4</v>
      </c>
      <c r="BG38">
        <f t="shared" ca="1" si="41"/>
        <v>4.6000000000000014</v>
      </c>
      <c r="BH38">
        <f t="shared" ca="1" si="41"/>
        <v>0</v>
      </c>
      <c r="BI38">
        <f t="shared" ca="1" si="41"/>
        <v>0</v>
      </c>
      <c r="BK38">
        <f t="shared" si="56"/>
        <v>2008</v>
      </c>
      <c r="BL38">
        <f t="shared" ca="1" si="49"/>
        <v>0</v>
      </c>
      <c r="BM38">
        <f t="shared" ca="1" si="42"/>
        <v>0</v>
      </c>
      <c r="BN38">
        <f t="shared" ca="1" si="42"/>
        <v>0</v>
      </c>
      <c r="BO38">
        <f t="shared" ca="1" si="42"/>
        <v>15.299999999999999</v>
      </c>
      <c r="BP38">
        <f t="shared" ca="1" si="42"/>
        <v>15.499999999999998</v>
      </c>
      <c r="BQ38">
        <f t="shared" ca="1" si="42"/>
        <v>175.70000000000002</v>
      </c>
      <c r="BR38">
        <f t="shared" ca="1" si="42"/>
        <v>224.40000000000006</v>
      </c>
      <c r="BS38">
        <f t="shared" ca="1" si="42"/>
        <v>183.20000000000005</v>
      </c>
      <c r="BT38">
        <f t="shared" ca="1" si="42"/>
        <v>105.29999999999997</v>
      </c>
      <c r="BU38">
        <f t="shared" ca="1" si="42"/>
        <v>10.500000000000002</v>
      </c>
      <c r="BV38">
        <f t="shared" ca="1" si="42"/>
        <v>0.30000000000000071</v>
      </c>
      <c r="BW38">
        <f t="shared" ca="1" si="42"/>
        <v>0</v>
      </c>
      <c r="BY38">
        <f t="shared" si="57"/>
        <v>2008</v>
      </c>
      <c r="BZ38">
        <f t="shared" ca="1" si="50"/>
        <v>0.5</v>
      </c>
      <c r="CA38">
        <f t="shared" ca="1" si="43"/>
        <v>0</v>
      </c>
      <c r="CB38">
        <f t="shared" ca="1" si="43"/>
        <v>0</v>
      </c>
      <c r="CC38">
        <f t="shared" ca="1" si="43"/>
        <v>33.5</v>
      </c>
      <c r="CD38">
        <f t="shared" ca="1" si="43"/>
        <v>31.899999999999995</v>
      </c>
      <c r="CE38">
        <f t="shared" ca="1" si="43"/>
        <v>234.29999999999998</v>
      </c>
      <c r="CF38">
        <f t="shared" ca="1" si="43"/>
        <v>286.40000000000009</v>
      </c>
      <c r="CG38">
        <f t="shared" ca="1" si="43"/>
        <v>245.20000000000002</v>
      </c>
      <c r="CH38">
        <f t="shared" ca="1" si="43"/>
        <v>164.29999999999998</v>
      </c>
      <c r="CI38">
        <f t="shared" ca="1" si="43"/>
        <v>21.2</v>
      </c>
      <c r="CJ38">
        <f t="shared" ca="1" si="43"/>
        <v>5.3000000000000007</v>
      </c>
      <c r="CK38">
        <f t="shared" ca="1" si="43"/>
        <v>0</v>
      </c>
      <c r="CM38">
        <f t="shared" si="58"/>
        <v>2008</v>
      </c>
      <c r="CN38">
        <f t="shared" ca="1" si="51"/>
        <v>4.5</v>
      </c>
      <c r="CO38">
        <f t="shared" ca="1" si="44"/>
        <v>0</v>
      </c>
      <c r="CP38">
        <f t="shared" ca="1" si="44"/>
        <v>0</v>
      </c>
      <c r="CQ38">
        <f t="shared" ca="1" si="44"/>
        <v>57.300000000000004</v>
      </c>
      <c r="CR38">
        <f t="shared" ca="1" si="44"/>
        <v>59.699999999999989</v>
      </c>
      <c r="CS38">
        <f t="shared" ca="1" si="44"/>
        <v>294.29999999999995</v>
      </c>
      <c r="CT38">
        <f t="shared" ca="1" si="44"/>
        <v>348.40000000000009</v>
      </c>
      <c r="CU38">
        <f t="shared" ca="1" si="44"/>
        <v>307.2</v>
      </c>
      <c r="CV38">
        <f t="shared" ca="1" si="44"/>
        <v>224.29999999999998</v>
      </c>
      <c r="CW38">
        <f t="shared" ca="1" si="44"/>
        <v>40.200000000000003</v>
      </c>
      <c r="CX38">
        <f t="shared" ca="1" si="44"/>
        <v>15.100000000000001</v>
      </c>
      <c r="CY38">
        <f t="shared" ca="1" si="44"/>
        <v>0</v>
      </c>
      <c r="DA38">
        <f t="shared" si="59"/>
        <v>2008</v>
      </c>
      <c r="DB38">
        <f t="shared" ca="1" si="52"/>
        <v>8.5</v>
      </c>
      <c r="DC38">
        <f t="shared" ca="1" si="45"/>
        <v>0</v>
      </c>
      <c r="DD38">
        <f t="shared" ca="1" si="45"/>
        <v>1.5999999999999996</v>
      </c>
      <c r="DE38">
        <f t="shared" ca="1" si="45"/>
        <v>87.1</v>
      </c>
      <c r="DF38">
        <f t="shared" ca="1" si="45"/>
        <v>103.69999999999997</v>
      </c>
      <c r="DG38">
        <f t="shared" ca="1" si="45"/>
        <v>354.2999999999999</v>
      </c>
      <c r="DH38">
        <f t="shared" ca="1" si="45"/>
        <v>410.40000000000003</v>
      </c>
      <c r="DI38">
        <f t="shared" ca="1" si="45"/>
        <v>369.19999999999993</v>
      </c>
      <c r="DJ38">
        <f t="shared" ca="1" si="45"/>
        <v>284.3</v>
      </c>
      <c r="DK38">
        <f t="shared" ca="1" si="45"/>
        <v>72.699999999999989</v>
      </c>
      <c r="DL38">
        <f t="shared" ca="1" si="45"/>
        <v>28.8</v>
      </c>
      <c r="DM38">
        <f t="shared" ca="1" si="45"/>
        <v>1</v>
      </c>
    </row>
    <row r="39" spans="1:117">
      <c r="A39">
        <v>2002</v>
      </c>
      <c r="B39">
        <v>2</v>
      </c>
      <c r="C39">
        <v>589.90000000000009</v>
      </c>
      <c r="D39">
        <v>0</v>
      </c>
      <c r="E39">
        <v>533.90000000000009</v>
      </c>
      <c r="F39">
        <v>0</v>
      </c>
      <c r="G39">
        <v>477.90000000000009</v>
      </c>
      <c r="H39">
        <v>0</v>
      </c>
      <c r="I39">
        <v>421.90000000000003</v>
      </c>
      <c r="J39">
        <v>0</v>
      </c>
      <c r="K39">
        <v>365.90000000000009</v>
      </c>
      <c r="L39">
        <v>0</v>
      </c>
      <c r="M39">
        <v>309.89999999999998</v>
      </c>
      <c r="N39">
        <v>0</v>
      </c>
      <c r="O39">
        <v>253.89999999999995</v>
      </c>
      <c r="P39">
        <v>0</v>
      </c>
      <c r="Q39">
        <v>-1.0678571428571431</v>
      </c>
      <c r="U39">
        <f t="shared" si="53"/>
        <v>2009</v>
      </c>
      <c r="V39">
        <f t="shared" ca="1" si="46"/>
        <v>0</v>
      </c>
      <c r="W39">
        <f t="shared" ca="1" si="38"/>
        <v>0</v>
      </c>
      <c r="X39">
        <f t="shared" ca="1" si="38"/>
        <v>0</v>
      </c>
      <c r="Y39">
        <f t="shared" ca="1" si="38"/>
        <v>0</v>
      </c>
      <c r="Z39">
        <f t="shared" ca="1" si="38"/>
        <v>0</v>
      </c>
      <c r="AA39">
        <f t="shared" ca="1" si="38"/>
        <v>11</v>
      </c>
      <c r="AB39">
        <f t="shared" ca="1" si="38"/>
        <v>13.200000000000003</v>
      </c>
      <c r="AC39">
        <f t="shared" ca="1" si="38"/>
        <v>47.900000000000006</v>
      </c>
      <c r="AD39">
        <f t="shared" ca="1" si="38"/>
        <v>6.2000000000000028</v>
      </c>
      <c r="AE39">
        <f t="shared" ca="1" si="38"/>
        <v>0</v>
      </c>
      <c r="AF39">
        <f t="shared" ca="1" si="38"/>
        <v>0</v>
      </c>
      <c r="AG39">
        <f t="shared" ca="1" si="38"/>
        <v>0</v>
      </c>
      <c r="AI39">
        <f t="shared" si="54"/>
        <v>2009</v>
      </c>
      <c r="AJ39">
        <f t="shared" ca="1" si="47"/>
        <v>0</v>
      </c>
      <c r="AK39">
        <f t="shared" ca="1" si="39"/>
        <v>0</v>
      </c>
      <c r="AL39">
        <f t="shared" ca="1" si="39"/>
        <v>0</v>
      </c>
      <c r="AM39">
        <f t="shared" ca="1" si="39"/>
        <v>2</v>
      </c>
      <c r="AN39">
        <f t="shared" ca="1" si="39"/>
        <v>2.1999999999999993</v>
      </c>
      <c r="AO39">
        <f t="shared" ca="1" si="39"/>
        <v>26.900000000000002</v>
      </c>
      <c r="AP39">
        <f t="shared" ca="1" si="39"/>
        <v>44.400000000000006</v>
      </c>
      <c r="AQ39">
        <f t="shared" ca="1" si="39"/>
        <v>86.2</v>
      </c>
      <c r="AR39">
        <f t="shared" ca="1" si="39"/>
        <v>17.600000000000001</v>
      </c>
      <c r="AS39">
        <f t="shared" ca="1" si="39"/>
        <v>0</v>
      </c>
      <c r="AT39">
        <f t="shared" ca="1" si="39"/>
        <v>0</v>
      </c>
      <c r="AU39">
        <f t="shared" ca="1" si="39"/>
        <v>0</v>
      </c>
      <c r="AV39" s="70">
        <f t="shared" ca="1" si="40"/>
        <v>179.29999999999998</v>
      </c>
      <c r="AW39">
        <f t="shared" si="55"/>
        <v>2009</v>
      </c>
      <c r="AX39">
        <f t="shared" ca="1" si="48"/>
        <v>0</v>
      </c>
      <c r="AY39">
        <f t="shared" ca="1" si="41"/>
        <v>0</v>
      </c>
      <c r="AZ39">
        <f t="shared" ca="1" si="41"/>
        <v>0</v>
      </c>
      <c r="BA39">
        <f t="shared" ca="1" si="41"/>
        <v>5.6000000000000014</v>
      </c>
      <c r="BB39">
        <f t="shared" ca="1" si="41"/>
        <v>13</v>
      </c>
      <c r="BC39">
        <f t="shared" ca="1" si="41"/>
        <v>52.1</v>
      </c>
      <c r="BD39">
        <f t="shared" ca="1" si="41"/>
        <v>97.5</v>
      </c>
      <c r="BE39">
        <f t="shared" ca="1" si="41"/>
        <v>139.30000000000001</v>
      </c>
      <c r="BF39">
        <f t="shared" ca="1" si="41"/>
        <v>39.1</v>
      </c>
      <c r="BG39">
        <f t="shared" ca="1" si="41"/>
        <v>0.30000000000000071</v>
      </c>
      <c r="BH39">
        <f t="shared" ca="1" si="41"/>
        <v>0</v>
      </c>
      <c r="BI39">
        <f t="shared" ca="1" si="41"/>
        <v>0</v>
      </c>
      <c r="BK39">
        <f t="shared" si="56"/>
        <v>2009</v>
      </c>
      <c r="BL39">
        <f t="shared" ca="1" si="49"/>
        <v>0</v>
      </c>
      <c r="BM39">
        <f t="shared" ca="1" si="42"/>
        <v>0</v>
      </c>
      <c r="BN39">
        <f t="shared" ca="1" si="42"/>
        <v>0</v>
      </c>
      <c r="BO39">
        <f t="shared" ca="1" si="42"/>
        <v>11.8</v>
      </c>
      <c r="BP39">
        <f t="shared" ca="1" si="42"/>
        <v>30.6</v>
      </c>
      <c r="BQ39">
        <f t="shared" ca="1" si="42"/>
        <v>92.299999999999983</v>
      </c>
      <c r="BR39">
        <f t="shared" ca="1" si="42"/>
        <v>159.4</v>
      </c>
      <c r="BS39">
        <f t="shared" ca="1" si="42"/>
        <v>197.20000000000002</v>
      </c>
      <c r="BT39">
        <f t="shared" ca="1" si="42"/>
        <v>76</v>
      </c>
      <c r="BU39">
        <f t="shared" ca="1" si="42"/>
        <v>2.7000000000000011</v>
      </c>
      <c r="BV39">
        <f t="shared" ca="1" si="42"/>
        <v>0</v>
      </c>
      <c r="BW39">
        <f t="shared" ca="1" si="42"/>
        <v>0</v>
      </c>
      <c r="BY39">
        <f t="shared" si="57"/>
        <v>2009</v>
      </c>
      <c r="BZ39">
        <f t="shared" ca="1" si="50"/>
        <v>0</v>
      </c>
      <c r="CA39">
        <f t="shared" ca="1" si="43"/>
        <v>0</v>
      </c>
      <c r="CB39">
        <f t="shared" ca="1" si="43"/>
        <v>0</v>
      </c>
      <c r="CC39">
        <f t="shared" ca="1" si="43"/>
        <v>22.9</v>
      </c>
      <c r="CD39">
        <f t="shared" ca="1" si="43"/>
        <v>56.100000000000009</v>
      </c>
      <c r="CE39">
        <f t="shared" ca="1" si="43"/>
        <v>142.5</v>
      </c>
      <c r="CF39">
        <f t="shared" ca="1" si="43"/>
        <v>221.39999999999995</v>
      </c>
      <c r="CG39">
        <f t="shared" ca="1" si="43"/>
        <v>258</v>
      </c>
      <c r="CH39">
        <f t="shared" ca="1" si="43"/>
        <v>128.29999999999998</v>
      </c>
      <c r="CI39">
        <f t="shared" ca="1" si="43"/>
        <v>8.5000000000000018</v>
      </c>
      <c r="CJ39">
        <f t="shared" ca="1" si="43"/>
        <v>1.5</v>
      </c>
      <c r="CK39">
        <f t="shared" ca="1" si="43"/>
        <v>0</v>
      </c>
      <c r="CM39">
        <f t="shared" si="58"/>
        <v>2009</v>
      </c>
      <c r="CN39">
        <f t="shared" ca="1" si="51"/>
        <v>0</v>
      </c>
      <c r="CO39">
        <f t="shared" ca="1" si="44"/>
        <v>0</v>
      </c>
      <c r="CP39">
        <f t="shared" ca="1" si="44"/>
        <v>0</v>
      </c>
      <c r="CQ39">
        <f t="shared" ca="1" si="44"/>
        <v>37.6</v>
      </c>
      <c r="CR39">
        <f t="shared" ca="1" si="44"/>
        <v>95.699999999999989</v>
      </c>
      <c r="CS39">
        <f t="shared" ca="1" si="44"/>
        <v>196.60000000000002</v>
      </c>
      <c r="CT39">
        <f t="shared" ca="1" si="44"/>
        <v>283.39999999999992</v>
      </c>
      <c r="CU39">
        <f t="shared" ca="1" si="44"/>
        <v>320</v>
      </c>
      <c r="CV39">
        <f t="shared" ca="1" si="44"/>
        <v>184.9</v>
      </c>
      <c r="CW39">
        <f t="shared" ca="1" si="44"/>
        <v>28.299999999999997</v>
      </c>
      <c r="CX39">
        <f t="shared" ca="1" si="44"/>
        <v>7.3999999999999986</v>
      </c>
      <c r="CY39">
        <f t="shared" ca="1" si="44"/>
        <v>0</v>
      </c>
      <c r="DA39">
        <f t="shared" si="59"/>
        <v>2009</v>
      </c>
      <c r="DB39">
        <f t="shared" ca="1" si="52"/>
        <v>0</v>
      </c>
      <c r="DC39">
        <f t="shared" ca="1" si="45"/>
        <v>0.30000000000000071</v>
      </c>
      <c r="DD39">
        <f t="shared" ca="1" si="45"/>
        <v>2.4000000000000004</v>
      </c>
      <c r="DE39">
        <f t="shared" ca="1" si="45"/>
        <v>59.400000000000006</v>
      </c>
      <c r="DF39">
        <f t="shared" ca="1" si="45"/>
        <v>148.9</v>
      </c>
      <c r="DG39">
        <f t="shared" ca="1" si="45"/>
        <v>255.3</v>
      </c>
      <c r="DH39">
        <f t="shared" ca="1" si="45"/>
        <v>345.40000000000003</v>
      </c>
      <c r="DI39">
        <f t="shared" ca="1" si="45"/>
        <v>382</v>
      </c>
      <c r="DJ39">
        <f t="shared" ca="1" si="45"/>
        <v>242.90000000000003</v>
      </c>
      <c r="DK39">
        <f t="shared" ca="1" si="45"/>
        <v>65.999999999999986</v>
      </c>
      <c r="DL39">
        <f t="shared" ca="1" si="45"/>
        <v>18.8</v>
      </c>
      <c r="DM39">
        <f t="shared" ca="1" si="45"/>
        <v>0</v>
      </c>
    </row>
    <row r="40" spans="1:117">
      <c r="A40">
        <v>2002</v>
      </c>
      <c r="B40">
        <v>3</v>
      </c>
      <c r="C40">
        <v>609.5</v>
      </c>
      <c r="D40">
        <v>0</v>
      </c>
      <c r="E40">
        <v>547.5</v>
      </c>
      <c r="F40">
        <v>0</v>
      </c>
      <c r="G40">
        <v>485.50000000000006</v>
      </c>
      <c r="H40">
        <v>0</v>
      </c>
      <c r="I40">
        <v>423.5</v>
      </c>
      <c r="J40">
        <v>0</v>
      </c>
      <c r="K40">
        <v>361.50000000000006</v>
      </c>
      <c r="L40">
        <v>0</v>
      </c>
      <c r="M40">
        <v>299.50000000000006</v>
      </c>
      <c r="N40">
        <v>0</v>
      </c>
      <c r="O40">
        <v>237.5</v>
      </c>
      <c r="P40">
        <v>0</v>
      </c>
      <c r="Q40">
        <v>0.3387096774193547</v>
      </c>
      <c r="U40">
        <f t="shared" si="53"/>
        <v>2010</v>
      </c>
      <c r="V40">
        <f t="shared" ca="1" si="46"/>
        <v>0</v>
      </c>
      <c r="W40">
        <f t="shared" ca="1" si="38"/>
        <v>0</v>
      </c>
      <c r="X40">
        <f t="shared" ca="1" si="38"/>
        <v>0</v>
      </c>
      <c r="Y40">
        <f t="shared" ca="1" si="38"/>
        <v>0</v>
      </c>
      <c r="Z40">
        <f t="shared" ca="1" si="38"/>
        <v>10.300000000000004</v>
      </c>
      <c r="AA40">
        <f t="shared" ca="1" si="38"/>
        <v>29.6</v>
      </c>
      <c r="AB40">
        <f t="shared" ca="1" si="38"/>
        <v>101.80000000000001</v>
      </c>
      <c r="AC40">
        <f t="shared" ca="1" si="38"/>
        <v>91.699999999999989</v>
      </c>
      <c r="AD40">
        <f t="shared" ca="1" si="38"/>
        <v>19.200000000000003</v>
      </c>
      <c r="AE40">
        <f t="shared" ca="1" si="38"/>
        <v>0</v>
      </c>
      <c r="AF40">
        <f t="shared" ca="1" si="38"/>
        <v>0</v>
      </c>
      <c r="AG40">
        <f t="shared" ca="1" si="38"/>
        <v>0</v>
      </c>
      <c r="AI40">
        <f t="shared" si="54"/>
        <v>2010</v>
      </c>
      <c r="AJ40">
        <f t="shared" ca="1" si="47"/>
        <v>0</v>
      </c>
      <c r="AK40">
        <f t="shared" ca="1" si="39"/>
        <v>0</v>
      </c>
      <c r="AL40">
        <f t="shared" ca="1" si="39"/>
        <v>0</v>
      </c>
      <c r="AM40">
        <f t="shared" ca="1" si="39"/>
        <v>1.1999999999999993</v>
      </c>
      <c r="AN40">
        <f t="shared" ca="1" si="39"/>
        <v>27.800000000000004</v>
      </c>
      <c r="AO40">
        <f t="shared" ca="1" si="39"/>
        <v>66</v>
      </c>
      <c r="AP40">
        <f t="shared" ca="1" si="39"/>
        <v>157.30000000000001</v>
      </c>
      <c r="AQ40">
        <f t="shared" ca="1" si="39"/>
        <v>146.19999999999999</v>
      </c>
      <c r="AR40">
        <f t="shared" ca="1" si="39"/>
        <v>32.600000000000009</v>
      </c>
      <c r="AS40">
        <f t="shared" ca="1" si="39"/>
        <v>0</v>
      </c>
      <c r="AT40">
        <f t="shared" ca="1" si="39"/>
        <v>0</v>
      </c>
      <c r="AU40">
        <f t="shared" ca="1" si="39"/>
        <v>0</v>
      </c>
      <c r="AV40" s="70">
        <f t="shared" ca="1" si="40"/>
        <v>431.1</v>
      </c>
      <c r="AW40">
        <f t="shared" si="55"/>
        <v>2010</v>
      </c>
      <c r="AX40">
        <f t="shared" ca="1" si="48"/>
        <v>0</v>
      </c>
      <c r="AY40">
        <f t="shared" ca="1" si="41"/>
        <v>0</v>
      </c>
      <c r="AZ40">
        <f t="shared" ca="1" si="41"/>
        <v>0</v>
      </c>
      <c r="BA40">
        <f t="shared" ca="1" si="41"/>
        <v>8.9000000000000021</v>
      </c>
      <c r="BB40">
        <f t="shared" ca="1" si="41"/>
        <v>59.699999999999996</v>
      </c>
      <c r="BC40">
        <f t="shared" ca="1" si="41"/>
        <v>112.80000000000001</v>
      </c>
      <c r="BD40">
        <f t="shared" ca="1" si="41"/>
        <v>216.8</v>
      </c>
      <c r="BE40">
        <f t="shared" ca="1" si="41"/>
        <v>206.29999999999998</v>
      </c>
      <c r="BF40">
        <f t="shared" ca="1" si="41"/>
        <v>53.2</v>
      </c>
      <c r="BG40">
        <f t="shared" ca="1" si="41"/>
        <v>2.7000000000000028</v>
      </c>
      <c r="BH40">
        <f t="shared" ca="1" si="41"/>
        <v>0</v>
      </c>
      <c r="BI40">
        <f t="shared" ca="1" si="41"/>
        <v>0</v>
      </c>
      <c r="BK40">
        <f t="shared" si="56"/>
        <v>2010</v>
      </c>
      <c r="BL40">
        <f t="shared" ca="1" si="49"/>
        <v>0</v>
      </c>
      <c r="BM40">
        <f t="shared" ca="1" si="42"/>
        <v>0</v>
      </c>
      <c r="BN40">
        <f t="shared" ca="1" si="42"/>
        <v>0</v>
      </c>
      <c r="BO40">
        <f t="shared" ca="1" si="42"/>
        <v>20.900000000000002</v>
      </c>
      <c r="BP40">
        <f t="shared" ca="1" si="42"/>
        <v>97.600000000000023</v>
      </c>
      <c r="BQ40">
        <f t="shared" ca="1" si="42"/>
        <v>164.3</v>
      </c>
      <c r="BR40">
        <f t="shared" ca="1" si="42"/>
        <v>277.40000000000003</v>
      </c>
      <c r="BS40">
        <f t="shared" ca="1" si="42"/>
        <v>268.30000000000007</v>
      </c>
      <c r="BT40">
        <f t="shared" ca="1" si="42"/>
        <v>89.600000000000023</v>
      </c>
      <c r="BU40">
        <f t="shared" ca="1" si="42"/>
        <v>12.500000000000004</v>
      </c>
      <c r="BV40">
        <f t="shared" ca="1" si="42"/>
        <v>0</v>
      </c>
      <c r="BW40">
        <f t="shared" ca="1" si="42"/>
        <v>0</v>
      </c>
      <c r="BY40">
        <f t="shared" si="57"/>
        <v>2010</v>
      </c>
      <c r="BZ40">
        <f t="shared" ca="1" si="50"/>
        <v>0</v>
      </c>
      <c r="CA40">
        <f t="shared" ca="1" si="43"/>
        <v>0</v>
      </c>
      <c r="CB40">
        <f t="shared" ca="1" si="43"/>
        <v>0</v>
      </c>
      <c r="CC40">
        <f t="shared" ca="1" si="43"/>
        <v>33.200000000000003</v>
      </c>
      <c r="CD40">
        <f t="shared" ca="1" si="43"/>
        <v>139.6</v>
      </c>
      <c r="CE40">
        <f t="shared" ca="1" si="43"/>
        <v>222.89999999999998</v>
      </c>
      <c r="CF40">
        <f t="shared" ca="1" si="43"/>
        <v>339.39999999999992</v>
      </c>
      <c r="CG40">
        <f t="shared" ca="1" si="43"/>
        <v>330.3</v>
      </c>
      <c r="CH40">
        <f t="shared" ca="1" si="43"/>
        <v>142.5</v>
      </c>
      <c r="CI40">
        <f t="shared" ca="1" si="43"/>
        <v>33.900000000000006</v>
      </c>
      <c r="CJ40">
        <f t="shared" ca="1" si="43"/>
        <v>1.3000000000000007</v>
      </c>
      <c r="CK40">
        <f t="shared" ca="1" si="43"/>
        <v>0</v>
      </c>
      <c r="CM40">
        <f t="shared" si="58"/>
        <v>2010</v>
      </c>
      <c r="CN40">
        <f t="shared" ca="1" si="51"/>
        <v>0</v>
      </c>
      <c r="CO40">
        <f t="shared" ca="1" si="44"/>
        <v>0</v>
      </c>
      <c r="CP40">
        <f t="shared" ca="1" si="44"/>
        <v>1.5999999999999996</v>
      </c>
      <c r="CQ40">
        <f t="shared" ca="1" si="44"/>
        <v>54.599999999999994</v>
      </c>
      <c r="CR40">
        <f t="shared" ca="1" si="44"/>
        <v>183.60000000000002</v>
      </c>
      <c r="CS40">
        <f t="shared" ca="1" si="44"/>
        <v>282.89999999999992</v>
      </c>
      <c r="CT40">
        <f t="shared" ca="1" si="44"/>
        <v>401.39999999999992</v>
      </c>
      <c r="CU40">
        <f t="shared" ca="1" si="44"/>
        <v>392.3</v>
      </c>
      <c r="CV40">
        <f t="shared" ca="1" si="44"/>
        <v>201.8</v>
      </c>
      <c r="CW40">
        <f t="shared" ca="1" si="44"/>
        <v>67.900000000000006</v>
      </c>
      <c r="CX40">
        <f t="shared" ca="1" si="44"/>
        <v>3.3000000000000007</v>
      </c>
      <c r="CY40">
        <f t="shared" ca="1" si="44"/>
        <v>0</v>
      </c>
      <c r="DA40">
        <f t="shared" si="59"/>
        <v>2010</v>
      </c>
      <c r="DB40">
        <f t="shared" ca="1" si="52"/>
        <v>0</v>
      </c>
      <c r="DC40">
        <f t="shared" ca="1" si="45"/>
        <v>0</v>
      </c>
      <c r="DD40">
        <f t="shared" ca="1" si="45"/>
        <v>10.7</v>
      </c>
      <c r="DE40">
        <f t="shared" ca="1" si="45"/>
        <v>85.499999999999986</v>
      </c>
      <c r="DF40">
        <f t="shared" ca="1" si="45"/>
        <v>233.90000000000003</v>
      </c>
      <c r="DG40">
        <f t="shared" ca="1" si="45"/>
        <v>342.89999999999992</v>
      </c>
      <c r="DH40">
        <f t="shared" ca="1" si="45"/>
        <v>463.4</v>
      </c>
      <c r="DI40">
        <f t="shared" ca="1" si="45"/>
        <v>454.29999999999995</v>
      </c>
      <c r="DJ40">
        <f t="shared" ca="1" si="45"/>
        <v>261.8</v>
      </c>
      <c r="DK40">
        <f t="shared" ca="1" si="45"/>
        <v>118.3</v>
      </c>
      <c r="DL40">
        <f t="shared" ca="1" si="45"/>
        <v>5.3000000000000007</v>
      </c>
      <c r="DM40">
        <f t="shared" ca="1" si="45"/>
        <v>0</v>
      </c>
    </row>
    <row r="41" spans="1:117">
      <c r="A41">
        <v>2002</v>
      </c>
      <c r="B41">
        <v>4</v>
      </c>
      <c r="C41">
        <v>383.59999999999997</v>
      </c>
      <c r="D41">
        <v>4.1999999999999993</v>
      </c>
      <c r="E41">
        <v>329.4</v>
      </c>
      <c r="F41">
        <v>10</v>
      </c>
      <c r="G41">
        <v>276.99999999999994</v>
      </c>
      <c r="H41">
        <v>17.600000000000001</v>
      </c>
      <c r="I41">
        <v>224.99999999999997</v>
      </c>
      <c r="J41">
        <v>25.6</v>
      </c>
      <c r="K41">
        <v>175.39999999999998</v>
      </c>
      <c r="L41">
        <v>36.000000000000007</v>
      </c>
      <c r="M41">
        <v>129.29999999999998</v>
      </c>
      <c r="N41">
        <v>49.900000000000006</v>
      </c>
      <c r="O41">
        <v>85.5</v>
      </c>
      <c r="P41">
        <v>66.099999999999994</v>
      </c>
      <c r="Q41">
        <v>7.3533333333333344</v>
      </c>
      <c r="U41">
        <f t="shared" si="53"/>
        <v>2011</v>
      </c>
      <c r="V41">
        <f t="shared" ca="1" si="46"/>
        <v>0</v>
      </c>
      <c r="W41">
        <f t="shared" ca="1" si="38"/>
        <v>0</v>
      </c>
      <c r="X41">
        <f t="shared" ca="1" si="38"/>
        <v>0</v>
      </c>
      <c r="Y41">
        <f t="shared" ca="1" si="38"/>
        <v>0</v>
      </c>
      <c r="Z41">
        <f t="shared" ca="1" si="38"/>
        <v>12.400000000000002</v>
      </c>
      <c r="AA41">
        <f t="shared" ca="1" si="38"/>
        <v>23.9</v>
      </c>
      <c r="AB41">
        <f t="shared" ca="1" si="38"/>
        <v>114.6</v>
      </c>
      <c r="AC41">
        <f t="shared" ca="1" si="38"/>
        <v>43.400000000000006</v>
      </c>
      <c r="AD41">
        <f t="shared" ca="1" si="38"/>
        <v>19.599999999999998</v>
      </c>
      <c r="AE41">
        <f t="shared" ca="1" si="38"/>
        <v>0</v>
      </c>
      <c r="AF41">
        <f t="shared" ca="1" si="38"/>
        <v>0</v>
      </c>
      <c r="AG41">
        <f t="shared" ca="1" si="38"/>
        <v>0</v>
      </c>
      <c r="AI41">
        <f t="shared" si="54"/>
        <v>2011</v>
      </c>
      <c r="AJ41">
        <f t="shared" ca="1" si="47"/>
        <v>0</v>
      </c>
      <c r="AK41">
        <f t="shared" ca="1" si="39"/>
        <v>0</v>
      </c>
      <c r="AL41">
        <f t="shared" ca="1" si="39"/>
        <v>0</v>
      </c>
      <c r="AM41">
        <f t="shared" ca="1" si="39"/>
        <v>0</v>
      </c>
      <c r="AN41">
        <f t="shared" ca="1" si="39"/>
        <v>21.8</v>
      </c>
      <c r="AO41">
        <f t="shared" ca="1" si="39"/>
        <v>48.599999999999994</v>
      </c>
      <c r="AP41">
        <f t="shared" ca="1" si="39"/>
        <v>174.40000000000003</v>
      </c>
      <c r="AQ41">
        <f t="shared" ca="1" si="39"/>
        <v>95.900000000000034</v>
      </c>
      <c r="AR41">
        <f t="shared" ca="1" si="39"/>
        <v>34.5</v>
      </c>
      <c r="AS41">
        <f t="shared" ca="1" si="39"/>
        <v>0.70000000000000284</v>
      </c>
      <c r="AT41">
        <f t="shared" ca="1" si="39"/>
        <v>0</v>
      </c>
      <c r="AU41">
        <f t="shared" ca="1" si="39"/>
        <v>0</v>
      </c>
      <c r="AV41" s="70">
        <f t="shared" ca="1" si="40"/>
        <v>375.90000000000003</v>
      </c>
      <c r="AW41">
        <f t="shared" si="55"/>
        <v>2011</v>
      </c>
      <c r="AX41">
        <f t="shared" ca="1" si="48"/>
        <v>0</v>
      </c>
      <c r="AY41">
        <f t="shared" ca="1" si="41"/>
        <v>0</v>
      </c>
      <c r="AZ41">
        <f t="shared" ca="1" si="41"/>
        <v>0</v>
      </c>
      <c r="BA41">
        <f t="shared" ca="1" si="41"/>
        <v>1.6999999999999993</v>
      </c>
      <c r="BB41">
        <f t="shared" ca="1" si="41"/>
        <v>35.5</v>
      </c>
      <c r="BC41">
        <f t="shared" ca="1" si="41"/>
        <v>90.800000000000011</v>
      </c>
      <c r="BD41">
        <f t="shared" ca="1" si="41"/>
        <v>236.4</v>
      </c>
      <c r="BE41">
        <f t="shared" ca="1" si="41"/>
        <v>157.89999999999998</v>
      </c>
      <c r="BF41">
        <f t="shared" ca="1" si="41"/>
        <v>60.300000000000004</v>
      </c>
      <c r="BG41">
        <f t="shared" ca="1" si="41"/>
        <v>9.1000000000000014</v>
      </c>
      <c r="BH41">
        <f t="shared" ca="1" si="41"/>
        <v>0</v>
      </c>
      <c r="BI41">
        <f t="shared" ca="1" si="41"/>
        <v>0</v>
      </c>
      <c r="BK41">
        <f t="shared" si="56"/>
        <v>2011</v>
      </c>
      <c r="BL41">
        <f t="shared" ca="1" si="49"/>
        <v>0</v>
      </c>
      <c r="BM41">
        <f t="shared" ca="1" si="42"/>
        <v>0</v>
      </c>
      <c r="BN41">
        <f t="shared" ca="1" si="42"/>
        <v>0</v>
      </c>
      <c r="BO41">
        <f t="shared" ca="1" si="42"/>
        <v>5.6</v>
      </c>
      <c r="BP41">
        <f t="shared" ca="1" si="42"/>
        <v>57.9</v>
      </c>
      <c r="BQ41">
        <f t="shared" ca="1" si="42"/>
        <v>139.9</v>
      </c>
      <c r="BR41">
        <f t="shared" ca="1" si="42"/>
        <v>298.39999999999998</v>
      </c>
      <c r="BS41">
        <f t="shared" ca="1" si="42"/>
        <v>219.89999999999995</v>
      </c>
      <c r="BT41">
        <f t="shared" ca="1" si="42"/>
        <v>99</v>
      </c>
      <c r="BU41">
        <f t="shared" ca="1" si="42"/>
        <v>24.5</v>
      </c>
      <c r="BV41">
        <f t="shared" ca="1" si="42"/>
        <v>0</v>
      </c>
      <c r="BW41">
        <f t="shared" ca="1" si="42"/>
        <v>0</v>
      </c>
      <c r="BY41">
        <f t="shared" si="57"/>
        <v>2011</v>
      </c>
      <c r="BZ41">
        <f t="shared" ca="1" si="50"/>
        <v>0</v>
      </c>
      <c r="CA41">
        <f t="shared" ca="1" si="43"/>
        <v>0</v>
      </c>
      <c r="CB41">
        <f t="shared" ca="1" si="43"/>
        <v>0</v>
      </c>
      <c r="CC41">
        <f t="shared" ca="1" si="43"/>
        <v>13.700000000000001</v>
      </c>
      <c r="CD41">
        <f t="shared" ca="1" si="43"/>
        <v>87.800000000000011</v>
      </c>
      <c r="CE41">
        <f t="shared" ca="1" si="43"/>
        <v>195.99999999999997</v>
      </c>
      <c r="CF41">
        <f t="shared" ca="1" si="43"/>
        <v>360.4</v>
      </c>
      <c r="CG41">
        <f t="shared" ca="1" si="43"/>
        <v>281.89999999999992</v>
      </c>
      <c r="CH41">
        <f t="shared" ca="1" si="43"/>
        <v>150.39999999999998</v>
      </c>
      <c r="CI41">
        <f t="shared" ca="1" si="43"/>
        <v>43.400000000000006</v>
      </c>
      <c r="CJ41">
        <f t="shared" ca="1" si="43"/>
        <v>3</v>
      </c>
      <c r="CK41">
        <f t="shared" ca="1" si="43"/>
        <v>0</v>
      </c>
      <c r="CM41">
        <f t="shared" si="58"/>
        <v>2011</v>
      </c>
      <c r="CN41">
        <f t="shared" ca="1" si="51"/>
        <v>0</v>
      </c>
      <c r="CO41">
        <f t="shared" ca="1" si="44"/>
        <v>0</v>
      </c>
      <c r="CP41">
        <f t="shared" ca="1" si="44"/>
        <v>0</v>
      </c>
      <c r="CQ41">
        <f t="shared" ca="1" si="44"/>
        <v>24.9</v>
      </c>
      <c r="CR41">
        <f t="shared" ca="1" si="44"/>
        <v>125.9</v>
      </c>
      <c r="CS41">
        <f t="shared" ca="1" si="44"/>
        <v>254.29999999999993</v>
      </c>
      <c r="CT41">
        <f t="shared" ca="1" si="44"/>
        <v>422.40000000000003</v>
      </c>
      <c r="CU41">
        <f t="shared" ca="1" si="44"/>
        <v>343.9</v>
      </c>
      <c r="CV41">
        <f t="shared" ca="1" si="44"/>
        <v>207.39999999999998</v>
      </c>
      <c r="CW41">
        <f t="shared" ca="1" si="44"/>
        <v>72.800000000000011</v>
      </c>
      <c r="CX41">
        <f t="shared" ca="1" si="44"/>
        <v>12.3</v>
      </c>
      <c r="CY41">
        <f t="shared" ca="1" si="44"/>
        <v>0</v>
      </c>
      <c r="DA41">
        <f t="shared" si="59"/>
        <v>2011</v>
      </c>
      <c r="DB41">
        <f t="shared" ca="1" si="52"/>
        <v>0</v>
      </c>
      <c r="DC41">
        <f t="shared" ca="1" si="45"/>
        <v>0</v>
      </c>
      <c r="DD41">
        <f t="shared" ca="1" si="45"/>
        <v>3</v>
      </c>
      <c r="DE41">
        <f t="shared" ca="1" si="45"/>
        <v>39.700000000000003</v>
      </c>
      <c r="DF41">
        <f t="shared" ca="1" si="45"/>
        <v>175</v>
      </c>
      <c r="DG41">
        <f t="shared" ca="1" si="45"/>
        <v>314.29999999999995</v>
      </c>
      <c r="DH41">
        <f t="shared" ca="1" si="45"/>
        <v>484.40000000000003</v>
      </c>
      <c r="DI41">
        <f t="shared" ca="1" si="45"/>
        <v>405.9</v>
      </c>
      <c r="DJ41">
        <f t="shared" ca="1" si="45"/>
        <v>267.29999999999995</v>
      </c>
      <c r="DK41">
        <f t="shared" ca="1" si="45"/>
        <v>113.90000000000002</v>
      </c>
      <c r="DL41">
        <f t="shared" ca="1" si="45"/>
        <v>30.799999999999997</v>
      </c>
      <c r="DM41">
        <f t="shared" ca="1" si="45"/>
        <v>0</v>
      </c>
    </row>
    <row r="42" spans="1:117">
      <c r="A42">
        <v>2002</v>
      </c>
      <c r="B42">
        <v>5</v>
      </c>
      <c r="C42">
        <v>292.50000000000006</v>
      </c>
      <c r="D42">
        <v>2.6999999999999993</v>
      </c>
      <c r="E42">
        <v>236.2</v>
      </c>
      <c r="F42">
        <v>8.3999999999999986</v>
      </c>
      <c r="G42">
        <v>180.2</v>
      </c>
      <c r="H42">
        <v>14.399999999999999</v>
      </c>
      <c r="I42">
        <v>128.80000000000001</v>
      </c>
      <c r="J42">
        <v>25</v>
      </c>
      <c r="K42">
        <v>85.3</v>
      </c>
      <c r="L42">
        <v>43.5</v>
      </c>
      <c r="M42">
        <v>49.800000000000004</v>
      </c>
      <c r="N42">
        <v>70</v>
      </c>
      <c r="O42">
        <v>22.800000000000004</v>
      </c>
      <c r="P42">
        <v>105</v>
      </c>
      <c r="Q42">
        <v>10.651612903225805</v>
      </c>
      <c r="U42">
        <f t="shared" si="53"/>
        <v>2012</v>
      </c>
      <c r="V42">
        <f t="shared" ca="1" si="46"/>
        <v>0</v>
      </c>
      <c r="W42">
        <f t="shared" ca="1" si="38"/>
        <v>0</v>
      </c>
      <c r="X42">
        <f t="shared" ca="1" si="38"/>
        <v>0.69999999999999929</v>
      </c>
      <c r="Y42">
        <f t="shared" ca="1" si="38"/>
        <v>0</v>
      </c>
      <c r="Z42">
        <f t="shared" ca="1" si="38"/>
        <v>13.099999999999998</v>
      </c>
      <c r="AA42">
        <f t="shared" ca="1" si="38"/>
        <v>61.999999999999993</v>
      </c>
      <c r="AB42">
        <f t="shared" ca="1" si="38"/>
        <v>94.799999999999983</v>
      </c>
      <c r="AC42">
        <f t="shared" ca="1" si="38"/>
        <v>46.79999999999999</v>
      </c>
      <c r="AD42">
        <f t="shared" ca="1" si="38"/>
        <v>9.100000000000005</v>
      </c>
      <c r="AE42">
        <f t="shared" ca="1" si="38"/>
        <v>0</v>
      </c>
      <c r="AF42">
        <f t="shared" ca="1" si="38"/>
        <v>0</v>
      </c>
      <c r="AG42">
        <f t="shared" ca="1" si="38"/>
        <v>0</v>
      </c>
      <c r="AI42">
        <f t="shared" si="54"/>
        <v>2012</v>
      </c>
      <c r="AJ42">
        <f t="shared" ca="1" si="47"/>
        <v>0</v>
      </c>
      <c r="AK42">
        <f t="shared" ca="1" si="39"/>
        <v>0</v>
      </c>
      <c r="AL42">
        <f t="shared" ca="1" si="39"/>
        <v>4.5</v>
      </c>
      <c r="AM42">
        <f t="shared" ca="1" si="39"/>
        <v>0</v>
      </c>
      <c r="AN42">
        <f t="shared" ca="1" si="39"/>
        <v>26.699999999999996</v>
      </c>
      <c r="AO42">
        <f t="shared" ca="1" si="39"/>
        <v>97.600000000000023</v>
      </c>
      <c r="AP42">
        <f t="shared" ca="1" si="39"/>
        <v>153.89999999999995</v>
      </c>
      <c r="AQ42">
        <f t="shared" ca="1" si="39"/>
        <v>91.1</v>
      </c>
      <c r="AR42">
        <f t="shared" ca="1" si="39"/>
        <v>27.100000000000005</v>
      </c>
      <c r="AS42">
        <f t="shared" ca="1" si="39"/>
        <v>1.6000000000000014</v>
      </c>
      <c r="AT42">
        <f t="shared" ca="1" si="39"/>
        <v>0</v>
      </c>
      <c r="AU42">
        <f t="shared" ca="1" si="39"/>
        <v>0</v>
      </c>
      <c r="AV42" s="70">
        <f ca="1">SUM(AJ42:AU42)</f>
        <v>402.5</v>
      </c>
      <c r="AW42">
        <f t="shared" si="55"/>
        <v>2012</v>
      </c>
      <c r="AX42">
        <f t="shared" ca="1" si="48"/>
        <v>0</v>
      </c>
      <c r="AY42">
        <f t="shared" ca="1" si="41"/>
        <v>0</v>
      </c>
      <c r="AZ42">
        <f t="shared" ca="1" si="41"/>
        <v>13.300000000000004</v>
      </c>
      <c r="BA42">
        <f t="shared" ca="1" si="41"/>
        <v>2</v>
      </c>
      <c r="BB42">
        <f t="shared" ca="1" si="41"/>
        <v>47.099999999999994</v>
      </c>
      <c r="BC42">
        <f t="shared" ca="1" si="41"/>
        <v>139.40000000000003</v>
      </c>
      <c r="BD42">
        <f t="shared" ca="1" si="41"/>
        <v>215.9</v>
      </c>
      <c r="BE42">
        <f t="shared" ca="1" si="41"/>
        <v>147.50000000000003</v>
      </c>
      <c r="BF42">
        <f t="shared" ca="1" si="41"/>
        <v>52.199999999999996</v>
      </c>
      <c r="BG42">
        <f t="shared" ca="1" si="41"/>
        <v>9.8000000000000007</v>
      </c>
      <c r="BH42">
        <f t="shared" ca="1" si="41"/>
        <v>0</v>
      </c>
      <c r="BI42">
        <f t="shared" ca="1" si="41"/>
        <v>0</v>
      </c>
      <c r="BK42">
        <f t="shared" si="56"/>
        <v>2012</v>
      </c>
      <c r="BL42">
        <f t="shared" ca="1" si="49"/>
        <v>0</v>
      </c>
      <c r="BM42">
        <f t="shared" ca="1" si="42"/>
        <v>0</v>
      </c>
      <c r="BN42">
        <f t="shared" ca="1" si="42"/>
        <v>28.700000000000003</v>
      </c>
      <c r="BO42">
        <f t="shared" ca="1" si="42"/>
        <v>4.8000000000000007</v>
      </c>
      <c r="BP42">
        <f t="shared" ca="1" si="42"/>
        <v>77.999999999999986</v>
      </c>
      <c r="BQ42">
        <f t="shared" ca="1" si="42"/>
        <v>190.1</v>
      </c>
      <c r="BR42">
        <f t="shared" ca="1" si="42"/>
        <v>277.90000000000003</v>
      </c>
      <c r="BS42">
        <f t="shared" ca="1" si="42"/>
        <v>209.2</v>
      </c>
      <c r="BT42">
        <f t="shared" ca="1" si="42"/>
        <v>85.4</v>
      </c>
      <c r="BU42">
        <f t="shared" ca="1" si="42"/>
        <v>23.4</v>
      </c>
      <c r="BV42">
        <f t="shared" ca="1" si="42"/>
        <v>9.9999999999999645E-2</v>
      </c>
      <c r="BW42">
        <f t="shared" ca="1" si="42"/>
        <v>0</v>
      </c>
      <c r="BY42">
        <f t="shared" si="57"/>
        <v>2012</v>
      </c>
      <c r="BZ42">
        <f t="shared" ca="1" si="50"/>
        <v>0</v>
      </c>
      <c r="CA42">
        <f t="shared" ca="1" si="43"/>
        <v>0</v>
      </c>
      <c r="CB42">
        <f t="shared" ca="1" si="43"/>
        <v>44.70000000000001</v>
      </c>
      <c r="CC42">
        <f t="shared" ca="1" si="43"/>
        <v>9.1000000000000014</v>
      </c>
      <c r="CD42">
        <f t="shared" ca="1" si="43"/>
        <v>119.39999999999999</v>
      </c>
      <c r="CE42">
        <f t="shared" ca="1" si="43"/>
        <v>247.29999999999995</v>
      </c>
      <c r="CF42">
        <f t="shared" ca="1" si="43"/>
        <v>339.90000000000003</v>
      </c>
      <c r="CG42">
        <f t="shared" ca="1" si="43"/>
        <v>271.19999999999993</v>
      </c>
      <c r="CH42">
        <f t="shared" ca="1" si="43"/>
        <v>127.8</v>
      </c>
      <c r="CI42">
        <f t="shared" ca="1" si="43"/>
        <v>42.4</v>
      </c>
      <c r="CJ42">
        <f t="shared" ca="1" si="43"/>
        <v>2.0999999999999996</v>
      </c>
      <c r="CK42">
        <f t="shared" ca="1" si="43"/>
        <v>0</v>
      </c>
      <c r="CM42">
        <f t="shared" si="58"/>
        <v>2012</v>
      </c>
      <c r="CN42">
        <f t="shared" ca="1" si="51"/>
        <v>0</v>
      </c>
      <c r="CO42">
        <f t="shared" ca="1" si="44"/>
        <v>0</v>
      </c>
      <c r="CP42">
        <f t="shared" ca="1" si="44"/>
        <v>64.900000000000006</v>
      </c>
      <c r="CQ42">
        <f t="shared" ca="1" si="44"/>
        <v>16.700000000000003</v>
      </c>
      <c r="CR42">
        <f t="shared" ca="1" si="44"/>
        <v>171.9</v>
      </c>
      <c r="CS42">
        <f t="shared" ca="1" si="44"/>
        <v>307.29999999999995</v>
      </c>
      <c r="CT42">
        <f t="shared" ca="1" si="44"/>
        <v>401.90000000000009</v>
      </c>
      <c r="CU42">
        <f t="shared" ca="1" si="44"/>
        <v>333.19999999999987</v>
      </c>
      <c r="CV42">
        <f t="shared" ca="1" si="44"/>
        <v>179.6</v>
      </c>
      <c r="CW42">
        <f t="shared" ca="1" si="44"/>
        <v>69.599999999999994</v>
      </c>
      <c r="CX42">
        <f t="shared" ca="1" si="44"/>
        <v>4.1999999999999993</v>
      </c>
      <c r="CY42">
        <f t="shared" ca="1" si="44"/>
        <v>9.9999999999999645E-2</v>
      </c>
      <c r="DA42">
        <f t="shared" si="59"/>
        <v>2012</v>
      </c>
      <c r="DB42">
        <f t="shared" ca="1" si="52"/>
        <v>0</v>
      </c>
      <c r="DC42">
        <f t="shared" ca="1" si="45"/>
        <v>0</v>
      </c>
      <c r="DD42">
        <f t="shared" ca="1" si="45"/>
        <v>95.800000000000026</v>
      </c>
      <c r="DE42">
        <f t="shared" ca="1" si="45"/>
        <v>28.1</v>
      </c>
      <c r="DF42">
        <f t="shared" ca="1" si="45"/>
        <v>230.49999999999997</v>
      </c>
      <c r="DG42">
        <f t="shared" ca="1" si="45"/>
        <v>367.30000000000007</v>
      </c>
      <c r="DH42">
        <f t="shared" ca="1" si="45"/>
        <v>463.90000000000009</v>
      </c>
      <c r="DI42">
        <f t="shared" ca="1" si="45"/>
        <v>395.19999999999987</v>
      </c>
      <c r="DJ42">
        <f t="shared" ca="1" si="45"/>
        <v>239.00000000000003</v>
      </c>
      <c r="DK42">
        <f t="shared" ca="1" si="45"/>
        <v>105.60000000000001</v>
      </c>
      <c r="DL42">
        <f t="shared" ca="1" si="45"/>
        <v>9.5</v>
      </c>
      <c r="DM42">
        <f t="shared" ca="1" si="45"/>
        <v>3.8000000000000007</v>
      </c>
    </row>
    <row r="43" spans="1:117">
      <c r="A43">
        <v>2002</v>
      </c>
      <c r="B43">
        <v>6</v>
      </c>
      <c r="C43">
        <v>74.699999999999989</v>
      </c>
      <c r="D43">
        <v>49.300000000000004</v>
      </c>
      <c r="E43">
        <v>43.8</v>
      </c>
      <c r="F43">
        <v>78.399999999999977</v>
      </c>
      <c r="G43">
        <v>20.6</v>
      </c>
      <c r="H43">
        <v>115.19999999999999</v>
      </c>
      <c r="I43">
        <v>7.5</v>
      </c>
      <c r="J43">
        <v>162.1</v>
      </c>
      <c r="K43">
        <v>2.5</v>
      </c>
      <c r="L43">
        <v>217.10000000000002</v>
      </c>
      <c r="M43">
        <v>0</v>
      </c>
      <c r="N43">
        <v>274.60000000000002</v>
      </c>
      <c r="O43">
        <v>0</v>
      </c>
      <c r="P43">
        <v>334.60000000000008</v>
      </c>
      <c r="Q43">
        <v>19.153333333333332</v>
      </c>
      <c r="U43">
        <f t="shared" si="53"/>
        <v>2013</v>
      </c>
      <c r="V43">
        <f t="shared" ca="1" si="46"/>
        <v>0</v>
      </c>
      <c r="W43">
        <f t="shared" ca="1" si="38"/>
        <v>0</v>
      </c>
      <c r="X43">
        <f t="shared" ca="1" si="38"/>
        <v>0</v>
      </c>
      <c r="Y43">
        <f t="shared" ca="1" si="38"/>
        <v>0</v>
      </c>
      <c r="Z43">
        <f t="shared" ca="1" si="38"/>
        <v>21.000000000000004</v>
      </c>
      <c r="AA43">
        <f t="shared" ca="1" si="38"/>
        <v>32.399999999999991</v>
      </c>
      <c r="AB43">
        <f t="shared" ca="1" si="38"/>
        <v>76.999999999999986</v>
      </c>
      <c r="AC43">
        <f t="shared" ca="1" si="38"/>
        <v>38.299999999999997</v>
      </c>
      <c r="AD43">
        <f t="shared" ca="1" si="38"/>
        <v>19.099999999999998</v>
      </c>
      <c r="AE43">
        <f t="shared" ca="1" si="38"/>
        <v>1.8000000000000007</v>
      </c>
      <c r="AF43">
        <f t="shared" ca="1" si="38"/>
        <v>0</v>
      </c>
      <c r="AG43">
        <f t="shared" ca="1" si="38"/>
        <v>0</v>
      </c>
      <c r="AI43">
        <f t="shared" si="54"/>
        <v>2013</v>
      </c>
      <c r="AJ43">
        <f t="shared" ca="1" si="47"/>
        <v>0</v>
      </c>
      <c r="AK43">
        <f t="shared" ca="1" si="39"/>
        <v>0</v>
      </c>
      <c r="AL43">
        <f t="shared" ca="1" si="39"/>
        <v>0</v>
      </c>
      <c r="AM43">
        <f t="shared" ca="1" si="39"/>
        <v>0</v>
      </c>
      <c r="AN43">
        <f t="shared" ca="1" si="39"/>
        <v>36.100000000000009</v>
      </c>
      <c r="AO43">
        <f t="shared" ca="1" si="39"/>
        <v>54.400000000000013</v>
      </c>
      <c r="AP43">
        <f t="shared" ca="1" si="39"/>
        <v>119.89999999999998</v>
      </c>
      <c r="AQ43">
        <f t="shared" ca="1" si="39"/>
        <v>76.8</v>
      </c>
      <c r="AR43">
        <f t="shared" ca="1" si="39"/>
        <v>32.9</v>
      </c>
      <c r="AS43">
        <f t="shared" ca="1" si="39"/>
        <v>5.3000000000000007</v>
      </c>
      <c r="AT43">
        <f t="shared" ca="1" si="39"/>
        <v>0</v>
      </c>
      <c r="AU43">
        <f t="shared" ca="1" si="39"/>
        <v>0</v>
      </c>
      <c r="AV43" s="70">
        <f ca="1">SUM(AJ43:AU43)</f>
        <v>325.39999999999998</v>
      </c>
      <c r="AW43">
        <f t="shared" si="55"/>
        <v>2013</v>
      </c>
      <c r="AX43">
        <f t="shared" ca="1" si="48"/>
        <v>0</v>
      </c>
      <c r="AY43">
        <f t="shared" ca="1" si="41"/>
        <v>0</v>
      </c>
      <c r="AZ43">
        <f t="shared" ca="1" si="41"/>
        <v>0</v>
      </c>
      <c r="BA43">
        <f t="shared" ca="1" si="41"/>
        <v>0.19999999999999929</v>
      </c>
      <c r="BB43">
        <f t="shared" ca="1" si="41"/>
        <v>58.900000000000006</v>
      </c>
      <c r="BC43">
        <f t="shared" ca="1" si="41"/>
        <v>89.3</v>
      </c>
      <c r="BD43">
        <f t="shared" ca="1" si="41"/>
        <v>173.5</v>
      </c>
      <c r="BE43">
        <f t="shared" ca="1" si="41"/>
        <v>126.10000000000002</v>
      </c>
      <c r="BF43">
        <f t="shared" ca="1" si="41"/>
        <v>58.499999999999993</v>
      </c>
      <c r="BG43">
        <f t="shared" ca="1" si="41"/>
        <v>14.300000000000004</v>
      </c>
      <c r="BH43">
        <f t="shared" ca="1" si="41"/>
        <v>0</v>
      </c>
      <c r="BI43">
        <f t="shared" ca="1" si="41"/>
        <v>0</v>
      </c>
      <c r="BK43">
        <f t="shared" si="56"/>
        <v>2013</v>
      </c>
      <c r="BL43">
        <f t="shared" ca="1" si="49"/>
        <v>0</v>
      </c>
      <c r="BM43">
        <f t="shared" ca="1" si="42"/>
        <v>0</v>
      </c>
      <c r="BN43">
        <f t="shared" ca="1" si="42"/>
        <v>0</v>
      </c>
      <c r="BO43">
        <f t="shared" ca="1" si="42"/>
        <v>4.0999999999999996</v>
      </c>
      <c r="BP43">
        <f t="shared" ca="1" si="42"/>
        <v>87.5</v>
      </c>
      <c r="BQ43">
        <f t="shared" ca="1" si="42"/>
        <v>134.00000000000003</v>
      </c>
      <c r="BR43">
        <f t="shared" ca="1" si="42"/>
        <v>233.19999999999996</v>
      </c>
      <c r="BS43">
        <f t="shared" ca="1" si="42"/>
        <v>186.69999999999996</v>
      </c>
      <c r="BT43">
        <f t="shared" ca="1" si="42"/>
        <v>92.000000000000028</v>
      </c>
      <c r="BU43">
        <f t="shared" ca="1" si="42"/>
        <v>28.6</v>
      </c>
      <c r="BV43">
        <f t="shared" ca="1" si="42"/>
        <v>0</v>
      </c>
      <c r="BW43">
        <f t="shared" ca="1" si="42"/>
        <v>0</v>
      </c>
      <c r="BY43">
        <f t="shared" si="57"/>
        <v>2013</v>
      </c>
      <c r="BZ43">
        <f t="shared" ca="1" si="50"/>
        <v>0</v>
      </c>
      <c r="CA43">
        <f t="shared" ca="1" si="43"/>
        <v>0</v>
      </c>
      <c r="CB43">
        <f t="shared" ca="1" si="43"/>
        <v>0</v>
      </c>
      <c r="CC43">
        <f t="shared" ca="1" si="43"/>
        <v>10.1</v>
      </c>
      <c r="CD43">
        <f t="shared" ca="1" si="43"/>
        <v>125.19999999999999</v>
      </c>
      <c r="CE43">
        <f t="shared" ca="1" si="43"/>
        <v>186.60000000000002</v>
      </c>
      <c r="CF43">
        <f t="shared" ca="1" si="43"/>
        <v>295.20000000000005</v>
      </c>
      <c r="CG43">
        <f t="shared" ca="1" si="43"/>
        <v>248.69999999999996</v>
      </c>
      <c r="CH43">
        <f t="shared" ca="1" si="43"/>
        <v>135.20000000000002</v>
      </c>
      <c r="CI43">
        <f t="shared" ca="1" si="43"/>
        <v>51.800000000000004</v>
      </c>
      <c r="CJ43">
        <f t="shared" ca="1" si="43"/>
        <v>0.69999999999999929</v>
      </c>
      <c r="CK43">
        <f t="shared" ca="1" si="43"/>
        <v>0</v>
      </c>
      <c r="CM43">
        <f t="shared" si="58"/>
        <v>2013</v>
      </c>
      <c r="CN43">
        <f t="shared" ca="1" si="51"/>
        <v>0</v>
      </c>
      <c r="CO43">
        <f t="shared" ca="1" si="44"/>
        <v>0</v>
      </c>
      <c r="CP43">
        <f t="shared" ca="1" si="44"/>
        <v>0</v>
      </c>
      <c r="CQ43">
        <f t="shared" ca="1" si="44"/>
        <v>22.5</v>
      </c>
      <c r="CR43">
        <f t="shared" ca="1" si="44"/>
        <v>168.3</v>
      </c>
      <c r="CS43">
        <f t="shared" ca="1" si="44"/>
        <v>246.00000000000006</v>
      </c>
      <c r="CT43">
        <f t="shared" ca="1" si="44"/>
        <v>357.2000000000001</v>
      </c>
      <c r="CU43">
        <f t="shared" ca="1" si="44"/>
        <v>310.7</v>
      </c>
      <c r="CV43">
        <f t="shared" ca="1" si="44"/>
        <v>188</v>
      </c>
      <c r="CW43">
        <f t="shared" ca="1" si="44"/>
        <v>85.000000000000014</v>
      </c>
      <c r="CX43">
        <f t="shared" ca="1" si="44"/>
        <v>4.2999999999999989</v>
      </c>
      <c r="CY43">
        <f t="shared" ca="1" si="44"/>
        <v>0</v>
      </c>
      <c r="DA43">
        <f t="shared" si="59"/>
        <v>2013</v>
      </c>
      <c r="DB43">
        <f t="shared" ca="1" si="52"/>
        <v>1.6999999999999993</v>
      </c>
      <c r="DC43">
        <f t="shared" ca="1" si="45"/>
        <v>0</v>
      </c>
      <c r="DD43">
        <f t="shared" ca="1" si="45"/>
        <v>2</v>
      </c>
      <c r="DE43">
        <f t="shared" ca="1" si="45"/>
        <v>38.5</v>
      </c>
      <c r="DF43">
        <f t="shared" ca="1" si="45"/>
        <v>216.5</v>
      </c>
      <c r="DG43">
        <f t="shared" ca="1" si="45"/>
        <v>306.00000000000006</v>
      </c>
      <c r="DH43">
        <f t="shared" ca="1" si="45"/>
        <v>419.2000000000001</v>
      </c>
      <c r="DI43">
        <f t="shared" ca="1" si="45"/>
        <v>372.69999999999987</v>
      </c>
      <c r="DJ43">
        <f t="shared" ca="1" si="45"/>
        <v>247.99999999999994</v>
      </c>
      <c r="DK43">
        <f t="shared" ca="1" si="45"/>
        <v>125.39999999999999</v>
      </c>
      <c r="DL43">
        <f t="shared" ca="1" si="45"/>
        <v>10.799999999999999</v>
      </c>
      <c r="DM43">
        <f t="shared" ca="1" si="45"/>
        <v>0</v>
      </c>
    </row>
    <row r="44" spans="1:117">
      <c r="A44">
        <v>2002</v>
      </c>
      <c r="B44">
        <v>7</v>
      </c>
      <c r="C44">
        <v>13.499999999999996</v>
      </c>
      <c r="D44">
        <v>104.60000000000001</v>
      </c>
      <c r="E44">
        <v>1.8000000000000007</v>
      </c>
      <c r="F44">
        <v>154.89999999999995</v>
      </c>
      <c r="G44">
        <v>0</v>
      </c>
      <c r="H44">
        <v>215.09999999999994</v>
      </c>
      <c r="I44">
        <v>0</v>
      </c>
      <c r="J44">
        <v>277.09999999999997</v>
      </c>
      <c r="K44">
        <v>0</v>
      </c>
      <c r="L44">
        <v>339.09999999999997</v>
      </c>
      <c r="M44">
        <v>0</v>
      </c>
      <c r="N44">
        <v>401.10000000000008</v>
      </c>
      <c r="O44">
        <v>0</v>
      </c>
      <c r="P44">
        <v>463.10000000000008</v>
      </c>
      <c r="Q44">
        <v>22.938709677419361</v>
      </c>
      <c r="U44">
        <f t="shared" si="53"/>
        <v>2014</v>
      </c>
      <c r="V44">
        <f t="shared" ca="1" si="46"/>
        <v>0</v>
      </c>
      <c r="W44">
        <f t="shared" ca="1" si="38"/>
        <v>0</v>
      </c>
      <c r="X44">
        <f t="shared" ca="1" si="38"/>
        <v>0</v>
      </c>
      <c r="Y44">
        <f t="shared" ca="1" si="38"/>
        <v>0</v>
      </c>
      <c r="Z44">
        <f t="shared" ca="1" si="38"/>
        <v>4.7000000000000028</v>
      </c>
      <c r="AA44">
        <f t="shared" ca="1" si="38"/>
        <v>31.1</v>
      </c>
      <c r="AB44">
        <f t="shared" ca="1" si="38"/>
        <v>30.600000000000009</v>
      </c>
      <c r="AC44">
        <f t="shared" ca="1" si="38"/>
        <v>27.5</v>
      </c>
      <c r="AD44">
        <f t="shared" ca="1" si="38"/>
        <v>13.900000000000002</v>
      </c>
      <c r="AE44">
        <f t="shared" ca="1" si="38"/>
        <v>0</v>
      </c>
      <c r="AF44">
        <f t="shared" ca="1" si="38"/>
        <v>0</v>
      </c>
      <c r="AG44">
        <f t="shared" ca="1" si="38"/>
        <v>0</v>
      </c>
      <c r="AI44">
        <f t="shared" si="54"/>
        <v>2014</v>
      </c>
      <c r="AJ44">
        <f t="shared" ca="1" si="47"/>
        <v>0</v>
      </c>
      <c r="AK44">
        <f t="shared" ca="1" si="39"/>
        <v>0</v>
      </c>
      <c r="AL44">
        <f t="shared" ca="1" si="39"/>
        <v>0</v>
      </c>
      <c r="AM44">
        <f t="shared" ca="1" si="39"/>
        <v>0</v>
      </c>
      <c r="AN44">
        <f t="shared" ca="1" si="39"/>
        <v>13.100000000000001</v>
      </c>
      <c r="AO44">
        <f t="shared" ca="1" si="39"/>
        <v>60.5</v>
      </c>
      <c r="AP44">
        <f t="shared" ca="1" si="39"/>
        <v>60.600000000000009</v>
      </c>
      <c r="AQ44">
        <f t="shared" ca="1" si="39"/>
        <v>61.599999999999994</v>
      </c>
      <c r="AR44">
        <f t="shared" ca="1" si="39"/>
        <v>27.8</v>
      </c>
      <c r="AS44">
        <f t="shared" ca="1" si="39"/>
        <v>0.10000000000000142</v>
      </c>
      <c r="AT44">
        <f t="shared" ca="1" si="39"/>
        <v>0</v>
      </c>
      <c r="AU44">
        <f t="shared" ca="1" si="39"/>
        <v>0</v>
      </c>
      <c r="AV44" s="70">
        <f t="shared" ref="AV44:AV55" ca="1" si="60">SUM(AJ44:AU44)</f>
        <v>223.7</v>
      </c>
      <c r="AW44">
        <f t="shared" si="55"/>
        <v>2014</v>
      </c>
      <c r="AX44">
        <f t="shared" ca="1" si="48"/>
        <v>0</v>
      </c>
      <c r="AY44">
        <f t="shared" ca="1" si="41"/>
        <v>0</v>
      </c>
      <c r="AZ44">
        <f t="shared" ca="1" si="41"/>
        <v>0</v>
      </c>
      <c r="BA44">
        <f t="shared" ca="1" si="41"/>
        <v>0</v>
      </c>
      <c r="BB44">
        <f t="shared" ca="1" si="41"/>
        <v>27.500000000000004</v>
      </c>
      <c r="BC44">
        <f t="shared" ca="1" si="41"/>
        <v>96.499999999999986</v>
      </c>
      <c r="BD44">
        <f t="shared" ca="1" si="41"/>
        <v>109.60000000000002</v>
      </c>
      <c r="BE44">
        <f t="shared" ca="1" si="41"/>
        <v>113.39999999999999</v>
      </c>
      <c r="BF44">
        <f t="shared" ca="1" si="41"/>
        <v>47.5</v>
      </c>
      <c r="BG44">
        <f t="shared" ca="1" si="41"/>
        <v>4.1999999999999993</v>
      </c>
      <c r="BH44">
        <f t="shared" ca="1" si="41"/>
        <v>0</v>
      </c>
      <c r="BI44">
        <f t="shared" ca="1" si="41"/>
        <v>0</v>
      </c>
      <c r="BK44">
        <f t="shared" si="56"/>
        <v>2014</v>
      </c>
      <c r="BL44">
        <f t="shared" ca="1" si="49"/>
        <v>0</v>
      </c>
      <c r="BM44">
        <f t="shared" ca="1" si="42"/>
        <v>0</v>
      </c>
      <c r="BN44">
        <f t="shared" ca="1" si="42"/>
        <v>0</v>
      </c>
      <c r="BO44">
        <f t="shared" ca="1" si="42"/>
        <v>1.5999999999999996</v>
      </c>
      <c r="BP44">
        <f t="shared" ca="1" si="42"/>
        <v>50.300000000000004</v>
      </c>
      <c r="BQ44">
        <f t="shared" ca="1" si="42"/>
        <v>145.4</v>
      </c>
      <c r="BR44">
        <f t="shared" ca="1" si="42"/>
        <v>169.3</v>
      </c>
      <c r="BS44">
        <f t="shared" ca="1" si="42"/>
        <v>174.69999999999996</v>
      </c>
      <c r="BT44">
        <f t="shared" ca="1" si="42"/>
        <v>82.8</v>
      </c>
      <c r="BU44">
        <f t="shared" ca="1" si="42"/>
        <v>14.7</v>
      </c>
      <c r="BV44">
        <f t="shared" ca="1" si="42"/>
        <v>0</v>
      </c>
      <c r="BW44">
        <f t="shared" ca="1" si="42"/>
        <v>0</v>
      </c>
      <c r="BY44">
        <f t="shared" si="57"/>
        <v>2014</v>
      </c>
      <c r="BZ44">
        <f t="shared" ca="1" si="50"/>
        <v>0</v>
      </c>
      <c r="CA44">
        <f t="shared" ca="1" si="43"/>
        <v>0</v>
      </c>
      <c r="CB44">
        <f t="shared" ca="1" si="43"/>
        <v>0</v>
      </c>
      <c r="CC44">
        <f t="shared" ca="1" si="43"/>
        <v>6.7999999999999989</v>
      </c>
      <c r="CD44">
        <f t="shared" ca="1" si="43"/>
        <v>78.800000000000011</v>
      </c>
      <c r="CE44">
        <f t="shared" ca="1" si="43"/>
        <v>202.10000000000002</v>
      </c>
      <c r="CF44">
        <f t="shared" ca="1" si="43"/>
        <v>231.3</v>
      </c>
      <c r="CG44">
        <f t="shared" ca="1" si="43"/>
        <v>236.7</v>
      </c>
      <c r="CH44">
        <f t="shared" ca="1" si="43"/>
        <v>126.99999999999999</v>
      </c>
      <c r="CI44">
        <f t="shared" ca="1" si="43"/>
        <v>32.799999999999997</v>
      </c>
      <c r="CJ44">
        <f t="shared" ca="1" si="43"/>
        <v>0</v>
      </c>
      <c r="CK44">
        <f t="shared" ca="1" si="43"/>
        <v>0</v>
      </c>
      <c r="CM44">
        <f t="shared" si="58"/>
        <v>2014</v>
      </c>
      <c r="CN44">
        <f t="shared" ca="1" si="51"/>
        <v>0</v>
      </c>
      <c r="CO44">
        <f t="shared" ca="1" si="44"/>
        <v>0</v>
      </c>
      <c r="CP44">
        <f t="shared" ca="1" si="44"/>
        <v>0</v>
      </c>
      <c r="CQ44">
        <f t="shared" ca="1" si="44"/>
        <v>16.599999999999998</v>
      </c>
      <c r="CR44">
        <f t="shared" ca="1" si="44"/>
        <v>119.50000000000003</v>
      </c>
      <c r="CS44">
        <f t="shared" ca="1" si="44"/>
        <v>262.10000000000008</v>
      </c>
      <c r="CT44">
        <f t="shared" ca="1" si="44"/>
        <v>293.29999999999995</v>
      </c>
      <c r="CU44">
        <f t="shared" ca="1" si="44"/>
        <v>298.70000000000005</v>
      </c>
      <c r="CV44">
        <f t="shared" ca="1" si="44"/>
        <v>180.70000000000007</v>
      </c>
      <c r="CW44">
        <f t="shared" ca="1" si="44"/>
        <v>57.400000000000006</v>
      </c>
      <c r="CX44">
        <f t="shared" ca="1" si="44"/>
        <v>0.40000000000000036</v>
      </c>
      <c r="CY44">
        <f t="shared" ca="1" si="44"/>
        <v>0</v>
      </c>
      <c r="DA44">
        <f t="shared" si="59"/>
        <v>2014</v>
      </c>
      <c r="DB44">
        <f t="shared" ca="1" si="52"/>
        <v>0</v>
      </c>
      <c r="DC44">
        <f t="shared" ca="1" si="45"/>
        <v>0</v>
      </c>
      <c r="DD44">
        <f t="shared" ca="1" si="45"/>
        <v>0</v>
      </c>
      <c r="DE44">
        <f t="shared" ca="1" si="45"/>
        <v>35.400000000000006</v>
      </c>
      <c r="DF44">
        <f t="shared" ca="1" si="45"/>
        <v>171.10000000000002</v>
      </c>
      <c r="DG44">
        <f t="shared" ca="1" si="45"/>
        <v>322.10000000000008</v>
      </c>
      <c r="DH44">
        <f t="shared" ca="1" si="45"/>
        <v>355.29999999999995</v>
      </c>
      <c r="DI44">
        <f t="shared" ca="1" si="45"/>
        <v>360.7</v>
      </c>
      <c r="DJ44">
        <f t="shared" ca="1" si="45"/>
        <v>240.60000000000005</v>
      </c>
      <c r="DK44">
        <f t="shared" ca="1" si="45"/>
        <v>92.09999999999998</v>
      </c>
      <c r="DL44">
        <f t="shared" ca="1" si="45"/>
        <v>5.6999999999999993</v>
      </c>
      <c r="DM44">
        <f t="shared" ca="1" si="45"/>
        <v>0</v>
      </c>
    </row>
    <row r="45" spans="1:117">
      <c r="A45">
        <v>2002</v>
      </c>
      <c r="B45">
        <v>8</v>
      </c>
      <c r="C45">
        <v>25.3</v>
      </c>
      <c r="D45">
        <v>46.800000000000004</v>
      </c>
      <c r="E45">
        <v>7.4999999999999982</v>
      </c>
      <c r="F45">
        <v>91.000000000000028</v>
      </c>
      <c r="G45">
        <v>0.59999999999999964</v>
      </c>
      <c r="H45">
        <v>146.1</v>
      </c>
      <c r="I45">
        <v>0</v>
      </c>
      <c r="J45">
        <v>207.49999999999994</v>
      </c>
      <c r="K45">
        <v>0</v>
      </c>
      <c r="L45">
        <v>269.49999999999994</v>
      </c>
      <c r="M45">
        <v>0</v>
      </c>
      <c r="N45">
        <v>331.49999999999994</v>
      </c>
      <c r="O45">
        <v>0</v>
      </c>
      <c r="P45">
        <v>393.5</v>
      </c>
      <c r="Q45">
        <v>20.693548387096776</v>
      </c>
      <c r="U45">
        <f t="shared" si="53"/>
        <v>2015</v>
      </c>
      <c r="V45">
        <f t="shared" ca="1" si="46"/>
        <v>0</v>
      </c>
      <c r="W45">
        <f t="shared" ca="1" si="38"/>
        <v>0</v>
      </c>
      <c r="X45">
        <f t="shared" ca="1" si="38"/>
        <v>0</v>
      </c>
      <c r="Y45">
        <f t="shared" ca="1" si="38"/>
        <v>0</v>
      </c>
      <c r="Z45">
        <f t="shared" ca="1" si="38"/>
        <v>13.700000000000003</v>
      </c>
      <c r="AA45">
        <f t="shared" ca="1" si="38"/>
        <v>8.4999999999999964</v>
      </c>
      <c r="AB45">
        <f t="shared" ca="1" si="38"/>
        <v>45.6</v>
      </c>
      <c r="AC45">
        <f t="shared" ca="1" si="38"/>
        <v>40.700000000000003</v>
      </c>
      <c r="AD45">
        <f t="shared" ca="1" si="38"/>
        <v>42.900000000000006</v>
      </c>
      <c r="AE45">
        <f t="shared" ca="1" si="38"/>
        <v>0</v>
      </c>
      <c r="AF45">
        <f t="shared" ca="1" si="38"/>
        <v>0</v>
      </c>
      <c r="AG45">
        <f t="shared" ca="1" si="38"/>
        <v>0</v>
      </c>
      <c r="AI45">
        <f t="shared" si="54"/>
        <v>2015</v>
      </c>
      <c r="AJ45">
        <f t="shared" ca="1" si="47"/>
        <v>0</v>
      </c>
      <c r="AK45">
        <f t="shared" ca="1" si="39"/>
        <v>0</v>
      </c>
      <c r="AL45">
        <f t="shared" ca="1" si="39"/>
        <v>0</v>
      </c>
      <c r="AM45">
        <f t="shared" ca="1" si="39"/>
        <v>0</v>
      </c>
      <c r="AN45">
        <f t="shared" ca="1" si="39"/>
        <v>27.900000000000002</v>
      </c>
      <c r="AO45">
        <f t="shared" ca="1" si="39"/>
        <v>28.799999999999997</v>
      </c>
      <c r="AP45">
        <f t="shared" ca="1" si="39"/>
        <v>87.800000000000011</v>
      </c>
      <c r="AQ45">
        <f t="shared" ca="1" si="39"/>
        <v>82.3</v>
      </c>
      <c r="AR45">
        <f t="shared" ca="1" si="39"/>
        <v>73.400000000000006</v>
      </c>
      <c r="AS45">
        <f t="shared" ca="1" si="39"/>
        <v>0</v>
      </c>
      <c r="AT45">
        <f t="shared" ca="1" si="39"/>
        <v>0</v>
      </c>
      <c r="AU45">
        <f t="shared" ca="1" si="39"/>
        <v>0</v>
      </c>
      <c r="AV45" s="70">
        <f t="shared" ca="1" si="60"/>
        <v>300.20000000000005</v>
      </c>
      <c r="AW45">
        <f t="shared" si="55"/>
        <v>2015</v>
      </c>
      <c r="AX45">
        <f t="shared" ca="1" si="48"/>
        <v>0</v>
      </c>
      <c r="AY45">
        <f t="shared" ca="1" si="41"/>
        <v>0</v>
      </c>
      <c r="AZ45">
        <f t="shared" ca="1" si="41"/>
        <v>0</v>
      </c>
      <c r="BA45">
        <f t="shared" ca="1" si="41"/>
        <v>0</v>
      </c>
      <c r="BB45">
        <f t="shared" ca="1" si="41"/>
        <v>53.500000000000007</v>
      </c>
      <c r="BC45">
        <f t="shared" ca="1" si="41"/>
        <v>64.5</v>
      </c>
      <c r="BD45">
        <f t="shared" ca="1" si="41"/>
        <v>138.1</v>
      </c>
      <c r="BE45">
        <f t="shared" ca="1" si="41"/>
        <v>132.59999999999997</v>
      </c>
      <c r="BF45">
        <f t="shared" ca="1" si="41"/>
        <v>117.69999999999999</v>
      </c>
      <c r="BG45">
        <f t="shared" ca="1" si="41"/>
        <v>1.6999999999999993</v>
      </c>
      <c r="BH45">
        <f t="shared" ca="1" si="41"/>
        <v>1.3000000000000007</v>
      </c>
      <c r="BI45">
        <f t="shared" ca="1" si="41"/>
        <v>0</v>
      </c>
      <c r="BK45">
        <f t="shared" si="56"/>
        <v>2015</v>
      </c>
      <c r="BL45">
        <f t="shared" ca="1" si="49"/>
        <v>0</v>
      </c>
      <c r="BM45">
        <f t="shared" ca="1" si="42"/>
        <v>0</v>
      </c>
      <c r="BN45">
        <f t="shared" ca="1" si="42"/>
        <v>0</v>
      </c>
      <c r="BO45">
        <f t="shared" ca="1" si="42"/>
        <v>0.30000000000000071</v>
      </c>
      <c r="BP45">
        <f t="shared" ca="1" si="42"/>
        <v>85.1</v>
      </c>
      <c r="BQ45">
        <f t="shared" ca="1" si="42"/>
        <v>113.80000000000001</v>
      </c>
      <c r="BR45">
        <f t="shared" ca="1" si="42"/>
        <v>198.19999999999996</v>
      </c>
      <c r="BS45">
        <f t="shared" ca="1" si="42"/>
        <v>192.99999999999994</v>
      </c>
      <c r="BT45">
        <f t="shared" ca="1" si="42"/>
        <v>169.99999999999997</v>
      </c>
      <c r="BU45">
        <f t="shared" ca="1" si="42"/>
        <v>8.9999999999999982</v>
      </c>
      <c r="BV45">
        <f t="shared" ca="1" si="42"/>
        <v>7.6000000000000014</v>
      </c>
      <c r="BW45">
        <f t="shared" ca="1" si="42"/>
        <v>0</v>
      </c>
      <c r="BY45">
        <f t="shared" si="57"/>
        <v>2015</v>
      </c>
      <c r="BZ45">
        <f t="shared" ca="1" si="50"/>
        <v>0</v>
      </c>
      <c r="CA45">
        <f t="shared" ca="1" si="43"/>
        <v>0</v>
      </c>
      <c r="CB45">
        <f t="shared" ca="1" si="43"/>
        <v>0</v>
      </c>
      <c r="CC45">
        <f t="shared" ca="1" si="43"/>
        <v>4.8000000000000007</v>
      </c>
      <c r="CD45">
        <f t="shared" ca="1" si="43"/>
        <v>122.79999999999998</v>
      </c>
      <c r="CE45">
        <f t="shared" ca="1" si="43"/>
        <v>166.60000000000005</v>
      </c>
      <c r="CF45">
        <f t="shared" ca="1" si="43"/>
        <v>260.2</v>
      </c>
      <c r="CG45">
        <f t="shared" ca="1" si="43"/>
        <v>254.99999999999994</v>
      </c>
      <c r="CH45">
        <f t="shared" ca="1" si="43"/>
        <v>228.39999999999998</v>
      </c>
      <c r="CI45">
        <f t="shared" ca="1" si="43"/>
        <v>28.799999999999997</v>
      </c>
      <c r="CJ45">
        <f t="shared" ca="1" si="43"/>
        <v>17.100000000000001</v>
      </c>
      <c r="CK45">
        <f t="shared" ca="1" si="43"/>
        <v>0</v>
      </c>
      <c r="CM45">
        <f t="shared" si="58"/>
        <v>2015</v>
      </c>
      <c r="CN45">
        <f t="shared" ca="1" si="51"/>
        <v>0</v>
      </c>
      <c r="CO45">
        <f t="shared" ca="1" si="44"/>
        <v>0</v>
      </c>
      <c r="CP45">
        <f t="shared" ca="1" si="44"/>
        <v>0</v>
      </c>
      <c r="CQ45">
        <f t="shared" ca="1" si="44"/>
        <v>11.700000000000001</v>
      </c>
      <c r="CR45">
        <f t="shared" ca="1" si="44"/>
        <v>166.8</v>
      </c>
      <c r="CS45">
        <f t="shared" ca="1" si="44"/>
        <v>222.39999999999998</v>
      </c>
      <c r="CT45">
        <f t="shared" ca="1" si="44"/>
        <v>322.2</v>
      </c>
      <c r="CU45">
        <f t="shared" ca="1" si="44"/>
        <v>317</v>
      </c>
      <c r="CV45">
        <f t="shared" ca="1" si="44"/>
        <v>288.39999999999998</v>
      </c>
      <c r="CW45">
        <f t="shared" ca="1" si="44"/>
        <v>61.199999999999996</v>
      </c>
      <c r="CX45">
        <f t="shared" ca="1" si="44"/>
        <v>30.400000000000002</v>
      </c>
      <c r="CY45">
        <f t="shared" ca="1" si="44"/>
        <v>2.9000000000000004</v>
      </c>
      <c r="DA45">
        <f t="shared" si="59"/>
        <v>2015</v>
      </c>
      <c r="DB45">
        <f t="shared" ca="1" si="52"/>
        <v>0</v>
      </c>
      <c r="DC45">
        <f t="shared" ca="1" si="45"/>
        <v>0</v>
      </c>
      <c r="DD45">
        <f t="shared" ca="1" si="45"/>
        <v>0.5</v>
      </c>
      <c r="DE45">
        <f t="shared" ca="1" si="45"/>
        <v>30.100000000000005</v>
      </c>
      <c r="DF45">
        <f t="shared" ca="1" si="45"/>
        <v>216.5</v>
      </c>
      <c r="DG45">
        <f t="shared" ca="1" si="45"/>
        <v>281.89999999999992</v>
      </c>
      <c r="DH45">
        <f t="shared" ca="1" si="45"/>
        <v>384.2</v>
      </c>
      <c r="DI45">
        <f t="shared" ca="1" si="45"/>
        <v>379</v>
      </c>
      <c r="DJ45">
        <f t="shared" ca="1" si="45"/>
        <v>348.40000000000003</v>
      </c>
      <c r="DK45">
        <f t="shared" ca="1" si="45"/>
        <v>102.70000000000002</v>
      </c>
      <c r="DL45">
        <f t="shared" ca="1" si="45"/>
        <v>56.2</v>
      </c>
      <c r="DM45">
        <f t="shared" ca="1" si="45"/>
        <v>9.7000000000000011</v>
      </c>
    </row>
    <row r="46" spans="1:117">
      <c r="A46">
        <v>2002</v>
      </c>
      <c r="B46">
        <v>9</v>
      </c>
      <c r="C46">
        <v>59.599999999999994</v>
      </c>
      <c r="D46">
        <v>44</v>
      </c>
      <c r="E46">
        <v>30.899999999999995</v>
      </c>
      <c r="F46">
        <v>75.299999999999983</v>
      </c>
      <c r="G46">
        <v>13.199999999999998</v>
      </c>
      <c r="H46">
        <v>117.60000000000002</v>
      </c>
      <c r="I46">
        <v>3.3999999999999986</v>
      </c>
      <c r="J46">
        <v>167.80000000000007</v>
      </c>
      <c r="K46">
        <v>0</v>
      </c>
      <c r="L46">
        <v>224.40000000000006</v>
      </c>
      <c r="M46">
        <v>0</v>
      </c>
      <c r="N46">
        <v>284.40000000000003</v>
      </c>
      <c r="O46">
        <v>0</v>
      </c>
      <c r="P46">
        <v>344.40000000000003</v>
      </c>
      <c r="Q46">
        <v>19.479999999999997</v>
      </c>
      <c r="U46">
        <f t="shared" si="53"/>
        <v>2016</v>
      </c>
      <c r="V46">
        <f t="shared" ca="1" si="46"/>
        <v>0</v>
      </c>
      <c r="W46">
        <f t="shared" ca="1" si="38"/>
        <v>0</v>
      </c>
      <c r="X46">
        <f t="shared" ca="1" si="38"/>
        <v>0</v>
      </c>
      <c r="Y46">
        <f t="shared" ca="1" si="38"/>
        <v>0</v>
      </c>
      <c r="Z46">
        <f t="shared" ca="1" si="38"/>
        <v>19.999999999999996</v>
      </c>
      <c r="AA46">
        <f t="shared" ca="1" si="38"/>
        <v>21.100000000000005</v>
      </c>
      <c r="AB46">
        <f t="shared" ca="1" si="38"/>
        <v>83.899999999999977</v>
      </c>
      <c r="AC46">
        <f t="shared" ca="1" si="38"/>
        <v>101.00000000000001</v>
      </c>
      <c r="AD46">
        <f t="shared" ca="1" si="38"/>
        <v>28.8</v>
      </c>
      <c r="AE46">
        <f t="shared" ca="1" si="38"/>
        <v>2</v>
      </c>
      <c r="AF46">
        <f t="shared" ca="1" si="38"/>
        <v>0</v>
      </c>
      <c r="AG46">
        <f t="shared" ca="1" si="38"/>
        <v>0</v>
      </c>
      <c r="AI46">
        <f t="shared" si="54"/>
        <v>2016</v>
      </c>
      <c r="AJ46">
        <f t="shared" ca="1" si="47"/>
        <v>0</v>
      </c>
      <c r="AK46">
        <f t="shared" ca="1" si="39"/>
        <v>0</v>
      </c>
      <c r="AL46">
        <f t="shared" ca="1" si="39"/>
        <v>0</v>
      </c>
      <c r="AM46">
        <f t="shared" ca="1" si="39"/>
        <v>0</v>
      </c>
      <c r="AN46">
        <f t="shared" ca="1" si="39"/>
        <v>33.099999999999994</v>
      </c>
      <c r="AO46">
        <f t="shared" ca="1" si="39"/>
        <v>45.70000000000001</v>
      </c>
      <c r="AP46">
        <f t="shared" ca="1" si="39"/>
        <v>136.49999999999997</v>
      </c>
      <c r="AQ46">
        <f t="shared" ca="1" si="39"/>
        <v>160.59999999999997</v>
      </c>
      <c r="AR46">
        <f t="shared" ca="1" si="39"/>
        <v>52.4</v>
      </c>
      <c r="AS46">
        <f t="shared" ca="1" si="39"/>
        <v>10.599999999999998</v>
      </c>
      <c r="AT46">
        <f t="shared" ca="1" si="39"/>
        <v>0</v>
      </c>
      <c r="AU46">
        <f t="shared" ca="1" si="39"/>
        <v>0</v>
      </c>
      <c r="AV46" s="70">
        <f t="shared" ca="1" si="60"/>
        <v>438.9</v>
      </c>
      <c r="AW46">
        <f t="shared" si="55"/>
        <v>2016</v>
      </c>
      <c r="AX46">
        <f t="shared" ca="1" si="48"/>
        <v>0</v>
      </c>
      <c r="AY46">
        <f t="shared" ca="1" si="41"/>
        <v>0</v>
      </c>
      <c r="AZ46">
        <f t="shared" ca="1" si="41"/>
        <v>0</v>
      </c>
      <c r="BA46">
        <f t="shared" ca="1" si="41"/>
        <v>0</v>
      </c>
      <c r="BB46">
        <f t="shared" ca="1" si="41"/>
        <v>47.8</v>
      </c>
      <c r="BC46">
        <f t="shared" ca="1" si="41"/>
        <v>87</v>
      </c>
      <c r="BD46">
        <f t="shared" ca="1" si="41"/>
        <v>196.80000000000004</v>
      </c>
      <c r="BE46">
        <f t="shared" ca="1" si="41"/>
        <v>222.59999999999997</v>
      </c>
      <c r="BF46">
        <f t="shared" ca="1" si="41"/>
        <v>88.399999999999977</v>
      </c>
      <c r="BG46">
        <f t="shared" ca="1" si="41"/>
        <v>23.499999999999996</v>
      </c>
      <c r="BH46">
        <f t="shared" ca="1" si="41"/>
        <v>0</v>
      </c>
      <c r="BI46">
        <f t="shared" ca="1" si="41"/>
        <v>0</v>
      </c>
      <c r="BK46">
        <f t="shared" si="56"/>
        <v>2016</v>
      </c>
      <c r="BL46">
        <f t="shared" ca="1" si="49"/>
        <v>0</v>
      </c>
      <c r="BM46">
        <f t="shared" ca="1" si="42"/>
        <v>0</v>
      </c>
      <c r="BN46">
        <f t="shared" ca="1" si="42"/>
        <v>1.8000000000000007</v>
      </c>
      <c r="BO46">
        <f t="shared" ca="1" si="42"/>
        <v>1.5999999999999996</v>
      </c>
      <c r="BP46">
        <f t="shared" ca="1" si="42"/>
        <v>69.2</v>
      </c>
      <c r="BQ46">
        <f t="shared" ca="1" si="42"/>
        <v>136.80000000000001</v>
      </c>
      <c r="BR46">
        <f t="shared" ca="1" si="42"/>
        <v>258.8</v>
      </c>
      <c r="BS46">
        <f t="shared" ca="1" si="42"/>
        <v>284.59999999999991</v>
      </c>
      <c r="BT46">
        <f t="shared" ca="1" si="42"/>
        <v>140.79999999999995</v>
      </c>
      <c r="BU46">
        <f t="shared" ca="1" si="42"/>
        <v>44.899999999999991</v>
      </c>
      <c r="BV46">
        <f t="shared" ca="1" si="42"/>
        <v>2.6999999999999993</v>
      </c>
      <c r="BW46">
        <f t="shared" ca="1" si="42"/>
        <v>0</v>
      </c>
      <c r="BY46">
        <f t="shared" si="57"/>
        <v>2016</v>
      </c>
      <c r="BZ46">
        <f t="shared" ca="1" si="50"/>
        <v>0</v>
      </c>
      <c r="CA46">
        <f t="shared" ca="1" si="43"/>
        <v>0</v>
      </c>
      <c r="CB46">
        <f t="shared" ca="1" si="43"/>
        <v>7.1000000000000014</v>
      </c>
      <c r="CC46">
        <f t="shared" ca="1" si="43"/>
        <v>6.9</v>
      </c>
      <c r="CD46">
        <f t="shared" ca="1" si="43"/>
        <v>93.800000000000011</v>
      </c>
      <c r="CE46">
        <f t="shared" ca="1" si="43"/>
        <v>193.8</v>
      </c>
      <c r="CF46">
        <f t="shared" ca="1" si="43"/>
        <v>320.8</v>
      </c>
      <c r="CG46">
        <f t="shared" ca="1" si="43"/>
        <v>346.59999999999997</v>
      </c>
      <c r="CH46">
        <f t="shared" ca="1" si="43"/>
        <v>200.1</v>
      </c>
      <c r="CI46">
        <f t="shared" ca="1" si="43"/>
        <v>75.3</v>
      </c>
      <c r="CJ46">
        <f t="shared" ca="1" si="43"/>
        <v>8.6999999999999993</v>
      </c>
      <c r="CK46">
        <f t="shared" ca="1" si="43"/>
        <v>0</v>
      </c>
      <c r="CM46">
        <f t="shared" si="58"/>
        <v>2016</v>
      </c>
      <c r="CN46">
        <f t="shared" ca="1" si="51"/>
        <v>0</v>
      </c>
      <c r="CO46">
        <f t="shared" ca="1" si="44"/>
        <v>0</v>
      </c>
      <c r="CP46">
        <f t="shared" ca="1" si="44"/>
        <v>15.900000000000002</v>
      </c>
      <c r="CQ46">
        <f t="shared" ca="1" si="44"/>
        <v>12.9</v>
      </c>
      <c r="CR46">
        <f t="shared" ca="1" si="44"/>
        <v>128.60000000000002</v>
      </c>
      <c r="CS46">
        <f t="shared" ca="1" si="44"/>
        <v>253.4</v>
      </c>
      <c r="CT46">
        <f t="shared" ca="1" si="44"/>
        <v>382.79999999999995</v>
      </c>
      <c r="CU46">
        <f t="shared" ca="1" si="44"/>
        <v>408.6</v>
      </c>
      <c r="CV46">
        <f t="shared" ca="1" si="44"/>
        <v>260.09999999999997</v>
      </c>
      <c r="CW46">
        <f t="shared" ca="1" si="44"/>
        <v>109.80000000000001</v>
      </c>
      <c r="CX46">
        <f t="shared" ca="1" si="44"/>
        <v>17.600000000000001</v>
      </c>
      <c r="CY46">
        <f t="shared" ca="1" si="44"/>
        <v>0</v>
      </c>
      <c r="DA46">
        <f t="shared" si="59"/>
        <v>2016</v>
      </c>
      <c r="DB46">
        <f t="shared" ca="1" si="52"/>
        <v>0</v>
      </c>
      <c r="DC46">
        <f t="shared" ca="1" si="45"/>
        <v>1.5</v>
      </c>
      <c r="DD46">
        <f t="shared" ca="1" si="45"/>
        <v>26.1</v>
      </c>
      <c r="DE46">
        <f t="shared" ca="1" si="45"/>
        <v>24.4</v>
      </c>
      <c r="DF46">
        <f t="shared" ca="1" si="45"/>
        <v>176.49999999999994</v>
      </c>
      <c r="DG46">
        <f t="shared" ca="1" si="45"/>
        <v>313.40000000000003</v>
      </c>
      <c r="DH46">
        <f t="shared" ca="1" si="45"/>
        <v>444.8</v>
      </c>
      <c r="DI46">
        <f t="shared" ca="1" si="45"/>
        <v>470.59999999999997</v>
      </c>
      <c r="DJ46">
        <f t="shared" ca="1" si="45"/>
        <v>320.10000000000002</v>
      </c>
      <c r="DK46">
        <f t="shared" ca="1" si="45"/>
        <v>149.89999999999998</v>
      </c>
      <c r="DL46">
        <f t="shared" ca="1" si="45"/>
        <v>38.900000000000006</v>
      </c>
      <c r="DM46">
        <f t="shared" ca="1" si="45"/>
        <v>0</v>
      </c>
    </row>
    <row r="47" spans="1:117">
      <c r="A47">
        <v>2002</v>
      </c>
      <c r="B47">
        <v>10</v>
      </c>
      <c r="C47">
        <v>348.59999999999997</v>
      </c>
      <c r="D47">
        <v>5</v>
      </c>
      <c r="E47">
        <v>291.39999999999998</v>
      </c>
      <c r="F47">
        <v>9.8000000000000007</v>
      </c>
      <c r="G47">
        <v>235.39999999999998</v>
      </c>
      <c r="H47">
        <v>15.8</v>
      </c>
      <c r="I47">
        <v>181.60000000000002</v>
      </c>
      <c r="J47">
        <v>24.000000000000004</v>
      </c>
      <c r="K47">
        <v>133.6</v>
      </c>
      <c r="L47">
        <v>38</v>
      </c>
      <c r="M47">
        <v>92.000000000000014</v>
      </c>
      <c r="N47">
        <v>58.400000000000006</v>
      </c>
      <c r="O47">
        <v>53.6</v>
      </c>
      <c r="P47">
        <v>82.000000000000014</v>
      </c>
      <c r="Q47">
        <v>8.9161290322580662</v>
      </c>
      <c r="U47">
        <f t="shared" si="53"/>
        <v>2017</v>
      </c>
      <c r="V47">
        <f t="shared" ca="1" si="46"/>
        <v>0</v>
      </c>
      <c r="W47">
        <f t="shared" ca="1" si="38"/>
        <v>0</v>
      </c>
      <c r="X47">
        <f t="shared" ca="1" si="38"/>
        <v>0</v>
      </c>
      <c r="Y47">
        <f t="shared" ca="1" si="38"/>
        <v>0</v>
      </c>
      <c r="Z47">
        <f t="shared" ca="1" si="38"/>
        <v>4.8000000000000007</v>
      </c>
      <c r="AA47">
        <f t="shared" ca="1" si="38"/>
        <v>46.900000000000006</v>
      </c>
      <c r="AB47">
        <f t="shared" ca="1" si="38"/>
        <v>54.7</v>
      </c>
      <c r="AC47">
        <f t="shared" ca="1" si="38"/>
        <v>27.800000000000004</v>
      </c>
      <c r="AD47">
        <f t="shared" ca="1" si="38"/>
        <v>30.600000000000005</v>
      </c>
      <c r="AE47">
        <f t="shared" ca="1" si="38"/>
        <v>2.3999999999999986</v>
      </c>
      <c r="AF47">
        <f t="shared" ca="1" si="38"/>
        <v>0</v>
      </c>
      <c r="AG47">
        <f t="shared" ca="1" si="38"/>
        <v>0</v>
      </c>
      <c r="AI47">
        <f t="shared" si="54"/>
        <v>2017</v>
      </c>
      <c r="AJ47">
        <f t="shared" ca="1" si="47"/>
        <v>0</v>
      </c>
      <c r="AK47">
        <f t="shared" ca="1" si="39"/>
        <v>0</v>
      </c>
      <c r="AL47">
        <f t="shared" ca="1" si="39"/>
        <v>0</v>
      </c>
      <c r="AM47">
        <f t="shared" ca="1" si="39"/>
        <v>0</v>
      </c>
      <c r="AN47">
        <f t="shared" ca="1" si="39"/>
        <v>11.100000000000001</v>
      </c>
      <c r="AO47">
        <f t="shared" ca="1" si="39"/>
        <v>81.499999999999986</v>
      </c>
      <c r="AP47">
        <f t="shared" ca="1" si="39"/>
        <v>108.49999999999997</v>
      </c>
      <c r="AQ47">
        <f t="shared" ca="1" si="39"/>
        <v>66.500000000000014</v>
      </c>
      <c r="AR47">
        <f t="shared" ca="1" si="39"/>
        <v>57.7</v>
      </c>
      <c r="AS47">
        <f t="shared" ca="1" si="39"/>
        <v>9.6999999999999957</v>
      </c>
      <c r="AT47">
        <f t="shared" ca="1" si="39"/>
        <v>0</v>
      </c>
      <c r="AU47">
        <f t="shared" ca="1" si="39"/>
        <v>0</v>
      </c>
      <c r="AV47" s="70">
        <f t="shared" ca="1" si="60"/>
        <v>334.99999999999994</v>
      </c>
      <c r="AW47">
        <f t="shared" si="55"/>
        <v>2017</v>
      </c>
      <c r="AX47">
        <f t="shared" ca="1" si="48"/>
        <v>0</v>
      </c>
      <c r="AY47">
        <f t="shared" ca="1" si="41"/>
        <v>0</v>
      </c>
      <c r="AZ47">
        <f t="shared" ca="1" si="41"/>
        <v>0</v>
      </c>
      <c r="BA47">
        <f t="shared" ca="1" si="41"/>
        <v>4.6000000000000014</v>
      </c>
      <c r="BB47">
        <f t="shared" ca="1" si="41"/>
        <v>25.3</v>
      </c>
      <c r="BC47">
        <f t="shared" ca="1" si="41"/>
        <v>122.8</v>
      </c>
      <c r="BD47">
        <f t="shared" ca="1" si="41"/>
        <v>170.5</v>
      </c>
      <c r="BE47">
        <f t="shared" ca="1" si="41"/>
        <v>118.19999999999999</v>
      </c>
      <c r="BF47">
        <f t="shared" ca="1" si="41"/>
        <v>90</v>
      </c>
      <c r="BG47">
        <f t="shared" ca="1" si="41"/>
        <v>24.999999999999996</v>
      </c>
      <c r="BH47">
        <f t="shared" ca="1" si="41"/>
        <v>0</v>
      </c>
      <c r="BI47">
        <f t="shared" ca="1" si="41"/>
        <v>0</v>
      </c>
      <c r="BK47">
        <f t="shared" si="56"/>
        <v>2017</v>
      </c>
      <c r="BL47">
        <f t="shared" ca="1" si="49"/>
        <v>0</v>
      </c>
      <c r="BM47">
        <f t="shared" ca="1" si="42"/>
        <v>0</v>
      </c>
      <c r="BN47">
        <f t="shared" ca="1" si="42"/>
        <v>0</v>
      </c>
      <c r="BO47">
        <f t="shared" ca="1" si="42"/>
        <v>11.000000000000002</v>
      </c>
      <c r="BP47">
        <f t="shared" ca="1" si="42"/>
        <v>48.099999999999994</v>
      </c>
      <c r="BQ47">
        <f t="shared" ca="1" si="42"/>
        <v>176.59999999999997</v>
      </c>
      <c r="BR47">
        <f t="shared" ca="1" si="42"/>
        <v>232.49999999999997</v>
      </c>
      <c r="BS47">
        <f t="shared" ca="1" si="42"/>
        <v>175.5</v>
      </c>
      <c r="BT47">
        <f t="shared" ca="1" si="42"/>
        <v>127.39999999999999</v>
      </c>
      <c r="BU47">
        <f t="shared" ca="1" si="42"/>
        <v>53.800000000000004</v>
      </c>
      <c r="BV47">
        <f t="shared" ca="1" si="42"/>
        <v>0</v>
      </c>
      <c r="BW47">
        <f t="shared" ca="1" si="42"/>
        <v>0</v>
      </c>
      <c r="BY47">
        <f t="shared" si="57"/>
        <v>2017</v>
      </c>
      <c r="BZ47">
        <f t="shared" ca="1" si="50"/>
        <v>0</v>
      </c>
      <c r="CA47">
        <f t="shared" ca="1" si="43"/>
        <v>0</v>
      </c>
      <c r="CB47">
        <f t="shared" ca="1" si="43"/>
        <v>0</v>
      </c>
      <c r="CC47">
        <f t="shared" ca="1" si="43"/>
        <v>25.900000000000002</v>
      </c>
      <c r="CD47">
        <f t="shared" ca="1" si="43"/>
        <v>79.099999999999994</v>
      </c>
      <c r="CE47">
        <f t="shared" ca="1" si="43"/>
        <v>235.89999999999998</v>
      </c>
      <c r="CF47">
        <f t="shared" ca="1" si="43"/>
        <v>294.49999999999994</v>
      </c>
      <c r="CG47">
        <f t="shared" ca="1" si="43"/>
        <v>236.7</v>
      </c>
      <c r="CH47">
        <f t="shared" ca="1" si="43"/>
        <v>176.90000000000003</v>
      </c>
      <c r="CI47">
        <f t="shared" ca="1" si="43"/>
        <v>89.1</v>
      </c>
      <c r="CJ47">
        <f t="shared" ca="1" si="43"/>
        <v>0.90000000000000036</v>
      </c>
      <c r="CK47">
        <f t="shared" ca="1" si="43"/>
        <v>0</v>
      </c>
      <c r="CM47">
        <f t="shared" si="58"/>
        <v>2017</v>
      </c>
      <c r="CN47">
        <f t="shared" ca="1" si="51"/>
        <v>0</v>
      </c>
      <c r="CO47">
        <f t="shared" ca="1" si="44"/>
        <v>1.4000000000000004</v>
      </c>
      <c r="CP47">
        <f t="shared" ca="1" si="44"/>
        <v>1.6999999999999993</v>
      </c>
      <c r="CQ47">
        <f t="shared" ca="1" si="44"/>
        <v>44</v>
      </c>
      <c r="CR47">
        <f t="shared" ca="1" si="44"/>
        <v>113.1</v>
      </c>
      <c r="CS47">
        <f t="shared" ca="1" si="44"/>
        <v>295.89999999999992</v>
      </c>
      <c r="CT47">
        <f t="shared" ca="1" si="44"/>
        <v>356.5</v>
      </c>
      <c r="CU47">
        <f t="shared" ca="1" si="44"/>
        <v>298.69999999999993</v>
      </c>
      <c r="CV47">
        <f t="shared" ca="1" si="44"/>
        <v>233.70000000000002</v>
      </c>
      <c r="CW47">
        <f t="shared" ca="1" si="44"/>
        <v>132.19999999999999</v>
      </c>
      <c r="CX47">
        <f t="shared" ca="1" si="44"/>
        <v>3.4000000000000004</v>
      </c>
      <c r="CY47">
        <f t="shared" ca="1" si="44"/>
        <v>0</v>
      </c>
      <c r="DA47">
        <f t="shared" si="59"/>
        <v>2017</v>
      </c>
      <c r="DB47">
        <f t="shared" ca="1" si="52"/>
        <v>0</v>
      </c>
      <c r="DC47">
        <f t="shared" ca="1" si="45"/>
        <v>8.3000000000000007</v>
      </c>
      <c r="DD47">
        <f t="shared" ca="1" si="45"/>
        <v>6.2999999999999989</v>
      </c>
      <c r="DE47">
        <f t="shared" ca="1" si="45"/>
        <v>73.8</v>
      </c>
      <c r="DF47">
        <f t="shared" ca="1" si="45"/>
        <v>154.6</v>
      </c>
      <c r="DG47">
        <f t="shared" ca="1" si="45"/>
        <v>355.90000000000003</v>
      </c>
      <c r="DH47">
        <f t="shared" ca="1" si="45"/>
        <v>418.5</v>
      </c>
      <c r="DI47">
        <f t="shared" ca="1" si="45"/>
        <v>360.69999999999993</v>
      </c>
      <c r="DJ47">
        <f t="shared" ca="1" si="45"/>
        <v>293.7</v>
      </c>
      <c r="DK47">
        <f t="shared" ca="1" si="45"/>
        <v>180.5</v>
      </c>
      <c r="DL47">
        <f t="shared" ca="1" si="45"/>
        <v>9.4</v>
      </c>
      <c r="DM47">
        <f t="shared" ca="1" si="45"/>
        <v>0</v>
      </c>
    </row>
    <row r="48" spans="1:117">
      <c r="A48">
        <v>2002</v>
      </c>
      <c r="B48">
        <v>11</v>
      </c>
      <c r="C48">
        <v>496.70000000000005</v>
      </c>
      <c r="D48">
        <v>0</v>
      </c>
      <c r="E48">
        <v>436.7</v>
      </c>
      <c r="F48">
        <v>0</v>
      </c>
      <c r="G48">
        <v>376.7</v>
      </c>
      <c r="H48">
        <v>0</v>
      </c>
      <c r="I48">
        <v>317.2</v>
      </c>
      <c r="J48">
        <v>0.5</v>
      </c>
      <c r="K48">
        <v>259.7</v>
      </c>
      <c r="L48">
        <v>3</v>
      </c>
      <c r="M48">
        <v>205.10000000000002</v>
      </c>
      <c r="N48">
        <v>8.4</v>
      </c>
      <c r="O48">
        <v>152.1</v>
      </c>
      <c r="P48">
        <v>15.4</v>
      </c>
      <c r="Q48">
        <v>3.4433333333333329</v>
      </c>
      <c r="U48">
        <f t="shared" si="53"/>
        <v>2018</v>
      </c>
      <c r="V48">
        <f t="shared" ca="1" si="46"/>
        <v>0</v>
      </c>
      <c r="W48">
        <f t="shared" ca="1" si="46"/>
        <v>0</v>
      </c>
      <c r="X48">
        <f t="shared" ca="1" si="46"/>
        <v>0</v>
      </c>
      <c r="Y48">
        <f t="shared" ca="1" si="46"/>
        <v>0</v>
      </c>
      <c r="Z48">
        <f t="shared" ca="1" si="46"/>
        <v>24.2</v>
      </c>
      <c r="AA48">
        <f t="shared" ca="1" si="46"/>
        <v>33.200000000000003</v>
      </c>
      <c r="AB48">
        <f t="shared" ca="1" si="46"/>
        <v>62.800000000000004</v>
      </c>
      <c r="AC48">
        <f t="shared" ca="1" si="46"/>
        <v>71.599999999999994</v>
      </c>
      <c r="AD48">
        <f t="shared" ca="1" si="46"/>
        <v>34.5</v>
      </c>
      <c r="AE48">
        <f t="shared" ca="1" si="46"/>
        <v>7.8000000000000007</v>
      </c>
      <c r="AF48">
        <f t="shared" ca="1" si="46"/>
        <v>0</v>
      </c>
      <c r="AG48">
        <f t="shared" ca="1" si="46"/>
        <v>0</v>
      </c>
      <c r="AI48">
        <f t="shared" si="54"/>
        <v>2018</v>
      </c>
      <c r="AJ48">
        <f t="shared" ca="1" si="47"/>
        <v>0</v>
      </c>
      <c r="AK48">
        <f t="shared" ca="1" si="47"/>
        <v>0</v>
      </c>
      <c r="AL48">
        <f t="shared" ca="1" si="47"/>
        <v>0</v>
      </c>
      <c r="AM48">
        <f t="shared" ca="1" si="47"/>
        <v>0</v>
      </c>
      <c r="AN48">
        <f t="shared" ca="1" si="47"/>
        <v>41</v>
      </c>
      <c r="AO48">
        <f t="shared" ca="1" si="47"/>
        <v>57.599999999999994</v>
      </c>
      <c r="AP48">
        <f t="shared" ca="1" si="47"/>
        <v>116.4</v>
      </c>
      <c r="AQ48">
        <f t="shared" ca="1" si="47"/>
        <v>127.70000000000002</v>
      </c>
      <c r="AR48">
        <f t="shared" ca="1" si="47"/>
        <v>59.7</v>
      </c>
      <c r="AS48">
        <f t="shared" ca="1" si="47"/>
        <v>14.7</v>
      </c>
      <c r="AT48">
        <f t="shared" ca="1" si="47"/>
        <v>0</v>
      </c>
      <c r="AU48">
        <f t="shared" ca="1" si="47"/>
        <v>0</v>
      </c>
      <c r="AV48" s="70">
        <f t="shared" ca="1" si="60"/>
        <v>417.1</v>
      </c>
      <c r="AW48">
        <f t="shared" si="55"/>
        <v>2018</v>
      </c>
      <c r="AX48">
        <f t="shared" ca="1" si="48"/>
        <v>0</v>
      </c>
      <c r="AY48">
        <f t="shared" ca="1" si="48"/>
        <v>0</v>
      </c>
      <c r="AZ48">
        <f t="shared" ca="1" si="48"/>
        <v>0</v>
      </c>
      <c r="BA48">
        <f t="shared" ca="1" si="48"/>
        <v>0</v>
      </c>
      <c r="BB48">
        <f t="shared" ca="1" si="48"/>
        <v>63.900000000000006</v>
      </c>
      <c r="BC48">
        <f t="shared" ca="1" si="48"/>
        <v>92.40000000000002</v>
      </c>
      <c r="BD48">
        <f t="shared" ca="1" si="48"/>
        <v>176.00000000000003</v>
      </c>
      <c r="BE48">
        <f t="shared" ca="1" si="48"/>
        <v>188.29999999999995</v>
      </c>
      <c r="BF48">
        <f t="shared" ca="1" si="48"/>
        <v>92.7</v>
      </c>
      <c r="BG48">
        <f t="shared" ca="1" si="48"/>
        <v>24.2</v>
      </c>
      <c r="BH48">
        <f t="shared" ca="1" si="48"/>
        <v>0</v>
      </c>
      <c r="BI48">
        <f t="shared" ca="1" si="48"/>
        <v>0</v>
      </c>
      <c r="BK48">
        <f t="shared" si="56"/>
        <v>2018</v>
      </c>
      <c r="BL48">
        <f t="shared" ca="1" si="49"/>
        <v>0</v>
      </c>
      <c r="BM48">
        <f t="shared" ca="1" si="49"/>
        <v>0</v>
      </c>
      <c r="BN48">
        <f t="shared" ca="1" si="49"/>
        <v>0</v>
      </c>
      <c r="BO48">
        <f t="shared" ca="1" si="49"/>
        <v>0</v>
      </c>
      <c r="BP48">
        <f t="shared" ca="1" si="49"/>
        <v>96.8</v>
      </c>
      <c r="BQ48">
        <f t="shared" ca="1" si="49"/>
        <v>143.39999999999995</v>
      </c>
      <c r="BR48">
        <f t="shared" ca="1" si="49"/>
        <v>238.00000000000003</v>
      </c>
      <c r="BS48">
        <f t="shared" ca="1" si="49"/>
        <v>250.29999999999995</v>
      </c>
      <c r="BT48">
        <f t="shared" ca="1" si="49"/>
        <v>132.60000000000002</v>
      </c>
      <c r="BU48">
        <f t="shared" ca="1" si="49"/>
        <v>36.9</v>
      </c>
      <c r="BV48">
        <f t="shared" ca="1" si="49"/>
        <v>0</v>
      </c>
      <c r="BW48">
        <f t="shared" ca="1" si="49"/>
        <v>0</v>
      </c>
      <c r="BY48">
        <f t="shared" si="57"/>
        <v>2018</v>
      </c>
      <c r="BZ48">
        <f t="shared" ca="1" si="50"/>
        <v>0</v>
      </c>
      <c r="CA48">
        <f t="shared" ca="1" si="50"/>
        <v>0</v>
      </c>
      <c r="CB48">
        <f t="shared" ca="1" si="50"/>
        <v>0</v>
      </c>
      <c r="CC48">
        <f t="shared" ca="1" si="50"/>
        <v>2.2000000000000011</v>
      </c>
      <c r="CD48">
        <f t="shared" ca="1" si="50"/>
        <v>136.69999999999999</v>
      </c>
      <c r="CE48">
        <f t="shared" ca="1" si="50"/>
        <v>198.8</v>
      </c>
      <c r="CF48">
        <f t="shared" ca="1" si="50"/>
        <v>300.00000000000006</v>
      </c>
      <c r="CG48">
        <f t="shared" ca="1" si="50"/>
        <v>312.3</v>
      </c>
      <c r="CH48">
        <f t="shared" ca="1" si="50"/>
        <v>181.4</v>
      </c>
      <c r="CI48">
        <f t="shared" ca="1" si="50"/>
        <v>54.6</v>
      </c>
      <c r="CJ48">
        <f t="shared" ca="1" si="50"/>
        <v>0</v>
      </c>
      <c r="CK48">
        <f t="shared" ca="1" si="50"/>
        <v>0</v>
      </c>
      <c r="CM48">
        <f t="shared" si="58"/>
        <v>2018</v>
      </c>
      <c r="CN48">
        <f t="shared" ca="1" si="51"/>
        <v>0</v>
      </c>
      <c r="CO48">
        <f t="shared" ca="1" si="51"/>
        <v>1.6999999999999993</v>
      </c>
      <c r="CP48">
        <f t="shared" ca="1" si="51"/>
        <v>0</v>
      </c>
      <c r="CQ48">
        <f t="shared" ca="1" si="51"/>
        <v>7.5</v>
      </c>
      <c r="CR48">
        <f t="shared" ca="1" si="51"/>
        <v>184.2</v>
      </c>
      <c r="CS48">
        <f t="shared" ca="1" si="51"/>
        <v>258.10000000000002</v>
      </c>
      <c r="CT48">
        <f t="shared" ca="1" si="51"/>
        <v>362</v>
      </c>
      <c r="CU48">
        <f t="shared" ca="1" si="51"/>
        <v>374.30000000000007</v>
      </c>
      <c r="CV48">
        <f t="shared" ca="1" si="51"/>
        <v>237.5</v>
      </c>
      <c r="CW48">
        <f t="shared" ca="1" si="51"/>
        <v>74</v>
      </c>
      <c r="CX48">
        <f t="shared" ca="1" si="51"/>
        <v>1</v>
      </c>
      <c r="CY48">
        <f t="shared" ca="1" si="51"/>
        <v>0</v>
      </c>
      <c r="DA48">
        <f t="shared" si="59"/>
        <v>2018</v>
      </c>
      <c r="DB48">
        <f t="shared" ca="1" si="52"/>
        <v>0.30000000000000071</v>
      </c>
      <c r="DC48">
        <f t="shared" ca="1" si="52"/>
        <v>4.3999999999999986</v>
      </c>
      <c r="DD48">
        <f t="shared" ca="1" si="52"/>
        <v>0</v>
      </c>
      <c r="DE48">
        <f t="shared" ca="1" si="52"/>
        <v>17.600000000000001</v>
      </c>
      <c r="DF48">
        <f t="shared" ca="1" si="52"/>
        <v>238.99999999999997</v>
      </c>
      <c r="DG48">
        <f t="shared" ca="1" si="52"/>
        <v>318.10000000000002</v>
      </c>
      <c r="DH48">
        <f t="shared" ca="1" si="52"/>
        <v>424.00000000000006</v>
      </c>
      <c r="DI48">
        <f t="shared" ca="1" si="52"/>
        <v>436.30000000000007</v>
      </c>
      <c r="DJ48">
        <f t="shared" ca="1" si="52"/>
        <v>297.49999999999994</v>
      </c>
      <c r="DK48">
        <f t="shared" ca="1" si="52"/>
        <v>97.4</v>
      </c>
      <c r="DL48">
        <f t="shared" ca="1" si="52"/>
        <v>5</v>
      </c>
      <c r="DM48">
        <f t="shared" ca="1" si="52"/>
        <v>1.5</v>
      </c>
    </row>
    <row r="49" spans="1:117">
      <c r="A49">
        <v>2002</v>
      </c>
      <c r="B49">
        <v>12</v>
      </c>
      <c r="C49">
        <v>695.2</v>
      </c>
      <c r="D49">
        <v>0</v>
      </c>
      <c r="E49">
        <v>633.20000000000005</v>
      </c>
      <c r="F49">
        <v>0</v>
      </c>
      <c r="G49">
        <v>571.20000000000005</v>
      </c>
      <c r="H49">
        <v>0</v>
      </c>
      <c r="I49">
        <v>509.2</v>
      </c>
      <c r="J49">
        <v>0</v>
      </c>
      <c r="K49">
        <v>447.2</v>
      </c>
      <c r="L49">
        <v>0</v>
      </c>
      <c r="M49">
        <v>385.2</v>
      </c>
      <c r="N49">
        <v>0</v>
      </c>
      <c r="O49">
        <v>323.2</v>
      </c>
      <c r="P49">
        <v>0</v>
      </c>
      <c r="Q49">
        <v>-2.4258064516129028</v>
      </c>
      <c r="U49">
        <f t="shared" si="53"/>
        <v>2019</v>
      </c>
      <c r="V49">
        <f t="shared" ca="1" si="46"/>
        <v>0</v>
      </c>
      <c r="W49">
        <f t="shared" ca="1" si="46"/>
        <v>0</v>
      </c>
      <c r="X49">
        <f t="shared" ca="1" si="46"/>
        <v>0</v>
      </c>
      <c r="Y49">
        <f t="shared" ca="1" si="46"/>
        <v>0</v>
      </c>
      <c r="Z49">
        <f t="shared" ca="1" si="46"/>
        <v>0.69999999999999929</v>
      </c>
      <c r="AA49">
        <f t="shared" ca="1" si="46"/>
        <v>17.400000000000002</v>
      </c>
      <c r="AB49">
        <f t="shared" ca="1" si="46"/>
        <v>89.899999999999991</v>
      </c>
      <c r="AC49">
        <f t="shared" ca="1" si="46"/>
        <v>46.500000000000007</v>
      </c>
      <c r="AD49">
        <f t="shared" ca="1" si="46"/>
        <v>15.600000000000005</v>
      </c>
      <c r="AE49">
        <f t="shared" ca="1" si="46"/>
        <v>2.1999999999999993</v>
      </c>
      <c r="AF49">
        <f t="shared" ca="1" si="46"/>
        <v>0</v>
      </c>
      <c r="AG49">
        <f t="shared" ca="1" si="46"/>
        <v>0</v>
      </c>
      <c r="AI49">
        <f t="shared" si="54"/>
        <v>2019</v>
      </c>
      <c r="AJ49">
        <f t="shared" ca="1" si="47"/>
        <v>0</v>
      </c>
      <c r="AK49">
        <f t="shared" ca="1" si="47"/>
        <v>0</v>
      </c>
      <c r="AL49">
        <f t="shared" ca="1" si="47"/>
        <v>0</v>
      </c>
      <c r="AM49">
        <f t="shared" ca="1" si="47"/>
        <v>0</v>
      </c>
      <c r="AN49">
        <f t="shared" ca="1" si="47"/>
        <v>3.9000000000000021</v>
      </c>
      <c r="AO49">
        <f t="shared" ca="1" si="47"/>
        <v>34</v>
      </c>
      <c r="AP49">
        <f t="shared" ca="1" si="47"/>
        <v>144.10000000000002</v>
      </c>
      <c r="AQ49">
        <f t="shared" ca="1" si="47"/>
        <v>90.399999999999991</v>
      </c>
      <c r="AR49">
        <f t="shared" ca="1" si="47"/>
        <v>38.300000000000004</v>
      </c>
      <c r="AS49">
        <f t="shared" ca="1" si="47"/>
        <v>4.1999999999999993</v>
      </c>
      <c r="AT49">
        <f t="shared" ca="1" si="47"/>
        <v>0</v>
      </c>
      <c r="AU49">
        <f t="shared" ca="1" si="47"/>
        <v>0</v>
      </c>
      <c r="AV49" s="70">
        <f t="shared" ca="1" si="60"/>
        <v>314.90000000000003</v>
      </c>
      <c r="AW49">
        <f t="shared" si="55"/>
        <v>2019</v>
      </c>
      <c r="AX49">
        <f t="shared" ca="1" si="48"/>
        <v>0</v>
      </c>
      <c r="AY49">
        <f t="shared" ca="1" si="48"/>
        <v>0</v>
      </c>
      <c r="AZ49">
        <f t="shared" ca="1" si="48"/>
        <v>0</v>
      </c>
      <c r="BA49">
        <f t="shared" ca="1" si="48"/>
        <v>0</v>
      </c>
      <c r="BB49">
        <f t="shared" ca="1" si="48"/>
        <v>9.9000000000000021</v>
      </c>
      <c r="BC49">
        <f t="shared" ca="1" si="48"/>
        <v>62.7</v>
      </c>
      <c r="BD49">
        <f t="shared" ca="1" si="48"/>
        <v>204.70000000000002</v>
      </c>
      <c r="BE49">
        <f t="shared" ca="1" si="48"/>
        <v>147.10000000000002</v>
      </c>
      <c r="BF49">
        <f t="shared" ca="1" si="48"/>
        <v>75.799999999999983</v>
      </c>
      <c r="BG49">
        <f t="shared" ca="1" si="48"/>
        <v>6.5</v>
      </c>
      <c r="BH49">
        <f t="shared" ca="1" si="48"/>
        <v>0</v>
      </c>
      <c r="BI49">
        <f t="shared" ca="1" si="48"/>
        <v>0</v>
      </c>
      <c r="BK49">
        <f t="shared" si="56"/>
        <v>2019</v>
      </c>
      <c r="BL49">
        <f t="shared" ca="1" si="49"/>
        <v>0</v>
      </c>
      <c r="BM49">
        <f t="shared" ca="1" si="49"/>
        <v>0</v>
      </c>
      <c r="BN49">
        <f t="shared" ca="1" si="49"/>
        <v>0</v>
      </c>
      <c r="BO49">
        <f t="shared" ca="1" si="49"/>
        <v>0.5</v>
      </c>
      <c r="BP49">
        <f t="shared" ca="1" si="49"/>
        <v>23.700000000000003</v>
      </c>
      <c r="BQ49">
        <f t="shared" ca="1" si="49"/>
        <v>104.8</v>
      </c>
      <c r="BR49">
        <f t="shared" ca="1" si="49"/>
        <v>266.70000000000005</v>
      </c>
      <c r="BS49">
        <f t="shared" ca="1" si="49"/>
        <v>209.09999999999997</v>
      </c>
      <c r="BT49">
        <f t="shared" ca="1" si="49"/>
        <v>126.30000000000001</v>
      </c>
      <c r="BU49">
        <f t="shared" ca="1" si="49"/>
        <v>12.9</v>
      </c>
      <c r="BV49">
        <f t="shared" ca="1" si="49"/>
        <v>0</v>
      </c>
      <c r="BW49">
        <f t="shared" ca="1" si="49"/>
        <v>0</v>
      </c>
      <c r="BY49">
        <f t="shared" si="57"/>
        <v>2019</v>
      </c>
      <c r="BZ49">
        <f t="shared" ca="1" si="50"/>
        <v>0</v>
      </c>
      <c r="CA49">
        <f t="shared" ca="1" si="50"/>
        <v>0</v>
      </c>
      <c r="CB49">
        <f t="shared" ca="1" si="50"/>
        <v>0</v>
      </c>
      <c r="CC49">
        <f t="shared" ca="1" si="50"/>
        <v>5.6</v>
      </c>
      <c r="CD49">
        <f t="shared" ca="1" si="50"/>
        <v>46.800000000000004</v>
      </c>
      <c r="CE49">
        <f t="shared" ca="1" si="50"/>
        <v>158.29999999999998</v>
      </c>
      <c r="CF49">
        <f t="shared" ca="1" si="50"/>
        <v>328.70000000000005</v>
      </c>
      <c r="CG49">
        <f t="shared" ca="1" si="50"/>
        <v>271.09999999999997</v>
      </c>
      <c r="CH49">
        <f t="shared" ca="1" si="50"/>
        <v>185.70000000000005</v>
      </c>
      <c r="CI49">
        <f t="shared" ca="1" si="50"/>
        <v>27.7</v>
      </c>
      <c r="CJ49">
        <f t="shared" ca="1" si="50"/>
        <v>0</v>
      </c>
      <c r="CK49">
        <f t="shared" ca="1" si="50"/>
        <v>0</v>
      </c>
      <c r="CM49">
        <f t="shared" si="58"/>
        <v>2019</v>
      </c>
      <c r="CN49">
        <f t="shared" ca="1" si="51"/>
        <v>0</v>
      </c>
      <c r="CO49">
        <f t="shared" ca="1" si="51"/>
        <v>0</v>
      </c>
      <c r="CP49">
        <f t="shared" ca="1" si="51"/>
        <v>0.59999999999999964</v>
      </c>
      <c r="CQ49">
        <f t="shared" ca="1" si="51"/>
        <v>18.999999999999996</v>
      </c>
      <c r="CR49">
        <f t="shared" ca="1" si="51"/>
        <v>82.90000000000002</v>
      </c>
      <c r="CS49">
        <f t="shared" ca="1" si="51"/>
        <v>215.5</v>
      </c>
      <c r="CT49">
        <f t="shared" ca="1" si="51"/>
        <v>390.70000000000005</v>
      </c>
      <c r="CU49">
        <f t="shared" ca="1" si="51"/>
        <v>333.09999999999991</v>
      </c>
      <c r="CV49">
        <f t="shared" ca="1" si="51"/>
        <v>245.70000000000002</v>
      </c>
      <c r="CW49">
        <f t="shared" ca="1" si="51"/>
        <v>54.600000000000016</v>
      </c>
      <c r="CX49">
        <f t="shared" ca="1" si="51"/>
        <v>0</v>
      </c>
      <c r="CY49">
        <f t="shared" ca="1" si="51"/>
        <v>0</v>
      </c>
      <c r="DA49">
        <f t="shared" si="59"/>
        <v>2019</v>
      </c>
      <c r="DB49">
        <f t="shared" ca="1" si="52"/>
        <v>0</v>
      </c>
      <c r="DC49">
        <f t="shared" ca="1" si="52"/>
        <v>0</v>
      </c>
      <c r="DD49">
        <f t="shared" ca="1" si="52"/>
        <v>4.2999999999999989</v>
      </c>
      <c r="DE49">
        <f t="shared" ca="1" si="52"/>
        <v>37.5</v>
      </c>
      <c r="DF49">
        <f t="shared" ca="1" si="52"/>
        <v>128</v>
      </c>
      <c r="DG49">
        <f t="shared" ca="1" si="52"/>
        <v>275.50000000000006</v>
      </c>
      <c r="DH49">
        <f t="shared" ca="1" si="52"/>
        <v>452.70000000000005</v>
      </c>
      <c r="DI49">
        <f t="shared" ca="1" si="52"/>
        <v>395.09999999999991</v>
      </c>
      <c r="DJ49">
        <f t="shared" ca="1" si="52"/>
        <v>305.70000000000005</v>
      </c>
      <c r="DK49">
        <f t="shared" ca="1" si="52"/>
        <v>94.4</v>
      </c>
      <c r="DL49">
        <f t="shared" ca="1" si="52"/>
        <v>0.19999999999999929</v>
      </c>
      <c r="DM49">
        <f t="shared" ca="1" si="52"/>
        <v>0.40000000000000036</v>
      </c>
    </row>
    <row r="50" spans="1:117">
      <c r="A50">
        <v>2003</v>
      </c>
      <c r="B50">
        <v>1</v>
      </c>
      <c r="C50">
        <v>847.1</v>
      </c>
      <c r="D50">
        <v>0</v>
      </c>
      <c r="E50">
        <v>785.09999999999991</v>
      </c>
      <c r="F50">
        <v>0</v>
      </c>
      <c r="G50">
        <v>723.1</v>
      </c>
      <c r="H50">
        <v>0</v>
      </c>
      <c r="I50">
        <v>661.10000000000014</v>
      </c>
      <c r="J50">
        <v>0</v>
      </c>
      <c r="K50">
        <v>599.1</v>
      </c>
      <c r="L50">
        <v>0</v>
      </c>
      <c r="M50">
        <v>537.09999999999991</v>
      </c>
      <c r="N50">
        <v>0</v>
      </c>
      <c r="O50">
        <v>475.09999999999997</v>
      </c>
      <c r="P50">
        <v>0</v>
      </c>
      <c r="Q50">
        <v>-7.3258064516129027</v>
      </c>
      <c r="U50">
        <f t="shared" si="53"/>
        <v>2020</v>
      </c>
      <c r="V50">
        <f t="shared" ca="1" si="46"/>
        <v>0</v>
      </c>
      <c r="W50">
        <f t="shared" ca="1" si="46"/>
        <v>0</v>
      </c>
      <c r="X50">
        <f t="shared" ca="1" si="46"/>
        <v>0</v>
      </c>
      <c r="Y50">
        <f t="shared" ca="1" si="46"/>
        <v>0</v>
      </c>
      <c r="Z50">
        <f t="shared" ca="1" si="46"/>
        <v>17.7</v>
      </c>
      <c r="AA50">
        <f t="shared" ca="1" si="46"/>
        <v>34.399999999999991</v>
      </c>
      <c r="AB50">
        <f t="shared" ca="1" si="46"/>
        <v>98.4</v>
      </c>
      <c r="AC50">
        <f t="shared" ca="1" si="46"/>
        <v>41.9</v>
      </c>
      <c r="AD50">
        <f t="shared" ca="1" si="46"/>
        <v>5.6000000000000014</v>
      </c>
      <c r="AE50">
        <f t="shared" ca="1" si="46"/>
        <v>0</v>
      </c>
      <c r="AF50">
        <f t="shared" ca="1" si="46"/>
        <v>0</v>
      </c>
      <c r="AG50">
        <f t="shared" ca="1" si="46"/>
        <v>0</v>
      </c>
      <c r="AI50">
        <f t="shared" si="54"/>
        <v>2020</v>
      </c>
      <c r="AJ50">
        <f t="shared" ca="1" si="47"/>
        <v>0</v>
      </c>
      <c r="AK50">
        <f t="shared" ca="1" si="47"/>
        <v>0</v>
      </c>
      <c r="AL50">
        <f t="shared" ca="1" si="47"/>
        <v>0</v>
      </c>
      <c r="AM50">
        <f t="shared" ca="1" si="47"/>
        <v>0</v>
      </c>
      <c r="AN50">
        <f t="shared" ca="1" si="47"/>
        <v>28.5</v>
      </c>
      <c r="AO50">
        <f t="shared" ca="1" si="47"/>
        <v>68.3</v>
      </c>
      <c r="AP50">
        <f t="shared" ca="1" si="47"/>
        <v>159.09999999999997</v>
      </c>
      <c r="AQ50">
        <f t="shared" ca="1" si="47"/>
        <v>89.4</v>
      </c>
      <c r="AR50">
        <f t="shared" ca="1" si="47"/>
        <v>21.3</v>
      </c>
      <c r="AS50">
        <f t="shared" ca="1" si="47"/>
        <v>0</v>
      </c>
      <c r="AT50">
        <f t="shared" ca="1" si="47"/>
        <v>0.80000000000000071</v>
      </c>
      <c r="AU50">
        <f t="shared" ca="1" si="47"/>
        <v>0</v>
      </c>
      <c r="AV50" s="70">
        <f t="shared" ca="1" si="60"/>
        <v>367.4</v>
      </c>
      <c r="AW50">
        <f t="shared" si="55"/>
        <v>2020</v>
      </c>
      <c r="AX50">
        <f t="shared" ca="1" si="48"/>
        <v>0</v>
      </c>
      <c r="AY50">
        <f t="shared" ca="1" si="48"/>
        <v>0</v>
      </c>
      <c r="AZ50">
        <f t="shared" ca="1" si="48"/>
        <v>0</v>
      </c>
      <c r="BA50">
        <f t="shared" ca="1" si="48"/>
        <v>0</v>
      </c>
      <c r="BB50">
        <f t="shared" ca="1" si="48"/>
        <v>42.5</v>
      </c>
      <c r="BC50">
        <f t="shared" ca="1" si="48"/>
        <v>111.00000000000001</v>
      </c>
      <c r="BD50">
        <f t="shared" ca="1" si="48"/>
        <v>221.09999999999994</v>
      </c>
      <c r="BE50">
        <f t="shared" ca="1" si="48"/>
        <v>149</v>
      </c>
      <c r="BF50">
        <f t="shared" ca="1" si="48"/>
        <v>45.5</v>
      </c>
      <c r="BG50">
        <f t="shared" ca="1" si="48"/>
        <v>0.60000000000000142</v>
      </c>
      <c r="BH50">
        <f t="shared" ca="1" si="48"/>
        <v>3.4000000000000021</v>
      </c>
      <c r="BI50">
        <f t="shared" ca="1" si="48"/>
        <v>0</v>
      </c>
      <c r="BK50">
        <f t="shared" si="56"/>
        <v>2020</v>
      </c>
      <c r="BL50">
        <f t="shared" ca="1" si="49"/>
        <v>0</v>
      </c>
      <c r="BM50">
        <f t="shared" ca="1" si="49"/>
        <v>0</v>
      </c>
      <c r="BN50">
        <f t="shared" ca="1" si="49"/>
        <v>0</v>
      </c>
      <c r="BO50">
        <f t="shared" ca="1" si="49"/>
        <v>0.5</v>
      </c>
      <c r="BP50">
        <f t="shared" ca="1" si="49"/>
        <v>61.4</v>
      </c>
      <c r="BQ50">
        <f t="shared" ca="1" si="49"/>
        <v>161.70000000000002</v>
      </c>
      <c r="BR50">
        <f t="shared" ca="1" si="49"/>
        <v>283.09999999999997</v>
      </c>
      <c r="BS50">
        <f t="shared" ca="1" si="49"/>
        <v>211.00000000000003</v>
      </c>
      <c r="BT50">
        <f t="shared" ca="1" si="49"/>
        <v>79.600000000000009</v>
      </c>
      <c r="BU50">
        <f t="shared" ca="1" si="49"/>
        <v>6.0000000000000018</v>
      </c>
      <c r="BV50">
        <f t="shared" ca="1" si="49"/>
        <v>7.5000000000000018</v>
      </c>
      <c r="BW50">
        <f t="shared" ca="1" si="49"/>
        <v>0</v>
      </c>
      <c r="BY50">
        <f t="shared" si="57"/>
        <v>2020</v>
      </c>
      <c r="BZ50">
        <f t="shared" ca="1" si="50"/>
        <v>0</v>
      </c>
      <c r="CA50">
        <f t="shared" ca="1" si="50"/>
        <v>0</v>
      </c>
      <c r="CB50">
        <f t="shared" ca="1" si="50"/>
        <v>0.90000000000000036</v>
      </c>
      <c r="CC50">
        <f t="shared" ca="1" si="50"/>
        <v>4.5</v>
      </c>
      <c r="CD50">
        <f t="shared" ca="1" si="50"/>
        <v>89.899999999999991</v>
      </c>
      <c r="CE50">
        <f t="shared" ca="1" si="50"/>
        <v>215.10000000000002</v>
      </c>
      <c r="CF50">
        <f t="shared" ca="1" si="50"/>
        <v>345.09999999999997</v>
      </c>
      <c r="CG50">
        <f t="shared" ca="1" si="50"/>
        <v>273.00000000000006</v>
      </c>
      <c r="CH50">
        <f t="shared" ca="1" si="50"/>
        <v>125.00000000000001</v>
      </c>
      <c r="CI50">
        <f t="shared" ca="1" si="50"/>
        <v>18.300000000000004</v>
      </c>
      <c r="CJ50">
        <f t="shared" ca="1" si="50"/>
        <v>18.5</v>
      </c>
      <c r="CK50">
        <f t="shared" ca="1" si="50"/>
        <v>0</v>
      </c>
      <c r="CM50">
        <f t="shared" si="58"/>
        <v>2020</v>
      </c>
      <c r="CN50">
        <f t="shared" ca="1" si="51"/>
        <v>0</v>
      </c>
      <c r="CO50">
        <f t="shared" ca="1" si="51"/>
        <v>0</v>
      </c>
      <c r="CP50">
        <f t="shared" ca="1" si="51"/>
        <v>3.5999999999999996</v>
      </c>
      <c r="CQ50">
        <f t="shared" ca="1" si="51"/>
        <v>10.3</v>
      </c>
      <c r="CR50">
        <f t="shared" ca="1" si="51"/>
        <v>124.00000000000001</v>
      </c>
      <c r="CS50">
        <f t="shared" ca="1" si="51"/>
        <v>274.89999999999998</v>
      </c>
      <c r="CT50">
        <f t="shared" ca="1" si="51"/>
        <v>407.09999999999991</v>
      </c>
      <c r="CU50">
        <f t="shared" ca="1" si="51"/>
        <v>335</v>
      </c>
      <c r="CV50">
        <f t="shared" ca="1" si="51"/>
        <v>181</v>
      </c>
      <c r="CW50">
        <f t="shared" ca="1" si="51"/>
        <v>44.400000000000006</v>
      </c>
      <c r="CX50">
        <f t="shared" ca="1" si="51"/>
        <v>34.800000000000004</v>
      </c>
      <c r="CY50">
        <f t="shared" ca="1" si="51"/>
        <v>0</v>
      </c>
      <c r="DA50">
        <f t="shared" si="59"/>
        <v>2020</v>
      </c>
      <c r="DB50">
        <f t="shared" ca="1" si="52"/>
        <v>0</v>
      </c>
      <c r="DC50">
        <f t="shared" ca="1" si="52"/>
        <v>0</v>
      </c>
      <c r="DD50">
        <f t="shared" ca="1" si="52"/>
        <v>7.6</v>
      </c>
      <c r="DE50">
        <f t="shared" ca="1" si="52"/>
        <v>19.899999999999999</v>
      </c>
      <c r="DF50">
        <f t="shared" ca="1" si="52"/>
        <v>162.19999999999999</v>
      </c>
      <c r="DG50">
        <f t="shared" ca="1" si="52"/>
        <v>334.90000000000003</v>
      </c>
      <c r="DH50">
        <f t="shared" ca="1" si="52"/>
        <v>469.09999999999985</v>
      </c>
      <c r="DI50">
        <f t="shared" ca="1" si="52"/>
        <v>397</v>
      </c>
      <c r="DJ50">
        <f t="shared" ca="1" si="52"/>
        <v>238.00000000000003</v>
      </c>
      <c r="DK50">
        <f t="shared" ca="1" si="52"/>
        <v>79.700000000000017</v>
      </c>
      <c r="DL50">
        <f t="shared" ca="1" si="52"/>
        <v>56.600000000000009</v>
      </c>
      <c r="DM50">
        <f t="shared" ca="1" si="52"/>
        <v>0</v>
      </c>
    </row>
    <row r="51" spans="1:117">
      <c r="A51">
        <v>2003</v>
      </c>
      <c r="B51">
        <v>2</v>
      </c>
      <c r="C51">
        <v>753.30000000000018</v>
      </c>
      <c r="D51">
        <v>0</v>
      </c>
      <c r="E51">
        <v>697.30000000000007</v>
      </c>
      <c r="F51">
        <v>0</v>
      </c>
      <c r="G51">
        <v>641.30000000000007</v>
      </c>
      <c r="H51">
        <v>0</v>
      </c>
      <c r="I51">
        <v>585.30000000000007</v>
      </c>
      <c r="J51">
        <v>0</v>
      </c>
      <c r="K51">
        <v>529.30000000000007</v>
      </c>
      <c r="L51">
        <v>0</v>
      </c>
      <c r="M51">
        <v>473.3</v>
      </c>
      <c r="N51">
        <v>0</v>
      </c>
      <c r="O51">
        <v>417.3</v>
      </c>
      <c r="P51">
        <v>0</v>
      </c>
      <c r="Q51">
        <v>-6.9035714285714267</v>
      </c>
      <c r="U51">
        <f t="shared" si="53"/>
        <v>2021</v>
      </c>
      <c r="V51">
        <f t="shared" ca="1" si="46"/>
        <v>0</v>
      </c>
      <c r="W51">
        <f t="shared" ca="1" si="46"/>
        <v>0</v>
      </c>
      <c r="X51">
        <f t="shared" ca="1" si="46"/>
        <v>0</v>
      </c>
      <c r="Y51">
        <f t="shared" ca="1" si="46"/>
        <v>0</v>
      </c>
      <c r="Z51">
        <f t="shared" ca="1" si="46"/>
        <v>14.100000000000001</v>
      </c>
      <c r="AA51">
        <f t="shared" ca="1" si="46"/>
        <v>61.600000000000009</v>
      </c>
      <c r="AB51">
        <f t="shared" ca="1" si="46"/>
        <v>50.7</v>
      </c>
      <c r="AC51">
        <f t="shared" ca="1" si="46"/>
        <v>79</v>
      </c>
      <c r="AD51">
        <f t="shared" ca="1" si="46"/>
        <v>9.2999999999999936</v>
      </c>
      <c r="AE51">
        <f t="shared" ca="1" si="46"/>
        <v>3.6999999999999993</v>
      </c>
      <c r="AF51">
        <f t="shared" ca="1" si="46"/>
        <v>0</v>
      </c>
      <c r="AG51">
        <f t="shared" ca="1" si="46"/>
        <v>0</v>
      </c>
      <c r="AI51">
        <f t="shared" si="54"/>
        <v>2021</v>
      </c>
      <c r="AJ51">
        <f t="shared" ca="1" si="47"/>
        <v>0</v>
      </c>
      <c r="AK51">
        <f t="shared" ca="1" si="47"/>
        <v>0</v>
      </c>
      <c r="AL51">
        <f t="shared" ca="1" si="47"/>
        <v>0</v>
      </c>
      <c r="AM51">
        <f t="shared" ca="1" si="47"/>
        <v>1.6000000000000014</v>
      </c>
      <c r="AN51">
        <f t="shared" ca="1" si="47"/>
        <v>23.900000000000002</v>
      </c>
      <c r="AO51">
        <f t="shared" ca="1" si="47"/>
        <v>103.10000000000001</v>
      </c>
      <c r="AP51">
        <f t="shared" ca="1" si="47"/>
        <v>95</v>
      </c>
      <c r="AQ51">
        <f t="shared" ca="1" si="47"/>
        <v>131.00000000000003</v>
      </c>
      <c r="AR51">
        <f t="shared" ca="1" si="47"/>
        <v>30.599999999999994</v>
      </c>
      <c r="AS51">
        <f t="shared" ca="1" si="47"/>
        <v>21.5</v>
      </c>
      <c r="AT51">
        <f t="shared" ca="1" si="47"/>
        <v>0</v>
      </c>
      <c r="AU51">
        <f t="shared" ca="1" si="47"/>
        <v>0</v>
      </c>
      <c r="AV51" s="70">
        <f t="shared" ref="AV51:AV52" ca="1" si="61">SUM(AJ51:AU51)</f>
        <v>406.70000000000005</v>
      </c>
      <c r="AW51">
        <f t="shared" si="55"/>
        <v>2021</v>
      </c>
      <c r="AX51">
        <f t="shared" ca="1" si="48"/>
        <v>0</v>
      </c>
      <c r="AY51">
        <f t="shared" ca="1" si="48"/>
        <v>0</v>
      </c>
      <c r="AZ51">
        <f t="shared" ca="1" si="48"/>
        <v>0.19999999999999929</v>
      </c>
      <c r="BA51">
        <f t="shared" ca="1" si="48"/>
        <v>5.6000000000000014</v>
      </c>
      <c r="BB51">
        <f t="shared" ca="1" si="48"/>
        <v>40.6</v>
      </c>
      <c r="BC51">
        <f t="shared" ca="1" si="48"/>
        <v>153.60000000000002</v>
      </c>
      <c r="BD51">
        <f t="shared" ca="1" si="48"/>
        <v>150.49999999999997</v>
      </c>
      <c r="BE51">
        <f t="shared" ca="1" si="48"/>
        <v>189.7</v>
      </c>
      <c r="BF51">
        <f t="shared" ca="1" si="48"/>
        <v>65.5</v>
      </c>
      <c r="BG51">
        <f t="shared" ca="1" si="48"/>
        <v>46.300000000000004</v>
      </c>
      <c r="BH51">
        <f t="shared" ca="1" si="48"/>
        <v>0</v>
      </c>
      <c r="BI51">
        <f t="shared" ca="1" si="48"/>
        <v>0</v>
      </c>
      <c r="BK51">
        <f t="shared" si="56"/>
        <v>2021</v>
      </c>
      <c r="BL51">
        <f t="shared" ca="1" si="49"/>
        <v>0</v>
      </c>
      <c r="BM51">
        <f t="shared" ca="1" si="49"/>
        <v>0</v>
      </c>
      <c r="BN51">
        <f t="shared" ca="1" si="49"/>
        <v>2.1999999999999993</v>
      </c>
      <c r="BO51">
        <f t="shared" ca="1" si="49"/>
        <v>16.100000000000001</v>
      </c>
      <c r="BP51">
        <f t="shared" ca="1" si="49"/>
        <v>64.2</v>
      </c>
      <c r="BQ51">
        <f t="shared" ca="1" si="49"/>
        <v>209.70000000000002</v>
      </c>
      <c r="BR51">
        <f t="shared" ca="1" si="49"/>
        <v>211.3</v>
      </c>
      <c r="BS51">
        <f t="shared" ca="1" si="49"/>
        <v>251.70000000000002</v>
      </c>
      <c r="BT51">
        <f t="shared" ca="1" si="49"/>
        <v>110.5</v>
      </c>
      <c r="BU51">
        <f t="shared" ca="1" si="49"/>
        <v>75.7</v>
      </c>
      <c r="BV51">
        <f t="shared" ca="1" si="49"/>
        <v>0</v>
      </c>
      <c r="BW51">
        <f t="shared" ca="1" si="49"/>
        <v>0</v>
      </c>
      <c r="BY51">
        <f t="shared" si="57"/>
        <v>2021</v>
      </c>
      <c r="BZ51">
        <f t="shared" ca="1" si="50"/>
        <v>0</v>
      </c>
      <c r="CA51">
        <f t="shared" ca="1" si="50"/>
        <v>0</v>
      </c>
      <c r="CB51">
        <f t="shared" ca="1" si="50"/>
        <v>5.7999999999999989</v>
      </c>
      <c r="CC51">
        <f t="shared" ca="1" si="50"/>
        <v>32.400000000000006</v>
      </c>
      <c r="CD51">
        <f t="shared" ca="1" si="50"/>
        <v>94.2</v>
      </c>
      <c r="CE51">
        <f t="shared" ca="1" si="50"/>
        <v>269.7</v>
      </c>
      <c r="CF51">
        <f t="shared" ca="1" si="50"/>
        <v>273.30000000000007</v>
      </c>
      <c r="CG51">
        <f t="shared" ca="1" si="50"/>
        <v>313.7</v>
      </c>
      <c r="CH51">
        <f t="shared" ca="1" si="50"/>
        <v>164.80000000000004</v>
      </c>
      <c r="CI51">
        <f t="shared" ca="1" si="50"/>
        <v>111</v>
      </c>
      <c r="CJ51">
        <f t="shared" ca="1" si="50"/>
        <v>0</v>
      </c>
      <c r="CK51">
        <f t="shared" ca="1" si="50"/>
        <v>0</v>
      </c>
      <c r="CM51">
        <f t="shared" si="58"/>
        <v>2021</v>
      </c>
      <c r="CN51">
        <f t="shared" ca="1" si="51"/>
        <v>0</v>
      </c>
      <c r="CO51">
        <f t="shared" ca="1" si="51"/>
        <v>0</v>
      </c>
      <c r="CP51">
        <f t="shared" ca="1" si="51"/>
        <v>15.899999999999997</v>
      </c>
      <c r="CQ51">
        <f t="shared" ca="1" si="51"/>
        <v>53.2</v>
      </c>
      <c r="CR51">
        <f t="shared" ca="1" si="51"/>
        <v>128.6</v>
      </c>
      <c r="CS51">
        <f t="shared" ca="1" si="51"/>
        <v>329.7</v>
      </c>
      <c r="CT51">
        <f t="shared" ca="1" si="51"/>
        <v>335.30000000000007</v>
      </c>
      <c r="CU51">
        <f t="shared" ca="1" si="51"/>
        <v>375.7</v>
      </c>
      <c r="CV51">
        <f t="shared" ca="1" si="51"/>
        <v>224.80000000000004</v>
      </c>
      <c r="CW51">
        <f t="shared" ca="1" si="51"/>
        <v>152.20000000000002</v>
      </c>
      <c r="CX51">
        <f t="shared" ca="1" si="51"/>
        <v>3</v>
      </c>
      <c r="CY51">
        <f t="shared" ca="1" si="51"/>
        <v>0</v>
      </c>
      <c r="DA51">
        <f t="shared" si="59"/>
        <v>2021</v>
      </c>
      <c r="DB51">
        <f t="shared" ca="1" si="52"/>
        <v>0</v>
      </c>
      <c r="DC51">
        <f t="shared" ca="1" si="52"/>
        <v>0</v>
      </c>
      <c r="DD51">
        <f t="shared" ca="1" si="52"/>
        <v>29.9</v>
      </c>
      <c r="DE51">
        <f t="shared" ca="1" si="52"/>
        <v>78.3</v>
      </c>
      <c r="DF51">
        <f t="shared" ca="1" si="52"/>
        <v>169.29999999999998</v>
      </c>
      <c r="DG51">
        <f t="shared" ca="1" si="52"/>
        <v>389.7</v>
      </c>
      <c r="DH51">
        <f t="shared" ca="1" si="52"/>
        <v>397.30000000000007</v>
      </c>
      <c r="DI51">
        <f t="shared" ca="1" si="52"/>
        <v>437.69999999999993</v>
      </c>
      <c r="DJ51">
        <f t="shared" ca="1" si="52"/>
        <v>284.80000000000007</v>
      </c>
      <c r="DK51">
        <f t="shared" ca="1" si="52"/>
        <v>203.50000000000003</v>
      </c>
      <c r="DL51">
        <f t="shared" ca="1" si="52"/>
        <v>11.9</v>
      </c>
      <c r="DM51">
        <f t="shared" ca="1" si="52"/>
        <v>3.0999999999999996</v>
      </c>
    </row>
    <row r="52" spans="1:117">
      <c r="A52">
        <v>2003</v>
      </c>
      <c r="B52">
        <v>3</v>
      </c>
      <c r="C52">
        <v>651.29999999999984</v>
      </c>
      <c r="D52">
        <v>0</v>
      </c>
      <c r="E52">
        <v>589.29999999999984</v>
      </c>
      <c r="F52">
        <v>0</v>
      </c>
      <c r="G52">
        <v>527.29999999999995</v>
      </c>
      <c r="H52">
        <v>0</v>
      </c>
      <c r="I52">
        <v>465.6</v>
      </c>
      <c r="J52">
        <v>0.30000000000000071</v>
      </c>
      <c r="K52">
        <v>405.6</v>
      </c>
      <c r="L52">
        <v>2.3000000000000007</v>
      </c>
      <c r="M52">
        <v>345.6</v>
      </c>
      <c r="N52">
        <v>4.3000000000000007</v>
      </c>
      <c r="O52">
        <v>288.8</v>
      </c>
      <c r="P52">
        <v>9.5</v>
      </c>
      <c r="Q52">
        <v>-1.009677419354839</v>
      </c>
      <c r="U52">
        <f t="shared" si="53"/>
        <v>2022</v>
      </c>
      <c r="V52">
        <f t="shared" ref="V52:AG52" ca="1" si="62">OFFSET($D$38,(ROW()-32)*12+COLUMN()-22,0)</f>
        <v>0</v>
      </c>
      <c r="W52">
        <f t="shared" ca="1" si="62"/>
        <v>0</v>
      </c>
      <c r="X52">
        <f t="shared" ca="1" si="62"/>
        <v>0</v>
      </c>
      <c r="Y52">
        <f t="shared" ca="1" si="62"/>
        <v>0</v>
      </c>
      <c r="Z52">
        <f t="shared" ca="1" si="62"/>
        <v>15.899999999999999</v>
      </c>
      <c r="AA52">
        <f t="shared" ca="1" si="62"/>
        <v>36</v>
      </c>
      <c r="AB52">
        <f t="shared" ca="1" si="62"/>
        <v>71.999999999999986</v>
      </c>
      <c r="AC52">
        <f t="shared" ca="1" si="62"/>
        <v>56.900000000000013</v>
      </c>
      <c r="AD52">
        <f t="shared" ca="1" si="62"/>
        <v>19</v>
      </c>
      <c r="AE52">
        <f t="shared" ca="1" si="62"/>
        <v>0</v>
      </c>
      <c r="AF52">
        <f t="shared" ca="1" si="62"/>
        <v>0</v>
      </c>
      <c r="AG52">
        <f t="shared" ca="1" si="62"/>
        <v>0</v>
      </c>
      <c r="AI52">
        <f t="shared" si="54"/>
        <v>2022</v>
      </c>
      <c r="AJ52">
        <f t="shared" ref="AJ52:AU52" ca="1" si="63">OFFSET($F$38,(ROW()-32)*12+COLUMN()-36,0)</f>
        <v>0</v>
      </c>
      <c r="AK52">
        <f t="shared" ca="1" si="63"/>
        <v>0</v>
      </c>
      <c r="AL52">
        <f t="shared" ca="1" si="63"/>
        <v>0</v>
      </c>
      <c r="AM52">
        <f t="shared" ca="1" si="63"/>
        <v>1.1000000000000014</v>
      </c>
      <c r="AN52">
        <f t="shared" ca="1" si="63"/>
        <v>34.700000000000003</v>
      </c>
      <c r="AO52">
        <f t="shared" ca="1" si="63"/>
        <v>61.099999999999994</v>
      </c>
      <c r="AP52">
        <f t="shared" ca="1" si="63"/>
        <v>122.99999999999999</v>
      </c>
      <c r="AQ52">
        <f t="shared" ca="1" si="63"/>
        <v>108</v>
      </c>
      <c r="AR52">
        <f t="shared" ca="1" si="63"/>
        <v>45.2</v>
      </c>
      <c r="AS52">
        <f t="shared" ca="1" si="63"/>
        <v>0.10000000000000142</v>
      </c>
      <c r="AT52">
        <f t="shared" ca="1" si="63"/>
        <v>0.89999999999999858</v>
      </c>
      <c r="AU52">
        <f t="shared" ca="1" si="63"/>
        <v>0</v>
      </c>
      <c r="AV52" s="70">
        <f t="shared" ca="1" si="61"/>
        <v>374.09999999999997</v>
      </c>
      <c r="AW52">
        <f t="shared" si="55"/>
        <v>2022</v>
      </c>
      <c r="AX52">
        <f t="shared" ref="AX52:BI52" ca="1" si="64">OFFSET($H$38,(ROW()-32)*12+COLUMN()-50,0)</f>
        <v>0</v>
      </c>
      <c r="AY52">
        <f t="shared" ca="1" si="64"/>
        <v>0</v>
      </c>
      <c r="AZ52">
        <f t="shared" ca="1" si="64"/>
        <v>0</v>
      </c>
      <c r="BA52">
        <f t="shared" ca="1" si="64"/>
        <v>3.1000000000000014</v>
      </c>
      <c r="BB52">
        <f t="shared" ca="1" si="64"/>
        <v>57.3</v>
      </c>
      <c r="BC52">
        <f t="shared" ca="1" si="64"/>
        <v>96.5</v>
      </c>
      <c r="BD52">
        <f t="shared" ca="1" si="64"/>
        <v>183.89999999999995</v>
      </c>
      <c r="BE52">
        <f t="shared" ca="1" si="64"/>
        <v>167.99999999999997</v>
      </c>
      <c r="BF52">
        <f t="shared" ca="1" si="64"/>
        <v>79.700000000000017</v>
      </c>
      <c r="BG52">
        <f t="shared" ca="1" si="64"/>
        <v>7.0000000000000036</v>
      </c>
      <c r="BH52">
        <f t="shared" ca="1" si="64"/>
        <v>2.8999999999999986</v>
      </c>
      <c r="BI52">
        <f t="shared" ca="1" si="64"/>
        <v>0</v>
      </c>
      <c r="BK52">
        <f t="shared" si="56"/>
        <v>2022</v>
      </c>
      <c r="BL52">
        <f t="shared" ref="BL52:BW52" ca="1" si="65">OFFSET($J$38,(ROW()-32)*12+COLUMN()-64,0)</f>
        <v>0</v>
      </c>
      <c r="BM52">
        <f t="shared" ca="1" si="65"/>
        <v>0</v>
      </c>
      <c r="BN52">
        <f t="shared" ca="1" si="65"/>
        <v>0</v>
      </c>
      <c r="BO52">
        <f t="shared" ca="1" si="65"/>
        <v>8.5000000000000018</v>
      </c>
      <c r="BP52">
        <f t="shared" ca="1" si="65"/>
        <v>85.200000000000017</v>
      </c>
      <c r="BQ52">
        <f t="shared" ca="1" si="65"/>
        <v>145.69999999999999</v>
      </c>
      <c r="BR52">
        <f t="shared" ca="1" si="65"/>
        <v>245.9</v>
      </c>
      <c r="BS52">
        <f t="shared" ca="1" si="65"/>
        <v>229.99999999999994</v>
      </c>
      <c r="BT52">
        <f t="shared" ca="1" si="65"/>
        <v>121.20000000000002</v>
      </c>
      <c r="BU52">
        <f t="shared" ca="1" si="65"/>
        <v>20.700000000000003</v>
      </c>
      <c r="BV52">
        <f t="shared" ca="1" si="65"/>
        <v>7.5999999999999979</v>
      </c>
      <c r="BW52">
        <f t="shared" ca="1" si="65"/>
        <v>0</v>
      </c>
      <c r="BY52">
        <f t="shared" si="57"/>
        <v>2022</v>
      </c>
      <c r="BZ52">
        <f t="shared" ref="BZ52:CK52" ca="1" si="66">OFFSET($L$38,(ROW()-32)*12+COLUMN()-78,0)</f>
        <v>0</v>
      </c>
      <c r="CA52">
        <f t="shared" ca="1" si="66"/>
        <v>0</v>
      </c>
      <c r="CB52">
        <f t="shared" ca="1" si="66"/>
        <v>9.9999999999999645E-2</v>
      </c>
      <c r="CC52">
        <f t="shared" ca="1" si="66"/>
        <v>15.000000000000002</v>
      </c>
      <c r="CD52">
        <f t="shared" ca="1" si="66"/>
        <v>123.30000000000001</v>
      </c>
      <c r="CE52">
        <f t="shared" ca="1" si="66"/>
        <v>203</v>
      </c>
      <c r="CF52">
        <f t="shared" ca="1" si="66"/>
        <v>307.89999999999998</v>
      </c>
      <c r="CG52">
        <f t="shared" ca="1" si="66"/>
        <v>292</v>
      </c>
      <c r="CH52">
        <f t="shared" ca="1" si="66"/>
        <v>168.20000000000002</v>
      </c>
      <c r="CI52">
        <f t="shared" ca="1" si="66"/>
        <v>38.000000000000007</v>
      </c>
      <c r="CJ52">
        <f t="shared" ca="1" si="66"/>
        <v>15.399999999999997</v>
      </c>
      <c r="CK52">
        <f t="shared" ca="1" si="66"/>
        <v>0</v>
      </c>
      <c r="CM52">
        <f t="shared" si="58"/>
        <v>2022</v>
      </c>
      <c r="CN52">
        <f t="shared" ref="CN52:CY52" ca="1" si="67">OFFSET($N$38,(ROW()-32)*12+COLUMN()-92,0)</f>
        <v>0</v>
      </c>
      <c r="CO52">
        <f t="shared" ca="1" si="67"/>
        <v>0</v>
      </c>
      <c r="CP52">
        <f t="shared" ca="1" si="67"/>
        <v>2.0999999999999996</v>
      </c>
      <c r="CQ52">
        <f t="shared" ca="1" si="67"/>
        <v>27</v>
      </c>
      <c r="CR52">
        <f t="shared" ca="1" si="67"/>
        <v>165.5</v>
      </c>
      <c r="CS52">
        <f t="shared" ca="1" si="67"/>
        <v>262.80000000000007</v>
      </c>
      <c r="CT52">
        <f t="shared" ca="1" si="67"/>
        <v>369.90000000000003</v>
      </c>
      <c r="CU52">
        <f t="shared" ca="1" si="67"/>
        <v>354.00000000000006</v>
      </c>
      <c r="CV52">
        <f t="shared" ca="1" si="67"/>
        <v>224.00000000000003</v>
      </c>
      <c r="CW52">
        <f t="shared" ca="1" si="67"/>
        <v>63.500000000000007</v>
      </c>
      <c r="CX52">
        <f t="shared" ca="1" si="67"/>
        <v>29.599999999999994</v>
      </c>
      <c r="CY52">
        <f t="shared" ca="1" si="67"/>
        <v>0</v>
      </c>
      <c r="DA52">
        <f t="shared" si="59"/>
        <v>2022</v>
      </c>
      <c r="DB52">
        <f t="shared" ref="DB52:DM52" ca="1" si="68">OFFSET($P$38,(ROW()-32)*12+COLUMN()-106,0)</f>
        <v>0</v>
      </c>
      <c r="DC52">
        <f t="shared" ca="1" si="68"/>
        <v>0</v>
      </c>
      <c r="DD52">
        <f t="shared" ca="1" si="68"/>
        <v>5.8000000000000007</v>
      </c>
      <c r="DE52">
        <f t="shared" ca="1" si="68"/>
        <v>43.300000000000004</v>
      </c>
      <c r="DF52">
        <f t="shared" ca="1" si="68"/>
        <v>216.4</v>
      </c>
      <c r="DG52">
        <f t="shared" ca="1" si="68"/>
        <v>322.8</v>
      </c>
      <c r="DH52">
        <f t="shared" ca="1" si="68"/>
        <v>431.9</v>
      </c>
      <c r="DI52">
        <f t="shared" ca="1" si="68"/>
        <v>416.00000000000011</v>
      </c>
      <c r="DJ52">
        <f t="shared" ca="1" si="68"/>
        <v>283.7</v>
      </c>
      <c r="DK52">
        <f t="shared" ca="1" si="68"/>
        <v>98.699999999999989</v>
      </c>
      <c r="DL52">
        <f t="shared" ca="1" si="68"/>
        <v>48.6</v>
      </c>
      <c r="DM52">
        <f t="shared" ca="1" si="68"/>
        <v>1.8000000000000007</v>
      </c>
    </row>
    <row r="53" spans="1:117">
      <c r="A53">
        <v>2003</v>
      </c>
      <c r="B53">
        <v>4</v>
      </c>
      <c r="C53">
        <v>433.69999999999993</v>
      </c>
      <c r="D53">
        <v>0</v>
      </c>
      <c r="E53">
        <v>373.8</v>
      </c>
      <c r="F53">
        <v>0.10000000000000142</v>
      </c>
      <c r="G53">
        <v>316.79999999999995</v>
      </c>
      <c r="H53">
        <v>3.1000000000000014</v>
      </c>
      <c r="I53">
        <v>261.5</v>
      </c>
      <c r="J53">
        <v>7.8000000000000007</v>
      </c>
      <c r="K53">
        <v>208.80000000000004</v>
      </c>
      <c r="L53">
        <v>15.100000000000001</v>
      </c>
      <c r="M53">
        <v>158.30000000000004</v>
      </c>
      <c r="N53">
        <v>24.6</v>
      </c>
      <c r="O53">
        <v>113.7</v>
      </c>
      <c r="P53">
        <v>40</v>
      </c>
      <c r="Q53">
        <v>5.543333333333333</v>
      </c>
      <c r="U53" s="40">
        <f t="shared" si="53"/>
        <v>2023</v>
      </c>
      <c r="V53" s="69">
        <f ca="1">MAX(TREND(V$33:V$52,U$33:U$52,U53),0)</f>
        <v>0</v>
      </c>
      <c r="W53" s="69">
        <f ca="1">MAX(TREND(W$33:W$52,U$33:U$52,U53),0)</f>
        <v>0</v>
      </c>
      <c r="X53" s="69">
        <f ca="1">MAX(TREND(X$33:X$52,U$33:U$52,U53),0)</f>
        <v>2.9473684210526097E-2</v>
      </c>
      <c r="Y53" s="69">
        <f ca="1">MAX(TREND(Y$33:Y$52,U$33:U$52,U53),0)</f>
        <v>0</v>
      </c>
      <c r="Z53" s="69">
        <f ca="1">MAX(TREND(Z$33:Z$52,U$33:U$52,U53),0)</f>
        <v>17.14526315789476</v>
      </c>
      <c r="AA53" s="69">
        <f ca="1">MAX(TREND(AA$33:AA$52,U$33:U$52,U53),0)</f>
        <v>36.475263157894801</v>
      </c>
      <c r="AB53" s="69">
        <f ca="1">MAX(TREND(AB$33:AB$52,U$33:U$52,U53),0)</f>
        <v>77.866315789473902</v>
      </c>
      <c r="AC53" s="69">
        <f ca="1">MAX(TREND(AC$33:AC$52,U$33:U$52,U53),0)</f>
        <v>59.531578947368416</v>
      </c>
      <c r="AD53" s="69">
        <f ca="1">MAX(TREND(AD$33:AD$52,U$33:U$52,U53),0)</f>
        <v>22.186315789473724</v>
      </c>
      <c r="AE53" s="69">
        <f ca="1">MAX(TREND(AE$33:AE$52,U$33:U$52,U53),0)</f>
        <v>1.3731578947368348</v>
      </c>
      <c r="AF53" s="69">
        <f ca="1">MAX(TREND(AF$33:AF$52,U$33:U$52,U53),0)</f>
        <v>0</v>
      </c>
      <c r="AG53" s="69">
        <f ca="1">MAX(TREND(AG$33:AG$52,U$33:U$52,U53),0)</f>
        <v>0</v>
      </c>
      <c r="AI53" s="40">
        <f>AI52+1</f>
        <v>2023</v>
      </c>
      <c r="AJ53" s="69">
        <f ca="1">MAX(TREND(AJ$33:AJ$52,AI$33:AI$52,AI53),0)</f>
        <v>0</v>
      </c>
      <c r="AK53" s="69">
        <f ca="1">MAX(TREND(AK$33:AK$52,AI$33:AI$52,AI53),0)</f>
        <v>0</v>
      </c>
      <c r="AL53" s="69">
        <f ca="1">MAX(TREND(AL$33:AL$52,AI$33:AI$52,AI53),0)</f>
        <v>0.18947368421052602</v>
      </c>
      <c r="AM53" s="69">
        <f ca="1">MAX(TREND(AM$33:AM$52,AI$33:AI$52,AI53),0)</f>
        <v>0.30421052631579215</v>
      </c>
      <c r="AN53" s="69">
        <f ca="1">MAX(TREND(AN$33:AN$52,AI$33:AI$52,AI53),0)</f>
        <v>31.685263157894951</v>
      </c>
      <c r="AO53" s="69">
        <f ca="1">MAX(TREND(AO$33:AO$52,AI$33:AI$52,AI53),0)</f>
        <v>66.126315789473665</v>
      </c>
      <c r="AP53" s="69">
        <f ca="1">MAX(TREND(AP$33:AP$52,AI$33:AI$52,AI53),0)</f>
        <v>130.30263157894751</v>
      </c>
      <c r="AQ53" s="69">
        <f ca="1">MAX(TREND(AQ$33:AQ$52,AI$33:AI$52,AI53),0)</f>
        <v>110.02684210526331</v>
      </c>
      <c r="AR53" s="69">
        <f ca="1">MAX(TREND(AR$33:AR$52,AI$33:AI$52,AI53),0)</f>
        <v>45.146842105262976</v>
      </c>
      <c r="AS53" s="69">
        <f ca="1">MAX(TREND(AS$33:AS$52,AI$33:AI$52,AI53),0)</f>
        <v>6.8989473684210623</v>
      </c>
      <c r="AT53" s="69">
        <f ca="1">MAX(TREND(AT$33:AT$52,AI$33:AI$52,AI53),0)</f>
        <v>0.31473684210526187</v>
      </c>
      <c r="AU53" s="69">
        <f ca="1">MAX(TREND(AU$33:AU$52,AI$33:AI$52,AI53),0)</f>
        <v>0</v>
      </c>
      <c r="AV53" s="70">
        <f t="shared" ca="1" si="60"/>
        <v>390.99526315789512</v>
      </c>
      <c r="AW53" s="40">
        <f>AW52+1</f>
        <v>2023</v>
      </c>
      <c r="AX53" s="69">
        <f ca="1">MAX(TREND(AX$33:AX$52,AW$33:AW$52,AW53),0)</f>
        <v>0</v>
      </c>
      <c r="AY53" s="69">
        <f ca="1">MAX(TREND(AY$33:AY$52,AW$33:AW$52,AW53),0)</f>
        <v>0</v>
      </c>
      <c r="AZ53" s="69">
        <f ca="1">MAX(TREND(AZ$33:AZ$52,AW$33:AW$52,AW53),0)</f>
        <v>0.57842105263157961</v>
      </c>
      <c r="BA53" s="69">
        <f ca="1">MAX(TREND(BA$33:BA$52,AW$33:AW$52,AW53),0)</f>
        <v>1.3889473684210429</v>
      </c>
      <c r="BB53" s="69">
        <f ca="1">MAX(TREND(BB$33:BB$52,AW$33:AW$52,AW53),0)</f>
        <v>52.065789473684617</v>
      </c>
      <c r="BC53" s="69">
        <f ca="1">MAX(TREND(BC$33:BC$52,AW$33:AW$52,AW53),0)</f>
        <v>106.52421052631576</v>
      </c>
      <c r="BD53" s="69">
        <f ca="1">MAX(TREND(BD$33:BD$52,AW$33:AW$52,AW53),0)</f>
        <v>189.76052631578978</v>
      </c>
      <c r="BE53" s="69">
        <f ca="1">MAX(TREND(BE$33:BE$52,AW$33:AW$52,AW53),0)</f>
        <v>169.11894736842078</v>
      </c>
      <c r="BF53" s="69">
        <f ca="1">MAX(TREND(BF$33:BF$52,AW$33:AW$52,AW53),0)</f>
        <v>77.220526315789357</v>
      </c>
      <c r="BG53" s="69">
        <f ca="1">MAX(TREND(BG$33:BG$52,AW$33:AW$52,AW53),0)</f>
        <v>16.868947368421004</v>
      </c>
      <c r="BH53" s="69">
        <f ca="1">MAX(TREND(BH$33:BH$52,AW$33:AW$52,AW53),0)</f>
        <v>1.2689473684210384</v>
      </c>
      <c r="BI53" s="69">
        <f ca="1">MAX(TREND(BI$33:BI$52,AW$33:AW$52,AW53),0)</f>
        <v>0</v>
      </c>
      <c r="BK53" s="40">
        <f>BK52+1</f>
        <v>2023</v>
      </c>
      <c r="BL53" s="69">
        <f ca="1">MAX(TREND(BL$33:BL$52,BK$33:BK$52,BK53),0)</f>
        <v>0</v>
      </c>
      <c r="BM53" s="69">
        <f ca="1">MAX(TREND(BM$33:BM$52,BK$33:BK$52,BK53),0)</f>
        <v>0</v>
      </c>
      <c r="BN53" s="69">
        <f ca="1">MAX(TREND(BN$33:BN$52,BK$33:BK$52,BK53),0)</f>
        <v>1.6810526315789467</v>
      </c>
      <c r="BO53" s="69">
        <f ca="1">MAX(TREND(BO$33:BO$52,BK$33:BK$52,BK53),0)</f>
        <v>4.1036842105263531</v>
      </c>
      <c r="BP53" s="69">
        <f ca="1">MAX(TREND(BP$33:BP$52,BK$33:BK$52,BK53),0)</f>
        <v>79.887368421052088</v>
      </c>
      <c r="BQ53" s="69">
        <f ca="1">MAX(TREND(BQ$33:BQ$52,BK$33:BK$52,BK53),0)</f>
        <v>158.01526315789488</v>
      </c>
      <c r="BR53" s="69">
        <f ca="1">MAX(TREND(BR$33:BR$52,BK$33:BK$52,BK53),0)</f>
        <v>251.24368421052668</v>
      </c>
      <c r="BS53" s="69">
        <f ca="1">MAX(TREND(BS$33:BS$52,BK$33:BK$52,BK53),0)</f>
        <v>230.96736842105202</v>
      </c>
      <c r="BT53" s="69">
        <f ca="1">MAX(TREND(BT$33:BT$52,BK$33:BK$52,BK53),0)</f>
        <v>117.73210526315779</v>
      </c>
      <c r="BU53" s="69">
        <f ca="1">MAX(TREND(BU$33:BU$52,BK$33:BK$52,BK53),0)</f>
        <v>33.599999999999909</v>
      </c>
      <c r="BV53" s="69">
        <f ca="1">MAX(TREND(BV$33:BV$52,BK$33:BK$52,BK53),0)</f>
        <v>3.6457894736842036</v>
      </c>
      <c r="BW53" s="69">
        <f ca="1">MAX(TREND(BW$33:BW$52,BK$33:BK$52,BK53),0)</f>
        <v>0</v>
      </c>
      <c r="BY53" s="40">
        <f>BY52+1</f>
        <v>2023</v>
      </c>
      <c r="BZ53" s="69">
        <f ca="1">MAX(TREND(BZ$33:BZ$52,BY$33:BY$52,BY53),0)</f>
        <v>0</v>
      </c>
      <c r="CA53" s="69">
        <f ca="1">MAX(TREND(CA$33:CA$52,BY$33:BY$52,BY53),0)</f>
        <v>0</v>
      </c>
      <c r="CB53" s="69">
        <f ca="1">MAX(TREND(CB$33:CB$52,BY$33:BY$52,BY53),0)</f>
        <v>3.3263157894736857</v>
      </c>
      <c r="CC53" s="69">
        <f ca="1">MAX(TREND(CC$33:CC$52,BY$33:BY$52,BY53),0)</f>
        <v>10.738947368421123</v>
      </c>
      <c r="CD53" s="69">
        <f ca="1">MAX(TREND(CD$33:CD$52,BY$33:BY$52,BY53),0)</f>
        <v>114.70631578947359</v>
      </c>
      <c r="CE53" s="69">
        <f ca="1">MAX(TREND(CE$33:CE$52,BY$33:BY$52,BY53),0)</f>
        <v>215.04842105263151</v>
      </c>
      <c r="CF53" s="69">
        <f ca="1">MAX(TREND(CF$33:CF$52,BY$33:BY$52,BY53),0)</f>
        <v>313.24368421052668</v>
      </c>
      <c r="CG53" s="69">
        <f ca="1">MAX(TREND(CG$33:CG$52,BY$33:BY$52,BY53),0)</f>
        <v>292.87684210526322</v>
      </c>
      <c r="CH53" s="69">
        <f ca="1">MAX(TREND(CH$33:CH$52,BY$33:BY$52,BY53),0)</f>
        <v>168.05526315789473</v>
      </c>
      <c r="CI53" s="69">
        <f ca="1">MAX(TREND(CI$33:CI$52,BY$33:BY$52,BY53),0)</f>
        <v>57.848421052631693</v>
      </c>
      <c r="CJ53" s="69">
        <f ca="1">MAX(TREND(CJ$33:CJ$52,BY$33:BY$52,BY53),0)</f>
        <v>7.9547368421052624</v>
      </c>
      <c r="CK53" s="69">
        <f ca="1">MAX(TREND(CK$33:CK$52,BY$33:BY$52,BY53),0)</f>
        <v>0</v>
      </c>
      <c r="CM53" s="40">
        <f>CM52+1</f>
        <v>2023</v>
      </c>
      <c r="CN53" s="69">
        <f ca="1">MAX(TREND(CN$33:CN$52,CM$33:CM$52,CM53),0)</f>
        <v>0</v>
      </c>
      <c r="CO53" s="69">
        <f ca="1">MAX(TREND(CO$33:CO$52,CM$33:CM$52,CM53),0)</f>
        <v>0.40210526315789252</v>
      </c>
      <c r="CP53" s="69">
        <f ca="1">MAX(TREND(CP$33:CP$52,CM$33:CM$52,CM53),0)</f>
        <v>7.1936842105262997</v>
      </c>
      <c r="CQ53" s="69">
        <f ca="1">MAX(TREND(CQ$33:CQ$52,CM$33:CM$52,CM53),0)</f>
        <v>21.518421052631766</v>
      </c>
      <c r="CR53" s="69">
        <f ca="1">MAX(TREND(CR$33:CR$52,CM$33:CM$52,CM53),0)</f>
        <v>155.56578947368416</v>
      </c>
      <c r="CS53" s="69">
        <f ca="1">MAX(TREND(CS$33:CS$52,CM$33:CM$52,CM53),0)</f>
        <v>274.49631578947401</v>
      </c>
      <c r="CT53" s="69">
        <f ca="1">MAX(TREND(CT$33:CT$52,CM$33:CM$52,CM53),0)</f>
        <v>375.24368421052668</v>
      </c>
      <c r="CU53" s="69">
        <f ca="1">MAX(TREND(CU$33:CU$52,CM$33:CM$52,CM53),0)</f>
        <v>354.87684210526322</v>
      </c>
      <c r="CV53" s="69">
        <f ca="1">MAX(TREND(CV$33:CV$52,CM$33:CM$52,CM53),0)</f>
        <v>225.2836842105263</v>
      </c>
      <c r="CW53" s="69">
        <f ca="1">MAX(TREND(CW$33:CW$52,CM$33:CM$52,CM53),0)</f>
        <v>90.546315789473738</v>
      </c>
      <c r="CX53" s="69">
        <f ca="1">MAX(TREND(CX$33:CX$52,CM$33:CM$52,CM53),0)</f>
        <v>14.756315789473774</v>
      </c>
      <c r="CY53" s="69">
        <f ca="1">MAX(TREND(CY$33:CY$52,CM$33:CM$52,CM53),0)</f>
        <v>0.26368421052631419</v>
      </c>
      <c r="DA53" s="40">
        <f>DA52+1</f>
        <v>2023</v>
      </c>
      <c r="DB53" s="69">
        <f ca="1">MAX(TREND(DB$33:DB$52,DA$33:DA$52,DA53),0)</f>
        <v>0</v>
      </c>
      <c r="DC53" s="69">
        <f ca="1">MAX(TREND(DC$33:DC$52,DA$33:DA$52,DA53),0)</f>
        <v>1.7631578947368212</v>
      </c>
      <c r="DD53" s="69">
        <f ca="1">MAX(TREND(DD$33:DD$52,DA$33:DA$52,DA53),0)</f>
        <v>13.063157894736847</v>
      </c>
      <c r="DE53" s="69">
        <f ca="1">MAX(TREND(DE$33:DE$52,DA$33:DA$52,DA53),0)</f>
        <v>38.479473684210461</v>
      </c>
      <c r="DF53" s="69">
        <f ca="1">MAX(TREND(DF$33:DF$52,DA$33:DA$52,DA53),0)</f>
        <v>202.78736842105172</v>
      </c>
      <c r="DG53" s="69">
        <f ca="1">MAX(TREND(DG$33:DG$52,DA$33:DA$52,DA53),0)</f>
        <v>334.50842105263155</v>
      </c>
      <c r="DH53" s="69">
        <f ca="1">MAX(TREND(DH$33:DH$52,DA$33:DA$52,DA53),0)</f>
        <v>437.24368421052668</v>
      </c>
      <c r="DI53" s="69">
        <f ca="1">MAX(TREND(DI$33:DI$52,DA$33:DA$52,DA53),0)</f>
        <v>416.87684210526322</v>
      </c>
      <c r="DJ53" s="69">
        <f ca="1">MAX(TREND(DJ$33:DJ$52,DA$33:DA$52,DA53),0)</f>
        <v>285.12526315789478</v>
      </c>
      <c r="DK53" s="69">
        <f ca="1">MAX(TREND(DK$33:DK$52,DA$33:DA$52,DA53),0)</f>
        <v>130.52894736842109</v>
      </c>
      <c r="DL53" s="69">
        <f ca="1">MAX(TREND(DL$33:DL$52,DA$33:DA$52,DA53),0)</f>
        <v>25.96526315789481</v>
      </c>
      <c r="DM53" s="69">
        <f ca="1">MAX(TREND(DM$33:DM$52,DA$33:DA$52,DA53),0)</f>
        <v>2.1726315789473745</v>
      </c>
    </row>
    <row r="54" spans="1:117">
      <c r="A54">
        <v>2003</v>
      </c>
      <c r="B54">
        <v>5</v>
      </c>
      <c r="C54">
        <v>291.09999999999991</v>
      </c>
      <c r="D54">
        <v>0</v>
      </c>
      <c r="E54">
        <v>229.09999999999994</v>
      </c>
      <c r="F54">
        <v>0</v>
      </c>
      <c r="G54">
        <v>168.5</v>
      </c>
      <c r="H54">
        <v>1.3999999999999986</v>
      </c>
      <c r="I54">
        <v>111.00000000000001</v>
      </c>
      <c r="J54">
        <v>5.8999999999999986</v>
      </c>
      <c r="K54">
        <v>62.600000000000009</v>
      </c>
      <c r="L54">
        <v>19.5</v>
      </c>
      <c r="M54">
        <v>28.099999999999998</v>
      </c>
      <c r="N54">
        <v>47.000000000000007</v>
      </c>
      <c r="O54">
        <v>8</v>
      </c>
      <c r="P54">
        <v>88.899999999999977</v>
      </c>
      <c r="Q54">
        <v>10.609677419354844</v>
      </c>
      <c r="AV54" s="70"/>
    </row>
    <row r="55" spans="1:117">
      <c r="A55">
        <v>2003</v>
      </c>
      <c r="B55">
        <v>6</v>
      </c>
      <c r="C55">
        <v>113.00000000000001</v>
      </c>
      <c r="D55">
        <v>16.2</v>
      </c>
      <c r="E55">
        <v>71.599999999999994</v>
      </c>
      <c r="F55">
        <v>34.799999999999997</v>
      </c>
      <c r="G55">
        <v>36.799999999999997</v>
      </c>
      <c r="H55">
        <v>60</v>
      </c>
      <c r="I55">
        <v>14.399999999999999</v>
      </c>
      <c r="J55">
        <v>97.600000000000009</v>
      </c>
      <c r="K55">
        <v>3</v>
      </c>
      <c r="L55">
        <v>146.20000000000002</v>
      </c>
      <c r="M55">
        <v>0.5</v>
      </c>
      <c r="N55">
        <v>203.7</v>
      </c>
      <c r="O55">
        <v>0</v>
      </c>
      <c r="P55">
        <v>263.19999999999993</v>
      </c>
      <c r="Q55">
        <v>16.77333333333333</v>
      </c>
      <c r="U55" s="10" t="s">
        <v>42</v>
      </c>
      <c r="V55">
        <f ca="1">AVERAGE(V43:V52)</f>
        <v>0</v>
      </c>
      <c r="W55">
        <f t="shared" ref="W55:AG55" ca="1" si="69">AVERAGE(W43:W52)</f>
        <v>0</v>
      </c>
      <c r="X55">
        <f t="shared" ca="1" si="69"/>
        <v>0</v>
      </c>
      <c r="Y55">
        <f t="shared" ca="1" si="69"/>
        <v>0</v>
      </c>
      <c r="Z55">
        <f t="shared" ca="1" si="69"/>
        <v>13.680000000000001</v>
      </c>
      <c r="AA55">
        <f t="shared" ca="1" si="69"/>
        <v>32.260000000000005</v>
      </c>
      <c r="AB55">
        <f t="shared" ca="1" si="69"/>
        <v>66.56</v>
      </c>
      <c r="AC55">
        <f t="shared" ca="1" si="69"/>
        <v>53.11999999999999</v>
      </c>
      <c r="AD55">
        <f t="shared" ca="1" si="69"/>
        <v>21.93</v>
      </c>
      <c r="AE55">
        <f t="shared" ca="1" si="69"/>
        <v>1.9899999999999998</v>
      </c>
      <c r="AF55">
        <f t="shared" ca="1" si="69"/>
        <v>0</v>
      </c>
      <c r="AG55">
        <f t="shared" ca="1" si="69"/>
        <v>0</v>
      </c>
      <c r="AI55" s="10" t="s">
        <v>42</v>
      </c>
      <c r="AJ55">
        <f ca="1">AVERAGE(AJ43:AJ52)</f>
        <v>0</v>
      </c>
      <c r="AK55">
        <f t="shared" ref="AK55:AU55" ca="1" si="70">AVERAGE(AK43:AK52)</f>
        <v>0</v>
      </c>
      <c r="AL55">
        <f t="shared" ca="1" si="70"/>
        <v>0</v>
      </c>
      <c r="AM55">
        <f t="shared" ca="1" si="70"/>
        <v>0.2700000000000003</v>
      </c>
      <c r="AN55">
        <f t="shared" ca="1" si="70"/>
        <v>25.330000000000002</v>
      </c>
      <c r="AO55">
        <f t="shared" ca="1" si="70"/>
        <v>59.5</v>
      </c>
      <c r="AP55">
        <f t="shared" ca="1" si="70"/>
        <v>115.08999999999999</v>
      </c>
      <c r="AQ55">
        <f t="shared" ca="1" si="70"/>
        <v>99.429999999999993</v>
      </c>
      <c r="AR55">
        <f t="shared" ca="1" si="70"/>
        <v>43.93</v>
      </c>
      <c r="AS55">
        <f t="shared" ca="1" si="70"/>
        <v>6.6199999999999992</v>
      </c>
      <c r="AT55">
        <f t="shared" ca="1" si="70"/>
        <v>0.16999999999999993</v>
      </c>
      <c r="AU55">
        <f t="shared" ca="1" si="70"/>
        <v>0</v>
      </c>
      <c r="AV55" s="70">
        <f t="shared" ca="1" si="60"/>
        <v>350.34000000000003</v>
      </c>
      <c r="AW55" s="10" t="s">
        <v>42</v>
      </c>
      <c r="AX55">
        <f ca="1">AVERAGE(AX43:AX52)</f>
        <v>0</v>
      </c>
      <c r="AY55">
        <f t="shared" ref="AY55:BI55" ca="1" si="71">AVERAGE(AY43:AY52)</f>
        <v>0</v>
      </c>
      <c r="AZ55">
        <f t="shared" ca="1" si="71"/>
        <v>1.9999999999999928E-2</v>
      </c>
      <c r="BA55">
        <f t="shared" ca="1" si="71"/>
        <v>1.3500000000000003</v>
      </c>
      <c r="BB55">
        <f t="shared" ca="1" si="71"/>
        <v>42.72</v>
      </c>
      <c r="BC55">
        <f t="shared" ca="1" si="71"/>
        <v>97.63000000000001</v>
      </c>
      <c r="BD55">
        <f t="shared" ca="1" si="71"/>
        <v>172.46999999999997</v>
      </c>
      <c r="BE55">
        <f t="shared" ca="1" si="71"/>
        <v>155.49999999999997</v>
      </c>
      <c r="BF55">
        <f t="shared" ca="1" si="71"/>
        <v>76.13</v>
      </c>
      <c r="BG55">
        <f t="shared" ca="1" si="71"/>
        <v>15.330000000000002</v>
      </c>
      <c r="BH55">
        <f t="shared" ca="1" si="71"/>
        <v>0.76000000000000012</v>
      </c>
      <c r="BI55">
        <f t="shared" ca="1" si="71"/>
        <v>0</v>
      </c>
      <c r="BK55" s="10" t="s">
        <v>42</v>
      </c>
      <c r="BL55">
        <f ca="1">AVERAGE(BL43:BL52)</f>
        <v>0</v>
      </c>
      <c r="BM55">
        <f t="shared" ref="BM55:BW55" ca="1" si="72">AVERAGE(BM43:BM52)</f>
        <v>0</v>
      </c>
      <c r="BN55">
        <f t="shared" ca="1" si="72"/>
        <v>0.4</v>
      </c>
      <c r="BO55">
        <f t="shared" ca="1" si="72"/>
        <v>4.42</v>
      </c>
      <c r="BP55">
        <f t="shared" ca="1" si="72"/>
        <v>67.150000000000006</v>
      </c>
      <c r="BQ55">
        <f t="shared" ca="1" si="72"/>
        <v>147.19</v>
      </c>
      <c r="BR55">
        <f t="shared" ca="1" si="72"/>
        <v>233.7</v>
      </c>
      <c r="BS55">
        <f t="shared" ca="1" si="72"/>
        <v>216.65999999999994</v>
      </c>
      <c r="BT55">
        <f t="shared" ca="1" si="72"/>
        <v>118.32000000000001</v>
      </c>
      <c r="BU55">
        <f t="shared" ca="1" si="72"/>
        <v>30.32</v>
      </c>
      <c r="BV55">
        <f t="shared" ca="1" si="72"/>
        <v>2.54</v>
      </c>
      <c r="BW55">
        <f t="shared" ca="1" si="72"/>
        <v>0</v>
      </c>
      <c r="BY55" s="10" t="s">
        <v>42</v>
      </c>
      <c r="BZ55">
        <f ca="1">AVERAGE(BZ43:BZ52)</f>
        <v>0</v>
      </c>
      <c r="CA55">
        <f t="shared" ref="CA55:CK55" ca="1" si="73">AVERAGE(CA43:CA52)</f>
        <v>0</v>
      </c>
      <c r="CB55">
        <f t="shared" ca="1" si="73"/>
        <v>1.3900000000000001</v>
      </c>
      <c r="CC55">
        <f t="shared" ca="1" si="73"/>
        <v>11.420000000000002</v>
      </c>
      <c r="CD55">
        <f t="shared" ca="1" si="73"/>
        <v>99.059999999999988</v>
      </c>
      <c r="CE55">
        <f t="shared" ca="1" si="73"/>
        <v>202.99000000000004</v>
      </c>
      <c r="CF55">
        <f t="shared" ca="1" si="73"/>
        <v>295.70000000000005</v>
      </c>
      <c r="CG55">
        <f t="shared" ca="1" si="73"/>
        <v>278.58</v>
      </c>
      <c r="CH55">
        <f t="shared" ca="1" si="73"/>
        <v>169.27</v>
      </c>
      <c r="CI55">
        <f t="shared" ca="1" si="73"/>
        <v>52.739999999999995</v>
      </c>
      <c r="CJ55">
        <f t="shared" ca="1" si="73"/>
        <v>6.13</v>
      </c>
      <c r="CK55">
        <f t="shared" ca="1" si="73"/>
        <v>0</v>
      </c>
      <c r="CM55" s="10" t="s">
        <v>42</v>
      </c>
      <c r="CN55">
        <f ca="1">AVERAGE(CN43:CN52)</f>
        <v>0</v>
      </c>
      <c r="CO55">
        <f t="shared" ref="CO55:CY55" ca="1" si="74">AVERAGE(CO43:CO52)</f>
        <v>0.30999999999999994</v>
      </c>
      <c r="CP55">
        <f t="shared" ca="1" si="74"/>
        <v>3.9800000000000004</v>
      </c>
      <c r="CQ55">
        <f t="shared" ca="1" si="74"/>
        <v>22.47</v>
      </c>
      <c r="CR55">
        <f t="shared" ca="1" si="74"/>
        <v>138.15</v>
      </c>
      <c r="CS55">
        <f t="shared" ca="1" si="74"/>
        <v>262.08000000000004</v>
      </c>
      <c r="CT55">
        <f t="shared" ca="1" si="74"/>
        <v>357.7</v>
      </c>
      <c r="CU55">
        <f t="shared" ca="1" si="74"/>
        <v>340.58</v>
      </c>
      <c r="CV55">
        <f t="shared" ca="1" si="74"/>
        <v>226.39000000000001</v>
      </c>
      <c r="CW55">
        <f t="shared" ca="1" si="74"/>
        <v>83.43</v>
      </c>
      <c r="CX55">
        <f t="shared" ca="1" si="74"/>
        <v>12.45</v>
      </c>
      <c r="CY55">
        <f t="shared" ca="1" si="74"/>
        <v>0.29000000000000004</v>
      </c>
      <c r="DA55" s="10" t="s">
        <v>42</v>
      </c>
      <c r="DB55">
        <f ca="1">AVERAGE(DB43:DB52)</f>
        <v>0.2</v>
      </c>
      <c r="DC55">
        <f t="shared" ref="DC55:DM55" ca="1" si="75">AVERAGE(DC43:DC52)</f>
        <v>1.42</v>
      </c>
      <c r="DD55">
        <f t="shared" ca="1" si="75"/>
        <v>8.2499999999999982</v>
      </c>
      <c r="DE55">
        <f t="shared" ca="1" si="75"/>
        <v>39.879999999999995</v>
      </c>
      <c r="DF55">
        <f t="shared" ca="1" si="75"/>
        <v>185.01</v>
      </c>
      <c r="DG55">
        <f t="shared" ca="1" si="75"/>
        <v>322.03000000000003</v>
      </c>
      <c r="DH55">
        <f t="shared" ca="1" si="75"/>
        <v>419.7</v>
      </c>
      <c r="DI55">
        <f t="shared" ca="1" si="75"/>
        <v>402.58</v>
      </c>
      <c r="DJ55">
        <f t="shared" ca="1" si="75"/>
        <v>286.05</v>
      </c>
      <c r="DK55">
        <f t="shared" ca="1" si="75"/>
        <v>122.42999999999999</v>
      </c>
      <c r="DL55">
        <f t="shared" ca="1" si="75"/>
        <v>24.330000000000002</v>
      </c>
      <c r="DM55">
        <f t="shared" ca="1" si="75"/>
        <v>1.65</v>
      </c>
    </row>
    <row r="56" spans="1:117">
      <c r="A56">
        <v>2003</v>
      </c>
      <c r="B56">
        <v>7</v>
      </c>
      <c r="C56">
        <v>23.900000000000002</v>
      </c>
      <c r="D56">
        <v>43.000000000000014</v>
      </c>
      <c r="E56">
        <v>4</v>
      </c>
      <c r="F56">
        <v>85.100000000000009</v>
      </c>
      <c r="G56">
        <v>0</v>
      </c>
      <c r="H56">
        <v>143.09999999999997</v>
      </c>
      <c r="I56">
        <v>0</v>
      </c>
      <c r="J56">
        <v>205.1</v>
      </c>
      <c r="K56">
        <v>0</v>
      </c>
      <c r="L56">
        <v>267.10000000000002</v>
      </c>
      <c r="M56">
        <v>0</v>
      </c>
      <c r="N56">
        <v>329.09999999999997</v>
      </c>
      <c r="O56">
        <v>0</v>
      </c>
      <c r="P56">
        <v>391.09999999999991</v>
      </c>
      <c r="Q56">
        <v>20.616129032258069</v>
      </c>
    </row>
    <row r="57" spans="1:117">
      <c r="A57">
        <v>2003</v>
      </c>
      <c r="B57">
        <v>8</v>
      </c>
      <c r="C57">
        <v>19.900000000000006</v>
      </c>
      <c r="D57">
        <v>48.1</v>
      </c>
      <c r="E57">
        <v>6.0000000000000036</v>
      </c>
      <c r="F57">
        <v>96.199999999999989</v>
      </c>
      <c r="G57">
        <v>1</v>
      </c>
      <c r="H57">
        <v>153.19999999999999</v>
      </c>
      <c r="I57">
        <v>0</v>
      </c>
      <c r="J57">
        <v>214.2</v>
      </c>
      <c r="K57">
        <v>0</v>
      </c>
      <c r="L57">
        <v>276.2</v>
      </c>
      <c r="M57">
        <v>0</v>
      </c>
      <c r="N57">
        <v>338.2</v>
      </c>
      <c r="O57">
        <v>0</v>
      </c>
      <c r="P57">
        <v>400.2</v>
      </c>
      <c r="Q57">
        <v>20.909677419354839</v>
      </c>
    </row>
    <row r="58" spans="1:117">
      <c r="A58">
        <v>2003</v>
      </c>
      <c r="B58">
        <v>9</v>
      </c>
      <c r="C58">
        <v>114.4</v>
      </c>
      <c r="D58">
        <v>8.6000000000000014</v>
      </c>
      <c r="E58">
        <v>67.599999999999994</v>
      </c>
      <c r="F58">
        <v>21.8</v>
      </c>
      <c r="G58">
        <v>37.5</v>
      </c>
      <c r="H58">
        <v>51.7</v>
      </c>
      <c r="I58">
        <v>21.4</v>
      </c>
      <c r="J58">
        <v>95.6</v>
      </c>
      <c r="K58">
        <v>10.7</v>
      </c>
      <c r="L58">
        <v>144.9</v>
      </c>
      <c r="M58">
        <v>4.6000000000000005</v>
      </c>
      <c r="N58">
        <v>198.8</v>
      </c>
      <c r="O58">
        <v>0.60000000000000053</v>
      </c>
      <c r="P58">
        <v>254.8</v>
      </c>
      <c r="Q58">
        <v>16.473333333333336</v>
      </c>
    </row>
    <row r="59" spans="1:117">
      <c r="A59">
        <v>2003</v>
      </c>
      <c r="B59">
        <v>10</v>
      </c>
      <c r="C59">
        <v>327.39999999999998</v>
      </c>
      <c r="D59">
        <v>0</v>
      </c>
      <c r="E59">
        <v>265.39999999999992</v>
      </c>
      <c r="F59">
        <v>0</v>
      </c>
      <c r="G59">
        <v>208</v>
      </c>
      <c r="H59">
        <v>4.5999999999999979</v>
      </c>
      <c r="I59">
        <v>157.1</v>
      </c>
      <c r="J59">
        <v>15.699999999999998</v>
      </c>
      <c r="K59">
        <v>107.9</v>
      </c>
      <c r="L59">
        <v>28.499999999999996</v>
      </c>
      <c r="M59">
        <v>63.800000000000011</v>
      </c>
      <c r="N59">
        <v>46.399999999999991</v>
      </c>
      <c r="O59">
        <v>30.8</v>
      </c>
      <c r="P59">
        <v>75.399999999999977</v>
      </c>
      <c r="Q59">
        <v>9.4387096774193555</v>
      </c>
      <c r="W59" s="9" t="s">
        <v>41</v>
      </c>
      <c r="AB59" s="9" t="s">
        <v>260</v>
      </c>
      <c r="AK59" s="9" t="s">
        <v>41</v>
      </c>
      <c r="AP59" s="9" t="s">
        <v>260</v>
      </c>
      <c r="AY59" s="9" t="s">
        <v>41</v>
      </c>
      <c r="BD59" s="9" t="s">
        <v>260</v>
      </c>
      <c r="BM59" s="9" t="s">
        <v>41</v>
      </c>
      <c r="BR59" s="9" t="s">
        <v>260</v>
      </c>
      <c r="CA59" s="9" t="s">
        <v>41</v>
      </c>
      <c r="CF59" s="9" t="s">
        <v>260</v>
      </c>
      <c r="CO59" s="9" t="s">
        <v>41</v>
      </c>
      <c r="CT59" s="9" t="s">
        <v>260</v>
      </c>
      <c r="DC59" s="9" t="s">
        <v>41</v>
      </c>
      <c r="DH59" s="9" t="s">
        <v>260</v>
      </c>
    </row>
    <row r="60" spans="1:117">
      <c r="A60">
        <v>2003</v>
      </c>
      <c r="B60">
        <v>11</v>
      </c>
      <c r="C60">
        <v>437.3</v>
      </c>
      <c r="D60">
        <v>0</v>
      </c>
      <c r="E60">
        <v>377.29999999999995</v>
      </c>
      <c r="F60">
        <v>0</v>
      </c>
      <c r="G60">
        <v>317.2999999999999</v>
      </c>
      <c r="H60">
        <v>0</v>
      </c>
      <c r="I60">
        <v>257.29999999999995</v>
      </c>
      <c r="J60">
        <v>0</v>
      </c>
      <c r="K60">
        <v>198.20000000000002</v>
      </c>
      <c r="L60">
        <v>0.90000000000000036</v>
      </c>
      <c r="M60">
        <v>144.9</v>
      </c>
      <c r="N60">
        <v>7.6</v>
      </c>
      <c r="O60">
        <v>99.90000000000002</v>
      </c>
      <c r="P60">
        <v>22.6</v>
      </c>
      <c r="Q60">
        <v>5.4233333333333329</v>
      </c>
      <c r="Y60" s="8" t="str">
        <f>U4</f>
        <v>HDD20</v>
      </c>
      <c r="Z60" s="8" t="str">
        <f>U31</f>
        <v>CDD20</v>
      </c>
      <c r="AD60" t="str">
        <f>U4</f>
        <v>HDD20</v>
      </c>
      <c r="AE60" t="str">
        <f>U31</f>
        <v>CDD20</v>
      </c>
      <c r="AM60" s="8" t="str">
        <f>AI4</f>
        <v>HDD18</v>
      </c>
      <c r="AN60" s="8" t="str">
        <f>AI31</f>
        <v>CDD18</v>
      </c>
      <c r="AR60" t="str">
        <f>AI4</f>
        <v>HDD18</v>
      </c>
      <c r="AS60" t="str">
        <f>AI31</f>
        <v>CDD18</v>
      </c>
      <c r="BA60" s="8" t="str">
        <f>AW4</f>
        <v>HDD16</v>
      </c>
      <c r="BB60" s="8" t="str">
        <f>AW31</f>
        <v>CDD16</v>
      </c>
      <c r="BF60" t="str">
        <f>AW4</f>
        <v>HDD16</v>
      </c>
      <c r="BG60" t="str">
        <f>AW31</f>
        <v>CDD16</v>
      </c>
      <c r="BO60" s="8" t="str">
        <f>BK4</f>
        <v>HDD14</v>
      </c>
      <c r="BP60" s="8" t="str">
        <f>BK31</f>
        <v>CDD14</v>
      </c>
      <c r="BT60" t="str">
        <f>BK4</f>
        <v>HDD14</v>
      </c>
      <c r="BU60" t="str">
        <f>BK31</f>
        <v>CDD14</v>
      </c>
      <c r="CC60" s="8" t="str">
        <f>BY4</f>
        <v>HDD12</v>
      </c>
      <c r="CD60" s="8" t="str">
        <f>BY31</f>
        <v>CDD12</v>
      </c>
      <c r="CH60" t="str">
        <f>BY4</f>
        <v>HDD12</v>
      </c>
      <c r="CI60" t="str">
        <f>BY31</f>
        <v>CDD12</v>
      </c>
      <c r="CQ60" s="8" t="str">
        <f>CM4</f>
        <v>HDD10</v>
      </c>
      <c r="CR60" s="8" t="str">
        <f>CM31</f>
        <v>CDD10</v>
      </c>
      <c r="CV60" t="str">
        <f>CM4</f>
        <v>HDD10</v>
      </c>
      <c r="CW60" t="str">
        <f>CM31</f>
        <v>CDD10</v>
      </c>
      <c r="DE60" s="8" t="str">
        <f>DA4</f>
        <v>HDD8</v>
      </c>
      <c r="DF60" s="8" t="str">
        <f>DA31</f>
        <v>CDD8</v>
      </c>
      <c r="DJ60" t="str">
        <f>DA4</f>
        <v>HDD8</v>
      </c>
      <c r="DK60" t="str">
        <f>DA31</f>
        <v>CDD8</v>
      </c>
    </row>
    <row r="61" spans="1:117">
      <c r="A61">
        <v>2003</v>
      </c>
      <c r="B61">
        <v>12</v>
      </c>
      <c r="C61">
        <v>629.40000000000009</v>
      </c>
      <c r="D61">
        <v>0</v>
      </c>
      <c r="E61">
        <v>567.40000000000009</v>
      </c>
      <c r="F61">
        <v>0</v>
      </c>
      <c r="G61">
        <v>505.40000000000003</v>
      </c>
      <c r="H61">
        <v>0</v>
      </c>
      <c r="I61">
        <v>443.40000000000009</v>
      </c>
      <c r="J61">
        <v>0</v>
      </c>
      <c r="K61">
        <v>381.40000000000003</v>
      </c>
      <c r="L61">
        <v>0</v>
      </c>
      <c r="M61">
        <v>319.40000000000003</v>
      </c>
      <c r="N61">
        <v>0</v>
      </c>
      <c r="O61">
        <v>257.40000000000003</v>
      </c>
      <c r="P61">
        <v>0</v>
      </c>
      <c r="Q61">
        <v>-0.30322580645161273</v>
      </c>
      <c r="W61" t="s">
        <v>29</v>
      </c>
      <c r="X61" t="s">
        <v>40</v>
      </c>
      <c r="Y61" s="7">
        <f ca="1">OFFSET($V$28,0,(ROW()-ROW(Y$61)))</f>
        <v>750.86</v>
      </c>
      <c r="Z61" s="7">
        <f t="shared" ref="Z61:Z72" ca="1" si="76">OFFSET($V$55,0,(ROW()-ROW(Z$61)))</f>
        <v>0</v>
      </c>
      <c r="AB61" t="s">
        <v>29</v>
      </c>
      <c r="AC61" t="s">
        <v>40</v>
      </c>
      <c r="AD61" s="7">
        <f t="shared" ref="AD61:AD72" ca="1" si="77">OFFSET($V$26,0,(ROW()-ROW(AD$61)))</f>
        <v>729.04210526315728</v>
      </c>
      <c r="AE61" s="7">
        <f t="shared" ref="AE61:AE72" ca="1" si="78">OFFSET($V$53,0,(ROW()-ROW(AE$61)))</f>
        <v>0</v>
      </c>
      <c r="AK61" t="s">
        <v>29</v>
      </c>
      <c r="AL61" t="s">
        <v>40</v>
      </c>
      <c r="AM61" s="7">
        <f ca="1">OFFSET($AJ$28,0,(ROW()-ROW(AM$61)))</f>
        <v>688.86</v>
      </c>
      <c r="AN61" s="7">
        <f ca="1">OFFSET($AJ$55,0,(ROW()-ROW(AN$61)))</f>
        <v>0</v>
      </c>
      <c r="AP61" t="s">
        <v>29</v>
      </c>
      <c r="AQ61" t="s">
        <v>40</v>
      </c>
      <c r="AR61" s="7">
        <f ca="1">OFFSET($AJ$26,0,(ROW()-ROW(AR$61)))</f>
        <v>667.04210526315728</v>
      </c>
      <c r="AS61" s="7">
        <f ca="1">OFFSET($AJ$53,0,(ROW()-ROW(AS$61)))</f>
        <v>0</v>
      </c>
      <c r="AY61" t="s">
        <v>29</v>
      </c>
      <c r="AZ61" t="s">
        <v>40</v>
      </c>
      <c r="BA61" s="7">
        <f ca="1">OFFSET($AX$28,0,(ROW()-ROW(BA$61)))</f>
        <v>626.86</v>
      </c>
      <c r="BB61" s="7">
        <f ca="1">OFFSET($AX$55,0,(ROW()-ROW(BB$61)))</f>
        <v>0</v>
      </c>
      <c r="BD61" t="s">
        <v>29</v>
      </c>
      <c r="BE61" t="s">
        <v>40</v>
      </c>
      <c r="BF61" s="7">
        <f ca="1">OFFSET($AX$26,0,(ROW()-ROW(BF$61)))</f>
        <v>605.04210526315819</v>
      </c>
      <c r="BG61" s="7">
        <f ca="1">OFFSET($AX$53,0,(ROW()-ROW(BG$61)))</f>
        <v>0</v>
      </c>
      <c r="BM61" t="s">
        <v>29</v>
      </c>
      <c r="BN61" t="s">
        <v>40</v>
      </c>
      <c r="BO61" s="7">
        <f t="shared" ref="BO61:BO72" ca="1" si="79">OFFSET($BL$28,0,(ROW()-ROW(BO$61)))</f>
        <v>564.86</v>
      </c>
      <c r="BP61" s="7">
        <f t="shared" ref="BP61:BP72" ca="1" si="80">OFFSET($BL$55,0,(ROW()-ROW(BP$61)))</f>
        <v>0</v>
      </c>
      <c r="BR61" t="s">
        <v>29</v>
      </c>
      <c r="BS61" t="s">
        <v>40</v>
      </c>
      <c r="BT61" s="7">
        <f t="shared" ref="BT61:BT72" ca="1" si="81">OFFSET($BL$26,0,(ROW()-ROW(BT$61)))</f>
        <v>543.04210526315819</v>
      </c>
      <c r="BU61" s="7">
        <f t="shared" ref="BU61:BU72" ca="1" si="82">OFFSET($BL$53,0,(ROW()-ROW(BU$61)))</f>
        <v>0</v>
      </c>
      <c r="CA61" t="s">
        <v>29</v>
      </c>
      <c r="CB61" t="s">
        <v>40</v>
      </c>
      <c r="CC61" s="7">
        <f t="shared" ref="CC61:CC72" ca="1" si="83">OFFSET($BZ$28,0,(ROW()-ROW(CC$61)))</f>
        <v>502.86</v>
      </c>
      <c r="CD61" s="7">
        <f t="shared" ref="CD61:CD72" ca="1" si="84">OFFSET($BZ$55,0,(ROW()-ROW(CD$61)))</f>
        <v>0</v>
      </c>
      <c r="CF61" t="s">
        <v>29</v>
      </c>
      <c r="CG61" t="s">
        <v>40</v>
      </c>
      <c r="CH61" s="7">
        <f t="shared" ref="CH61:CH72" ca="1" si="85">OFFSET($BZ$26,0,(ROW()-ROW(CH$61)))</f>
        <v>481.03157894736796</v>
      </c>
      <c r="CI61" s="7">
        <f t="shared" ref="CI61:CI72" ca="1" si="86">OFFSET($BZ$53,0,(ROW()-ROW(CI$61)))</f>
        <v>0</v>
      </c>
      <c r="CO61" t="s">
        <v>29</v>
      </c>
      <c r="CP61" t="s">
        <v>40</v>
      </c>
      <c r="CQ61" s="7">
        <f t="shared" ref="CQ61:CQ72" ca="1" si="87">OFFSET($CN$28,0,(ROW()-ROW(CQ$61)))</f>
        <v>440.86</v>
      </c>
      <c r="CR61" s="7">
        <f t="shared" ref="CR61:CR72" ca="1" si="88">OFFSET($CN$55,0,(ROW()-ROW(CR$61)))</f>
        <v>0</v>
      </c>
      <c r="CT61" t="s">
        <v>29</v>
      </c>
      <c r="CU61" t="s">
        <v>40</v>
      </c>
      <c r="CV61" s="7">
        <f t="shared" ref="CV61:CV72" ca="1" si="89">OFFSET($CN$26,0,(ROW()-ROW(CV$61)))</f>
        <v>418.94736842105249</v>
      </c>
      <c r="CW61" s="7">
        <f t="shared" ref="CW61:CW72" ca="1" si="90">OFFSET($CN$53,0,(ROW()-ROW(CW$61)))</f>
        <v>0</v>
      </c>
      <c r="DC61" t="s">
        <v>29</v>
      </c>
      <c r="DD61" t="s">
        <v>40</v>
      </c>
      <c r="DE61" s="7">
        <f t="shared" ref="DE61:DE72" ca="1" si="91">OFFSET($DB$28,0,(ROW()-ROW(DE$61)))</f>
        <v>379.06000000000006</v>
      </c>
      <c r="DF61" s="7">
        <f t="shared" ref="DF61:DF72" ca="1" si="92">OFFSET($DB$55,0,(ROW()-ROW(DF$61)))</f>
        <v>0.2</v>
      </c>
      <c r="DH61" t="s">
        <v>29</v>
      </c>
      <c r="DI61" t="s">
        <v>40</v>
      </c>
      <c r="DJ61" s="7">
        <f t="shared" ref="DJ61:DJ72" ca="1" si="93">OFFSET($DB$26,0,(ROW()-ROW(DJ$61)))</f>
        <v>356.96947368421024</v>
      </c>
      <c r="DK61" s="7">
        <f t="shared" ref="DK61:DK72" ca="1" si="94">OFFSET($DB$53,0,(ROW()-ROW(DK$61)))</f>
        <v>0</v>
      </c>
    </row>
    <row r="62" spans="1:117">
      <c r="A62">
        <v>2004</v>
      </c>
      <c r="B62">
        <v>1</v>
      </c>
      <c r="C62">
        <v>868.99999999999989</v>
      </c>
      <c r="D62">
        <v>0</v>
      </c>
      <c r="E62">
        <v>807</v>
      </c>
      <c r="F62">
        <v>0</v>
      </c>
      <c r="G62">
        <v>745</v>
      </c>
      <c r="H62">
        <v>0</v>
      </c>
      <c r="I62">
        <v>683</v>
      </c>
      <c r="J62">
        <v>0</v>
      </c>
      <c r="K62">
        <v>620.99999999999989</v>
      </c>
      <c r="L62">
        <v>0</v>
      </c>
      <c r="M62">
        <v>559</v>
      </c>
      <c r="N62">
        <v>0</v>
      </c>
      <c r="O62">
        <v>497</v>
      </c>
      <c r="P62">
        <v>0</v>
      </c>
      <c r="Q62">
        <v>-8.0322580645161299</v>
      </c>
      <c r="W62" t="s">
        <v>29</v>
      </c>
      <c r="X62" t="s">
        <v>39</v>
      </c>
      <c r="Y62" s="7">
        <f t="shared" ref="Y62:Y72" ca="1" si="95">OFFSET($V$28,0,(ROW()-ROW(Y$61)))</f>
        <v>685.63000000000011</v>
      </c>
      <c r="Z62" s="7">
        <f t="shared" ca="1" si="76"/>
        <v>0</v>
      </c>
      <c r="AB62" t="s">
        <v>29</v>
      </c>
      <c r="AC62" t="s">
        <v>39</v>
      </c>
      <c r="AD62" s="7">
        <f t="shared" ca="1" si="77"/>
        <v>657.26789473684312</v>
      </c>
      <c r="AE62" s="7">
        <f t="shared" ca="1" si="78"/>
        <v>0</v>
      </c>
      <c r="AK62" t="s">
        <v>29</v>
      </c>
      <c r="AL62" t="s">
        <v>39</v>
      </c>
      <c r="AM62" s="7">
        <f t="shared" ref="AM62:AM72" ca="1" si="96">OFFSET($AJ$28,0,(ROW()-ROW(AM$61)))</f>
        <v>629.23000000000013</v>
      </c>
      <c r="AN62" s="7">
        <f t="shared" ref="AN62:AN72" ca="1" si="97">OFFSET($AJ$55,0,(ROW()-ROW(AN$61)))</f>
        <v>0</v>
      </c>
      <c r="AP62" t="s">
        <v>29</v>
      </c>
      <c r="AQ62" t="s">
        <v>39</v>
      </c>
      <c r="AR62" s="7">
        <f t="shared" ref="AR62:AR72" ca="1" si="98">OFFSET($AJ$26,0,(ROW()-ROW(AR$61)))</f>
        <v>600.84684210526302</v>
      </c>
      <c r="AS62" s="7">
        <f t="shared" ref="AS62:AS72" ca="1" si="99">OFFSET($AJ$53,0,(ROW()-ROW(AS$61)))</f>
        <v>0</v>
      </c>
      <c r="AY62" t="s">
        <v>29</v>
      </c>
      <c r="AZ62" t="s">
        <v>39</v>
      </c>
      <c r="BA62" s="7">
        <f t="shared" ref="BA62:BA72" ca="1" si="100">OFFSET($AX$28,0,(ROW()-ROW(BA$61)))</f>
        <v>572.83000000000015</v>
      </c>
      <c r="BB62" s="7">
        <f t="shared" ref="BB62:BB72" ca="1" si="101">OFFSET($AX$55,0,(ROW()-ROW(BB$61)))</f>
        <v>0</v>
      </c>
      <c r="BD62" t="s">
        <v>29</v>
      </c>
      <c r="BE62" t="s">
        <v>39</v>
      </c>
      <c r="BF62" s="7">
        <f t="shared" ref="BF62:BF72" ca="1" si="102">OFFSET($AX$26,0,(ROW()-ROW(BF$61)))</f>
        <v>544.42578947368384</v>
      </c>
      <c r="BG62" s="7">
        <f t="shared" ref="BG62:BG72" ca="1" si="103">OFFSET($AX$53,0,(ROW()-ROW(BG$61)))</f>
        <v>0</v>
      </c>
      <c r="BM62" t="s">
        <v>29</v>
      </c>
      <c r="BN62" t="s">
        <v>39</v>
      </c>
      <c r="BO62" s="7">
        <f t="shared" ca="1" si="79"/>
        <v>516.43000000000006</v>
      </c>
      <c r="BP62" s="7">
        <f t="shared" ca="1" si="80"/>
        <v>0</v>
      </c>
      <c r="BR62" t="s">
        <v>29</v>
      </c>
      <c r="BS62" t="s">
        <v>39</v>
      </c>
      <c r="BT62" s="7">
        <f t="shared" ca="1" si="81"/>
        <v>488.00473684210647</v>
      </c>
      <c r="BU62" s="7">
        <f t="shared" ca="1" si="82"/>
        <v>0</v>
      </c>
      <c r="CA62" t="s">
        <v>29</v>
      </c>
      <c r="CB62" t="s">
        <v>39</v>
      </c>
      <c r="CC62" s="7">
        <f t="shared" ca="1" si="83"/>
        <v>460.03000000000009</v>
      </c>
      <c r="CD62" s="7">
        <f t="shared" ca="1" si="84"/>
        <v>0</v>
      </c>
      <c r="CF62" t="s">
        <v>29</v>
      </c>
      <c r="CG62" t="s">
        <v>39</v>
      </c>
      <c r="CH62" s="7">
        <f t="shared" ca="1" si="85"/>
        <v>431.58368421052546</v>
      </c>
      <c r="CI62" s="7">
        <f t="shared" ca="1" si="86"/>
        <v>0</v>
      </c>
      <c r="CO62" t="s">
        <v>29</v>
      </c>
      <c r="CP62" t="s">
        <v>39</v>
      </c>
      <c r="CQ62" s="7">
        <f t="shared" ca="1" si="87"/>
        <v>403.93999999999994</v>
      </c>
      <c r="CR62" s="7">
        <f t="shared" ca="1" si="88"/>
        <v>0.30999999999999994</v>
      </c>
      <c r="CT62" t="s">
        <v>29</v>
      </c>
      <c r="CU62" t="s">
        <v>39</v>
      </c>
      <c r="CV62" s="7">
        <f t="shared" ca="1" si="89"/>
        <v>375.56473684210505</v>
      </c>
      <c r="CW62" s="7">
        <f t="shared" ca="1" si="90"/>
        <v>0.40210526315789252</v>
      </c>
      <c r="DC62" t="s">
        <v>29</v>
      </c>
      <c r="DD62" t="s">
        <v>39</v>
      </c>
      <c r="DE62" s="7">
        <f t="shared" ca="1" si="91"/>
        <v>348.65</v>
      </c>
      <c r="DF62" s="7">
        <f t="shared" ca="1" si="92"/>
        <v>1.42</v>
      </c>
      <c r="DH62" t="s">
        <v>29</v>
      </c>
      <c r="DI62" t="s">
        <v>39</v>
      </c>
      <c r="DJ62" s="7">
        <f t="shared" ca="1" si="93"/>
        <v>320.50473684210556</v>
      </c>
      <c r="DK62" s="7">
        <f t="shared" ca="1" si="94"/>
        <v>1.7631578947368212</v>
      </c>
    </row>
    <row r="63" spans="1:117">
      <c r="A63">
        <v>2004</v>
      </c>
      <c r="B63">
        <v>2</v>
      </c>
      <c r="C63">
        <v>690.3</v>
      </c>
      <c r="D63">
        <v>0</v>
      </c>
      <c r="E63">
        <v>632.29999999999995</v>
      </c>
      <c r="F63">
        <v>0</v>
      </c>
      <c r="G63">
        <v>574.29999999999984</v>
      </c>
      <c r="H63">
        <v>0</v>
      </c>
      <c r="I63">
        <v>516.29999999999995</v>
      </c>
      <c r="J63">
        <v>0</v>
      </c>
      <c r="K63">
        <v>458.2999999999999</v>
      </c>
      <c r="L63">
        <v>0</v>
      </c>
      <c r="M63">
        <v>400.29999999999995</v>
      </c>
      <c r="N63">
        <v>0</v>
      </c>
      <c r="O63">
        <v>342.29999999999995</v>
      </c>
      <c r="P63">
        <v>0</v>
      </c>
      <c r="Q63">
        <v>-3.8034482758620696</v>
      </c>
      <c r="W63" t="s">
        <v>29</v>
      </c>
      <c r="X63" t="s">
        <v>38</v>
      </c>
      <c r="Y63" s="7">
        <f t="shared" ca="1" si="95"/>
        <v>597.92000000000007</v>
      </c>
      <c r="Z63" s="7">
        <f t="shared" ca="1" si="76"/>
        <v>0</v>
      </c>
      <c r="AB63" t="s">
        <v>29</v>
      </c>
      <c r="AC63" t="s">
        <v>38</v>
      </c>
      <c r="AD63" s="7">
        <f t="shared" ca="1" si="77"/>
        <v>564.72631578947312</v>
      </c>
      <c r="AE63" s="7">
        <f t="shared" ca="1" si="78"/>
        <v>2.9473684210526097E-2</v>
      </c>
      <c r="AK63" t="s">
        <v>29</v>
      </c>
      <c r="AL63" t="s">
        <v>38</v>
      </c>
      <c r="AM63" s="7">
        <f t="shared" ca="1" si="96"/>
        <v>535.92000000000007</v>
      </c>
      <c r="AN63" s="7">
        <f t="shared" ca="1" si="97"/>
        <v>0</v>
      </c>
      <c r="AP63" t="s">
        <v>29</v>
      </c>
      <c r="AQ63" t="s">
        <v>38</v>
      </c>
      <c r="AR63" s="7">
        <f t="shared" ca="1" si="98"/>
        <v>502.88631578947388</v>
      </c>
      <c r="AS63" s="7">
        <f t="shared" ca="1" si="99"/>
        <v>0.18947368421052602</v>
      </c>
      <c r="AY63" t="s">
        <v>29</v>
      </c>
      <c r="AZ63" t="s">
        <v>38</v>
      </c>
      <c r="BA63" s="7">
        <f t="shared" ca="1" si="100"/>
        <v>473.94000000000005</v>
      </c>
      <c r="BB63" s="7">
        <f t="shared" ca="1" si="101"/>
        <v>1.9999999999999928E-2</v>
      </c>
      <c r="BD63" t="s">
        <v>29</v>
      </c>
      <c r="BE63" t="s">
        <v>38</v>
      </c>
      <c r="BF63" s="7">
        <f t="shared" ca="1" si="102"/>
        <v>441.27526315789419</v>
      </c>
      <c r="BG63" s="7">
        <f t="shared" ca="1" si="103"/>
        <v>0.57842105263157961</v>
      </c>
      <c r="BM63" t="s">
        <v>29</v>
      </c>
      <c r="BN63" t="s">
        <v>38</v>
      </c>
      <c r="BO63" s="7">
        <f t="shared" ca="1" si="79"/>
        <v>412.32</v>
      </c>
      <c r="BP63" s="7">
        <f t="shared" ca="1" si="80"/>
        <v>0.4</v>
      </c>
      <c r="BR63" t="s">
        <v>29</v>
      </c>
      <c r="BS63" t="s">
        <v>38</v>
      </c>
      <c r="BT63" s="7">
        <f t="shared" ca="1" si="81"/>
        <v>380.37789473684097</v>
      </c>
      <c r="BU63" s="7">
        <f t="shared" ca="1" si="82"/>
        <v>1.6810526315789467</v>
      </c>
      <c r="CA63" t="s">
        <v>29</v>
      </c>
      <c r="CB63" t="s">
        <v>38</v>
      </c>
      <c r="CC63" s="7">
        <f t="shared" ca="1" si="83"/>
        <v>351.31</v>
      </c>
      <c r="CD63" s="7">
        <f t="shared" ca="1" si="84"/>
        <v>1.3900000000000001</v>
      </c>
      <c r="CF63" t="s">
        <v>29</v>
      </c>
      <c r="CG63" t="s">
        <v>38</v>
      </c>
      <c r="CH63" s="7">
        <f t="shared" ca="1" si="85"/>
        <v>320.02315789473687</v>
      </c>
      <c r="CI63" s="7">
        <f t="shared" ca="1" si="86"/>
        <v>3.3263157894736857</v>
      </c>
      <c r="CO63" t="s">
        <v>29</v>
      </c>
      <c r="CP63" t="s">
        <v>38</v>
      </c>
      <c r="CQ63" s="7">
        <f t="shared" ca="1" si="87"/>
        <v>291.90000000000003</v>
      </c>
      <c r="CR63" s="7">
        <f t="shared" ca="1" si="88"/>
        <v>3.9800000000000004</v>
      </c>
      <c r="CT63" t="s">
        <v>29</v>
      </c>
      <c r="CU63" t="s">
        <v>38</v>
      </c>
      <c r="CV63" s="7">
        <f t="shared" ca="1" si="89"/>
        <v>261.89052631578943</v>
      </c>
      <c r="CW63" s="7">
        <f t="shared" ca="1" si="90"/>
        <v>7.1936842105262997</v>
      </c>
      <c r="DC63" t="s">
        <v>29</v>
      </c>
      <c r="DD63" t="s">
        <v>38</v>
      </c>
      <c r="DE63" s="7">
        <f t="shared" ca="1" si="91"/>
        <v>234.17</v>
      </c>
      <c r="DF63" s="7">
        <f t="shared" ca="1" si="92"/>
        <v>8.2499999999999982</v>
      </c>
      <c r="DH63" t="s">
        <v>29</v>
      </c>
      <c r="DI63" t="s">
        <v>38</v>
      </c>
      <c r="DJ63" s="7">
        <f t="shared" ca="1" si="93"/>
        <v>205.75999999999931</v>
      </c>
      <c r="DK63" s="7">
        <f t="shared" ca="1" si="94"/>
        <v>13.063157894736847</v>
      </c>
    </row>
    <row r="64" spans="1:117">
      <c r="A64">
        <v>2004</v>
      </c>
      <c r="B64">
        <v>3</v>
      </c>
      <c r="C64">
        <v>537.5</v>
      </c>
      <c r="D64">
        <v>0</v>
      </c>
      <c r="E64">
        <v>475.49999999999994</v>
      </c>
      <c r="F64">
        <v>0</v>
      </c>
      <c r="G64">
        <v>413.49999999999994</v>
      </c>
      <c r="H64">
        <v>0</v>
      </c>
      <c r="I64">
        <v>351.49999999999994</v>
      </c>
      <c r="J64">
        <v>0</v>
      </c>
      <c r="K64">
        <v>290.49999999999994</v>
      </c>
      <c r="L64">
        <v>1</v>
      </c>
      <c r="M64">
        <v>233.29999999999998</v>
      </c>
      <c r="N64">
        <v>5.7999999999999989</v>
      </c>
      <c r="O64">
        <v>179.29999999999998</v>
      </c>
      <c r="P64">
        <v>13.799999999999999</v>
      </c>
      <c r="Q64">
        <v>2.6612903225806446</v>
      </c>
      <c r="W64" t="s">
        <v>29</v>
      </c>
      <c r="X64" t="s">
        <v>37</v>
      </c>
      <c r="Y64" s="7">
        <f t="shared" ca="1" si="95"/>
        <v>405.52999999999992</v>
      </c>
      <c r="Z64" s="7">
        <f t="shared" ca="1" si="76"/>
        <v>0</v>
      </c>
      <c r="AB64" t="s">
        <v>29</v>
      </c>
      <c r="AC64" t="s">
        <v>37</v>
      </c>
      <c r="AD64" s="7">
        <f t="shared" ca="1" si="77"/>
        <v>406.79789473684195</v>
      </c>
      <c r="AE64" s="7">
        <f t="shared" ca="1" si="78"/>
        <v>0</v>
      </c>
      <c r="AK64" t="s">
        <v>29</v>
      </c>
      <c r="AL64" t="s">
        <v>37</v>
      </c>
      <c r="AM64" s="7">
        <f t="shared" ca="1" si="96"/>
        <v>345.8</v>
      </c>
      <c r="AN64" s="7">
        <f t="shared" ca="1" si="97"/>
        <v>0.2700000000000003</v>
      </c>
      <c r="AP64" t="s">
        <v>29</v>
      </c>
      <c r="AQ64" t="s">
        <v>37</v>
      </c>
      <c r="AR64" s="7">
        <f t="shared" ca="1" si="98"/>
        <v>347.10210526315814</v>
      </c>
      <c r="AS64" s="7">
        <f t="shared" ca="1" si="99"/>
        <v>0.30421052631579215</v>
      </c>
      <c r="AY64" t="s">
        <v>29</v>
      </c>
      <c r="AZ64" t="s">
        <v>37</v>
      </c>
      <c r="BA64" s="7">
        <f t="shared" ca="1" si="100"/>
        <v>286.88</v>
      </c>
      <c r="BB64" s="7">
        <f t="shared" ca="1" si="101"/>
        <v>1.3500000000000003</v>
      </c>
      <c r="BD64" t="s">
        <v>29</v>
      </c>
      <c r="BE64" t="s">
        <v>37</v>
      </c>
      <c r="BF64" s="7">
        <f t="shared" ca="1" si="102"/>
        <v>288.18684210526317</v>
      </c>
      <c r="BG64" s="7">
        <f t="shared" ca="1" si="103"/>
        <v>1.3889473684210429</v>
      </c>
      <c r="BM64" t="s">
        <v>29</v>
      </c>
      <c r="BN64" t="s">
        <v>37</v>
      </c>
      <c r="BO64" s="7">
        <f t="shared" ca="1" si="79"/>
        <v>229.95</v>
      </c>
      <c r="BP64" s="7">
        <f t="shared" ca="1" si="80"/>
        <v>4.42</v>
      </c>
      <c r="BR64" t="s">
        <v>29</v>
      </c>
      <c r="BS64" t="s">
        <v>37</v>
      </c>
      <c r="BT64" s="7">
        <f t="shared" ca="1" si="81"/>
        <v>230.90157894736831</v>
      </c>
      <c r="BU64" s="7">
        <f t="shared" ca="1" si="82"/>
        <v>4.1036842105263531</v>
      </c>
      <c r="CA64" t="s">
        <v>29</v>
      </c>
      <c r="CB64" t="s">
        <v>37</v>
      </c>
      <c r="CC64" s="7">
        <f t="shared" ca="1" si="83"/>
        <v>176.95000000000002</v>
      </c>
      <c r="CD64" s="7">
        <f t="shared" ca="1" si="84"/>
        <v>11.420000000000002</v>
      </c>
      <c r="CF64" t="s">
        <v>29</v>
      </c>
      <c r="CG64" t="s">
        <v>37</v>
      </c>
      <c r="CH64" s="7">
        <f t="shared" ca="1" si="85"/>
        <v>177.53684210526308</v>
      </c>
      <c r="CI64" s="7">
        <f t="shared" ca="1" si="86"/>
        <v>10.738947368421123</v>
      </c>
      <c r="CO64" t="s">
        <v>29</v>
      </c>
      <c r="CP64" t="s">
        <v>37</v>
      </c>
      <c r="CQ64" s="7">
        <f t="shared" ca="1" si="87"/>
        <v>128</v>
      </c>
      <c r="CR64" s="7">
        <f t="shared" ca="1" si="88"/>
        <v>22.47</v>
      </c>
      <c r="CT64" t="s">
        <v>29</v>
      </c>
      <c r="CU64" t="s">
        <v>37</v>
      </c>
      <c r="CV64" s="7">
        <f t="shared" ca="1" si="89"/>
        <v>128.31631578947372</v>
      </c>
      <c r="CW64" s="7">
        <f t="shared" ca="1" si="90"/>
        <v>21.518421052631766</v>
      </c>
      <c r="DC64" t="s">
        <v>29</v>
      </c>
      <c r="DD64" t="s">
        <v>37</v>
      </c>
      <c r="DE64" s="7">
        <f t="shared" ca="1" si="91"/>
        <v>85.41</v>
      </c>
      <c r="DF64" s="7">
        <f t="shared" ca="1" si="92"/>
        <v>39.879999999999995</v>
      </c>
      <c r="DH64" t="s">
        <v>29</v>
      </c>
      <c r="DI64" t="s">
        <v>37</v>
      </c>
      <c r="DJ64" s="7">
        <f t="shared" ca="1" si="93"/>
        <v>85.277368421052643</v>
      </c>
      <c r="DK64" s="7">
        <f t="shared" ca="1" si="94"/>
        <v>38.479473684210461</v>
      </c>
    </row>
    <row r="65" spans="1:115">
      <c r="A65">
        <v>2004</v>
      </c>
      <c r="B65">
        <v>4</v>
      </c>
      <c r="C65">
        <v>383.10000000000019</v>
      </c>
      <c r="D65">
        <v>0</v>
      </c>
      <c r="E65">
        <v>325.00000000000011</v>
      </c>
      <c r="F65">
        <v>1.8999999999999986</v>
      </c>
      <c r="G65">
        <v>267.40000000000003</v>
      </c>
      <c r="H65">
        <v>4.2999999999999972</v>
      </c>
      <c r="I65">
        <v>215.29999999999998</v>
      </c>
      <c r="J65">
        <v>12.199999999999998</v>
      </c>
      <c r="K65">
        <v>168.29999999999998</v>
      </c>
      <c r="L65">
        <v>25.2</v>
      </c>
      <c r="M65">
        <v>124</v>
      </c>
      <c r="N65">
        <v>40.899999999999991</v>
      </c>
      <c r="O65">
        <v>82.199999999999989</v>
      </c>
      <c r="P65">
        <v>59.099999999999994</v>
      </c>
      <c r="Q65">
        <v>7.2300000000000013</v>
      </c>
      <c r="W65" t="s">
        <v>29</v>
      </c>
      <c r="X65" t="s">
        <v>36</v>
      </c>
      <c r="Y65" s="7">
        <f t="shared" ca="1" si="95"/>
        <v>212.29999999999995</v>
      </c>
      <c r="Z65" s="7">
        <f t="shared" ca="1" si="76"/>
        <v>13.680000000000001</v>
      </c>
      <c r="AB65" t="s">
        <v>29</v>
      </c>
      <c r="AC65" t="s">
        <v>36</v>
      </c>
      <c r="AD65" s="7">
        <f t="shared" ca="1" si="77"/>
        <v>199.878947368421</v>
      </c>
      <c r="AE65" s="7">
        <f t="shared" ca="1" si="78"/>
        <v>17.14526315789476</v>
      </c>
      <c r="AK65" t="s">
        <v>29</v>
      </c>
      <c r="AL65" t="s">
        <v>36</v>
      </c>
      <c r="AM65" s="7">
        <f t="shared" ca="1" si="96"/>
        <v>161.94999999999999</v>
      </c>
      <c r="AN65" s="7">
        <f t="shared" ca="1" si="97"/>
        <v>25.330000000000002</v>
      </c>
      <c r="AP65" t="s">
        <v>29</v>
      </c>
      <c r="AQ65" t="s">
        <v>36</v>
      </c>
      <c r="AR65" s="7">
        <f t="shared" ca="1" si="98"/>
        <v>152.41894736842096</v>
      </c>
      <c r="AS65" s="7">
        <f t="shared" ca="1" si="99"/>
        <v>31.685263157894951</v>
      </c>
      <c r="AY65" t="s">
        <v>29</v>
      </c>
      <c r="AZ65" t="s">
        <v>36</v>
      </c>
      <c r="BA65" s="7">
        <f t="shared" ca="1" si="100"/>
        <v>117.34</v>
      </c>
      <c r="BB65" s="7">
        <f t="shared" ca="1" si="101"/>
        <v>42.72</v>
      </c>
      <c r="BD65" t="s">
        <v>29</v>
      </c>
      <c r="BE65" t="s">
        <v>36</v>
      </c>
      <c r="BF65" s="7">
        <f t="shared" ca="1" si="102"/>
        <v>110.79947368421062</v>
      </c>
      <c r="BG65" s="7">
        <f t="shared" ca="1" si="103"/>
        <v>52.065789473684617</v>
      </c>
      <c r="BM65" t="s">
        <v>29</v>
      </c>
      <c r="BN65" t="s">
        <v>36</v>
      </c>
      <c r="BO65" s="7">
        <f t="shared" ca="1" si="79"/>
        <v>79.77000000000001</v>
      </c>
      <c r="BP65" s="7">
        <f t="shared" ca="1" si="80"/>
        <v>67.150000000000006</v>
      </c>
      <c r="BR65" t="s">
        <v>29</v>
      </c>
      <c r="BS65" t="s">
        <v>36</v>
      </c>
      <c r="BT65" s="7">
        <f t="shared" ca="1" si="81"/>
        <v>76.621052631578948</v>
      </c>
      <c r="BU65" s="7">
        <f t="shared" ca="1" si="82"/>
        <v>79.887368421052088</v>
      </c>
      <c r="CA65" t="s">
        <v>29</v>
      </c>
      <c r="CB65" t="s">
        <v>36</v>
      </c>
      <c r="CC65" s="7">
        <f t="shared" ca="1" si="83"/>
        <v>49.68</v>
      </c>
      <c r="CD65" s="7">
        <f t="shared" ca="1" si="84"/>
        <v>99.059999999999988</v>
      </c>
      <c r="CF65" t="s">
        <v>29</v>
      </c>
      <c r="CG65" t="s">
        <v>36</v>
      </c>
      <c r="CH65" s="7">
        <f t="shared" ca="1" si="85"/>
        <v>49.440000000000055</v>
      </c>
      <c r="CI65" s="7">
        <f t="shared" ca="1" si="86"/>
        <v>114.70631578947359</v>
      </c>
      <c r="CO65" t="s">
        <v>29</v>
      </c>
      <c r="CP65" t="s">
        <v>36</v>
      </c>
      <c r="CQ65" s="7">
        <f t="shared" ca="1" si="87"/>
        <v>26.77</v>
      </c>
      <c r="CR65" s="7">
        <f t="shared" ca="1" si="88"/>
        <v>138.15</v>
      </c>
      <c r="CT65" t="s">
        <v>29</v>
      </c>
      <c r="CU65" t="s">
        <v>36</v>
      </c>
      <c r="CV65" s="7">
        <f t="shared" ca="1" si="89"/>
        <v>28.299473684210511</v>
      </c>
      <c r="CW65" s="7">
        <f t="shared" ca="1" si="90"/>
        <v>155.56578947368416</v>
      </c>
      <c r="DC65" t="s">
        <v>29</v>
      </c>
      <c r="DD65" t="s">
        <v>36</v>
      </c>
      <c r="DE65" s="7">
        <f t="shared" ca="1" si="91"/>
        <v>11.629999999999999</v>
      </c>
      <c r="DF65" s="7">
        <f t="shared" ca="1" si="92"/>
        <v>185.01</v>
      </c>
      <c r="DH65" t="s">
        <v>29</v>
      </c>
      <c r="DI65" t="s">
        <v>36</v>
      </c>
      <c r="DJ65" s="7">
        <f t="shared" ca="1" si="93"/>
        <v>13.521052631578982</v>
      </c>
      <c r="DK65" s="7">
        <f t="shared" ca="1" si="94"/>
        <v>202.78736842105172</v>
      </c>
    </row>
    <row r="66" spans="1:115">
      <c r="A66">
        <v>2004</v>
      </c>
      <c r="B66">
        <v>5</v>
      </c>
      <c r="C66">
        <v>232.60000000000005</v>
      </c>
      <c r="D66">
        <v>2.1999999999999993</v>
      </c>
      <c r="E66">
        <v>176.8</v>
      </c>
      <c r="F66">
        <v>8.3999999999999986</v>
      </c>
      <c r="G66">
        <v>127.6</v>
      </c>
      <c r="H66">
        <v>21.2</v>
      </c>
      <c r="I66">
        <v>87.300000000000011</v>
      </c>
      <c r="J66">
        <v>42.899999999999991</v>
      </c>
      <c r="K66">
        <v>56.999999999999993</v>
      </c>
      <c r="L66">
        <v>74.600000000000009</v>
      </c>
      <c r="M66">
        <v>32.700000000000003</v>
      </c>
      <c r="N66">
        <v>112.30000000000001</v>
      </c>
      <c r="O66">
        <v>13.8</v>
      </c>
      <c r="P66">
        <v>155.4</v>
      </c>
      <c r="Q66">
        <v>12.56774193548387</v>
      </c>
      <c r="W66" t="s">
        <v>29</v>
      </c>
      <c r="X66" t="s">
        <v>35</v>
      </c>
      <c r="Y66" s="7">
        <f t="shared" ca="1" si="95"/>
        <v>70.23</v>
      </c>
      <c r="Z66" s="7">
        <f t="shared" ca="1" si="76"/>
        <v>32.260000000000005</v>
      </c>
      <c r="AB66" t="s">
        <v>29</v>
      </c>
      <c r="AC66" t="s">
        <v>35</v>
      </c>
      <c r="AD66" s="7">
        <f t="shared" ca="1" si="77"/>
        <v>61.96684210526314</v>
      </c>
      <c r="AE66" s="7">
        <f t="shared" ca="1" si="78"/>
        <v>36.475263157894801</v>
      </c>
      <c r="AK66" t="s">
        <v>29</v>
      </c>
      <c r="AL66" t="s">
        <v>35</v>
      </c>
      <c r="AM66" s="7">
        <f t="shared" ca="1" si="96"/>
        <v>37.47</v>
      </c>
      <c r="AN66" s="7">
        <f t="shared" ca="1" si="97"/>
        <v>59.5</v>
      </c>
      <c r="AP66" t="s">
        <v>29</v>
      </c>
      <c r="AQ66" t="s">
        <v>35</v>
      </c>
      <c r="AR66" s="7">
        <f t="shared" ca="1" si="98"/>
        <v>31.617894736842118</v>
      </c>
      <c r="AS66" s="7">
        <f t="shared" ca="1" si="99"/>
        <v>66.126315789473665</v>
      </c>
      <c r="AY66" t="s">
        <v>29</v>
      </c>
      <c r="AZ66" t="s">
        <v>35</v>
      </c>
      <c r="BA66" s="7">
        <f t="shared" ca="1" si="100"/>
        <v>15.6</v>
      </c>
      <c r="BB66" s="7">
        <f t="shared" ca="1" si="101"/>
        <v>97.63000000000001</v>
      </c>
      <c r="BD66" t="s">
        <v>29</v>
      </c>
      <c r="BE66" t="s">
        <v>35</v>
      </c>
      <c r="BF66" s="7">
        <f t="shared" ca="1" si="102"/>
        <v>12.015789473684208</v>
      </c>
      <c r="BG66" s="7">
        <f t="shared" ca="1" si="103"/>
        <v>106.52421052631576</v>
      </c>
      <c r="BM66" t="s">
        <v>29</v>
      </c>
      <c r="BN66" t="s">
        <v>35</v>
      </c>
      <c r="BO66" s="7">
        <f t="shared" ca="1" si="79"/>
        <v>5.16</v>
      </c>
      <c r="BP66" s="7">
        <f t="shared" ca="1" si="80"/>
        <v>147.19</v>
      </c>
      <c r="BR66" t="s">
        <v>29</v>
      </c>
      <c r="BS66" t="s">
        <v>35</v>
      </c>
      <c r="BT66" s="7">
        <f t="shared" ca="1" si="81"/>
        <v>3.5068421052631606</v>
      </c>
      <c r="BU66" s="7">
        <f t="shared" ca="1" si="82"/>
        <v>158.01526315789488</v>
      </c>
      <c r="CA66" t="s">
        <v>29</v>
      </c>
      <c r="CB66" t="s">
        <v>35</v>
      </c>
      <c r="CC66" s="7">
        <f t="shared" ca="1" si="83"/>
        <v>0.96</v>
      </c>
      <c r="CD66" s="7">
        <f t="shared" ca="1" si="84"/>
        <v>202.99000000000004</v>
      </c>
      <c r="CF66" t="s">
        <v>29</v>
      </c>
      <c r="CG66" t="s">
        <v>35</v>
      </c>
      <c r="CH66" s="7">
        <f t="shared" ca="1" si="85"/>
        <v>0.53999999999999204</v>
      </c>
      <c r="CI66" s="7">
        <f t="shared" ca="1" si="86"/>
        <v>215.04842105263151</v>
      </c>
      <c r="CO66" t="s">
        <v>29</v>
      </c>
      <c r="CP66" t="s">
        <v>35</v>
      </c>
      <c r="CQ66" s="7">
        <f t="shared" ca="1" si="87"/>
        <v>0.05</v>
      </c>
      <c r="CR66" s="7">
        <f t="shared" ca="1" si="88"/>
        <v>262.08000000000004</v>
      </c>
      <c r="CT66" t="s">
        <v>29</v>
      </c>
      <c r="CU66" t="s">
        <v>35</v>
      </c>
      <c r="CV66" s="7">
        <f t="shared" ca="1" si="89"/>
        <v>-1.2105263157895507E-2</v>
      </c>
      <c r="CW66" s="7">
        <f t="shared" ca="1" si="90"/>
        <v>274.49631578947401</v>
      </c>
      <c r="DC66" t="s">
        <v>29</v>
      </c>
      <c r="DD66" t="s">
        <v>35</v>
      </c>
      <c r="DE66" s="7">
        <f t="shared" ca="1" si="91"/>
        <v>0</v>
      </c>
      <c r="DF66" s="7">
        <f t="shared" ca="1" si="92"/>
        <v>322.03000000000003</v>
      </c>
      <c r="DH66" t="s">
        <v>29</v>
      </c>
      <c r="DI66" t="s">
        <v>35</v>
      </c>
      <c r="DJ66" s="7">
        <f t="shared" ca="1" si="93"/>
        <v>0</v>
      </c>
      <c r="DK66" s="7">
        <f t="shared" ca="1" si="94"/>
        <v>334.50842105263155</v>
      </c>
    </row>
    <row r="67" spans="1:115">
      <c r="A67">
        <v>2004</v>
      </c>
      <c r="B67">
        <v>6</v>
      </c>
      <c r="C67">
        <v>99.300000000000011</v>
      </c>
      <c r="D67">
        <v>13.599999999999998</v>
      </c>
      <c r="E67">
        <v>56</v>
      </c>
      <c r="F67">
        <v>30.299999999999997</v>
      </c>
      <c r="G67">
        <v>28.1</v>
      </c>
      <c r="H67">
        <v>62.4</v>
      </c>
      <c r="I67">
        <v>10.7</v>
      </c>
      <c r="J67">
        <v>104.99999999999997</v>
      </c>
      <c r="K67">
        <v>2.0999999999999996</v>
      </c>
      <c r="L67">
        <v>156.4</v>
      </c>
      <c r="M67">
        <v>0</v>
      </c>
      <c r="N67">
        <v>214.3</v>
      </c>
      <c r="O67">
        <v>0</v>
      </c>
      <c r="P67">
        <v>274.3</v>
      </c>
      <c r="Q67">
        <v>17.143333333333334</v>
      </c>
      <c r="W67" t="s">
        <v>29</v>
      </c>
      <c r="X67" t="s">
        <v>34</v>
      </c>
      <c r="Y67" s="7">
        <f ca="1">OFFSET($V$28,0,(ROW()-ROW(Y$61)))</f>
        <v>18.859999999999996</v>
      </c>
      <c r="Z67" s="7">
        <f t="shared" ca="1" si="76"/>
        <v>66.56</v>
      </c>
      <c r="AB67" t="s">
        <v>29</v>
      </c>
      <c r="AC67" t="s">
        <v>34</v>
      </c>
      <c r="AD67" s="7">
        <f t="shared" ca="1" si="77"/>
        <v>12.622631578947448</v>
      </c>
      <c r="AE67" s="7">
        <f t="shared" ca="1" si="78"/>
        <v>77.866315789473902</v>
      </c>
      <c r="AK67" t="s">
        <v>29</v>
      </c>
      <c r="AL67" t="s">
        <v>34</v>
      </c>
      <c r="AM67" s="7">
        <f t="shared" ca="1" si="96"/>
        <v>5.3900000000000015</v>
      </c>
      <c r="AN67" s="7">
        <f t="shared" ca="1" si="97"/>
        <v>115.08999999999999</v>
      </c>
      <c r="AP67" t="s">
        <v>29</v>
      </c>
      <c r="AQ67" t="s">
        <v>34</v>
      </c>
      <c r="AR67" s="7">
        <f t="shared" ca="1" si="98"/>
        <v>3.0589473684210589</v>
      </c>
      <c r="AS67" s="7">
        <f t="shared" ca="1" si="99"/>
        <v>130.30263157894751</v>
      </c>
      <c r="AY67" t="s">
        <v>29</v>
      </c>
      <c r="AZ67" t="s">
        <v>34</v>
      </c>
      <c r="BA67" s="7">
        <f t="shared" ca="1" si="100"/>
        <v>0.76999999999999991</v>
      </c>
      <c r="BB67" s="7">
        <f t="shared" ca="1" si="101"/>
        <v>172.46999999999997</v>
      </c>
      <c r="BD67" t="s">
        <v>29</v>
      </c>
      <c r="BE67" t="s">
        <v>34</v>
      </c>
      <c r="BF67" s="7">
        <f t="shared" ca="1" si="102"/>
        <v>0.51684210526315866</v>
      </c>
      <c r="BG67" s="7">
        <f t="shared" ca="1" si="103"/>
        <v>189.76052631578978</v>
      </c>
      <c r="BM67" t="s">
        <v>29</v>
      </c>
      <c r="BN67" t="s">
        <v>34</v>
      </c>
      <c r="BO67" s="7">
        <f t="shared" ca="1" si="79"/>
        <v>0</v>
      </c>
      <c r="BP67" s="7">
        <f t="shared" ca="1" si="80"/>
        <v>233.7</v>
      </c>
      <c r="BR67" t="s">
        <v>29</v>
      </c>
      <c r="BS67" t="s">
        <v>34</v>
      </c>
      <c r="BT67" s="7">
        <f t="shared" ca="1" si="81"/>
        <v>0</v>
      </c>
      <c r="BU67" s="7">
        <f t="shared" ca="1" si="82"/>
        <v>251.24368421052668</v>
      </c>
      <c r="CA67" t="s">
        <v>29</v>
      </c>
      <c r="CB67" t="s">
        <v>34</v>
      </c>
      <c r="CC67" s="7">
        <f t="shared" ca="1" si="83"/>
        <v>0</v>
      </c>
      <c r="CD67" s="7">
        <f t="shared" ca="1" si="84"/>
        <v>295.70000000000005</v>
      </c>
      <c r="CF67" t="s">
        <v>29</v>
      </c>
      <c r="CG67" t="s">
        <v>34</v>
      </c>
      <c r="CH67" s="7">
        <f t="shared" ca="1" si="85"/>
        <v>0</v>
      </c>
      <c r="CI67" s="7">
        <f t="shared" ca="1" si="86"/>
        <v>313.24368421052668</v>
      </c>
      <c r="CO67" t="s">
        <v>29</v>
      </c>
      <c r="CP67" t="s">
        <v>34</v>
      </c>
      <c r="CQ67" s="7">
        <f t="shared" ca="1" si="87"/>
        <v>0</v>
      </c>
      <c r="CR67" s="7">
        <f t="shared" ca="1" si="88"/>
        <v>357.7</v>
      </c>
      <c r="CT67" t="s">
        <v>29</v>
      </c>
      <c r="CU67" t="s">
        <v>34</v>
      </c>
      <c r="CV67" s="7">
        <f t="shared" ca="1" si="89"/>
        <v>0</v>
      </c>
      <c r="CW67" s="7">
        <f t="shared" ca="1" si="90"/>
        <v>375.24368421052668</v>
      </c>
      <c r="DC67" t="s">
        <v>29</v>
      </c>
      <c r="DD67" t="s">
        <v>34</v>
      </c>
      <c r="DE67" s="7">
        <f t="shared" ca="1" si="91"/>
        <v>0</v>
      </c>
      <c r="DF67" s="7">
        <f t="shared" ca="1" si="92"/>
        <v>419.7</v>
      </c>
      <c r="DH67" t="s">
        <v>29</v>
      </c>
      <c r="DI67" t="s">
        <v>34</v>
      </c>
      <c r="DJ67" s="7">
        <f t="shared" ca="1" si="93"/>
        <v>0</v>
      </c>
      <c r="DK67" s="7">
        <f t="shared" ca="1" si="94"/>
        <v>437.24368421052668</v>
      </c>
    </row>
    <row r="68" spans="1:115">
      <c r="A68">
        <v>2004</v>
      </c>
      <c r="B68">
        <v>7</v>
      </c>
      <c r="C68">
        <v>32.5</v>
      </c>
      <c r="D68">
        <v>31.000000000000004</v>
      </c>
      <c r="E68">
        <v>11.300000000000002</v>
      </c>
      <c r="F68">
        <v>71.800000000000011</v>
      </c>
      <c r="G68">
        <v>0.40000000000000036</v>
      </c>
      <c r="H68">
        <v>122.90000000000003</v>
      </c>
      <c r="I68">
        <v>0</v>
      </c>
      <c r="J68">
        <v>184.5</v>
      </c>
      <c r="K68">
        <v>0</v>
      </c>
      <c r="L68">
        <v>246.5</v>
      </c>
      <c r="M68">
        <v>0</v>
      </c>
      <c r="N68">
        <v>308.5</v>
      </c>
      <c r="O68">
        <v>0</v>
      </c>
      <c r="P68">
        <v>370.5</v>
      </c>
      <c r="Q68">
        <v>19.951612903225811</v>
      </c>
      <c r="W68" t="s">
        <v>29</v>
      </c>
      <c r="X68" t="s">
        <v>33</v>
      </c>
      <c r="Y68" s="7">
        <f t="shared" ca="1" si="95"/>
        <v>22.540000000000006</v>
      </c>
      <c r="Z68" s="7">
        <f t="shared" ca="1" si="76"/>
        <v>53.11999999999999</v>
      </c>
      <c r="AB68" t="s">
        <v>29</v>
      </c>
      <c r="AC68" t="s">
        <v>33</v>
      </c>
      <c r="AD68" s="7">
        <f t="shared" ca="1" si="77"/>
        <v>14.654736842105194</v>
      </c>
      <c r="AE68" s="7">
        <f t="shared" ca="1" si="78"/>
        <v>59.531578947368416</v>
      </c>
      <c r="AK68" t="s">
        <v>29</v>
      </c>
      <c r="AL68" t="s">
        <v>33</v>
      </c>
      <c r="AM68" s="7">
        <f t="shared" ca="1" si="96"/>
        <v>6.85</v>
      </c>
      <c r="AN68" s="7">
        <f t="shared" ca="1" si="97"/>
        <v>99.429999999999993</v>
      </c>
      <c r="AP68" t="s">
        <v>29</v>
      </c>
      <c r="AQ68" t="s">
        <v>33</v>
      </c>
      <c r="AR68" s="7">
        <f t="shared" ca="1" si="98"/>
        <v>3.1499999999999773</v>
      </c>
      <c r="AS68" s="7">
        <f t="shared" ca="1" si="99"/>
        <v>110.02684210526331</v>
      </c>
      <c r="AY68" t="s">
        <v>29</v>
      </c>
      <c r="AZ68" t="s">
        <v>33</v>
      </c>
      <c r="BA68" s="7">
        <f t="shared" ca="1" si="100"/>
        <v>0.92000000000000015</v>
      </c>
      <c r="BB68" s="7">
        <f t="shared" ca="1" si="101"/>
        <v>155.49999999999997</v>
      </c>
      <c r="BD68" t="s">
        <v>29</v>
      </c>
      <c r="BE68" t="s">
        <v>33</v>
      </c>
      <c r="BF68" s="7">
        <f t="shared" ca="1" si="102"/>
        <v>0.24210526315789593</v>
      </c>
      <c r="BG68" s="7">
        <f t="shared" ca="1" si="103"/>
        <v>169.11894736842078</v>
      </c>
      <c r="BM68" t="s">
        <v>29</v>
      </c>
      <c r="BN68" t="s">
        <v>33</v>
      </c>
      <c r="BO68" s="7">
        <f t="shared" ca="1" si="79"/>
        <v>8.0000000000000071E-2</v>
      </c>
      <c r="BP68" s="7">
        <f t="shared" ca="1" si="80"/>
        <v>216.65999999999994</v>
      </c>
      <c r="BR68" t="s">
        <v>29</v>
      </c>
      <c r="BS68" t="s">
        <v>33</v>
      </c>
      <c r="BT68" s="7">
        <f t="shared" ca="1" si="81"/>
        <v>9.0526315789473566E-2</v>
      </c>
      <c r="BU68" s="7">
        <f t="shared" ca="1" si="82"/>
        <v>230.96736842105202</v>
      </c>
      <c r="CA68" t="s">
        <v>29</v>
      </c>
      <c r="CB68" t="s">
        <v>33</v>
      </c>
      <c r="CC68" s="7">
        <f t="shared" ca="1" si="83"/>
        <v>0</v>
      </c>
      <c r="CD68" s="7">
        <f t="shared" ca="1" si="84"/>
        <v>278.58</v>
      </c>
      <c r="CF68" t="s">
        <v>29</v>
      </c>
      <c r="CG68" t="s">
        <v>33</v>
      </c>
      <c r="CH68" s="7">
        <f t="shared" ca="1" si="85"/>
        <v>0</v>
      </c>
      <c r="CI68" s="7">
        <f t="shared" ca="1" si="86"/>
        <v>292.87684210526322</v>
      </c>
      <c r="CO68" t="s">
        <v>29</v>
      </c>
      <c r="CP68" t="s">
        <v>33</v>
      </c>
      <c r="CQ68" s="7">
        <f t="shared" ca="1" si="87"/>
        <v>0</v>
      </c>
      <c r="CR68" s="7">
        <f t="shared" ca="1" si="88"/>
        <v>340.58</v>
      </c>
      <c r="CT68" t="s">
        <v>29</v>
      </c>
      <c r="CU68" t="s">
        <v>33</v>
      </c>
      <c r="CV68" s="7">
        <f t="shared" ca="1" si="89"/>
        <v>0</v>
      </c>
      <c r="CW68" s="7">
        <f t="shared" ca="1" si="90"/>
        <v>354.87684210526322</v>
      </c>
      <c r="DC68" t="s">
        <v>29</v>
      </c>
      <c r="DD68" t="s">
        <v>33</v>
      </c>
      <c r="DE68" s="7">
        <f t="shared" ca="1" si="91"/>
        <v>0</v>
      </c>
      <c r="DF68" s="7">
        <f t="shared" ca="1" si="92"/>
        <v>402.58</v>
      </c>
      <c r="DH68" t="s">
        <v>29</v>
      </c>
      <c r="DI68" t="s">
        <v>33</v>
      </c>
      <c r="DJ68" s="7">
        <f t="shared" ca="1" si="93"/>
        <v>0</v>
      </c>
      <c r="DK68" s="7">
        <f t="shared" ca="1" si="94"/>
        <v>416.87684210526322</v>
      </c>
    </row>
    <row r="69" spans="1:115">
      <c r="A69">
        <v>2004</v>
      </c>
      <c r="B69">
        <v>8</v>
      </c>
      <c r="C69">
        <v>66</v>
      </c>
      <c r="D69">
        <v>22.400000000000002</v>
      </c>
      <c r="E69">
        <v>29.000000000000004</v>
      </c>
      <c r="F69">
        <v>47.400000000000006</v>
      </c>
      <c r="G69">
        <v>6.0000000000000018</v>
      </c>
      <c r="H69">
        <v>86.4</v>
      </c>
      <c r="I69">
        <v>0</v>
      </c>
      <c r="J69">
        <v>142.40000000000003</v>
      </c>
      <c r="K69">
        <v>0</v>
      </c>
      <c r="L69">
        <v>204.4</v>
      </c>
      <c r="M69">
        <v>0</v>
      </c>
      <c r="N69">
        <v>266.39999999999992</v>
      </c>
      <c r="O69">
        <v>0</v>
      </c>
      <c r="P69">
        <v>328.39999999999992</v>
      </c>
      <c r="Q69">
        <v>18.593548387096774</v>
      </c>
      <c r="W69" t="s">
        <v>29</v>
      </c>
      <c r="X69" t="s">
        <v>32</v>
      </c>
      <c r="Y69" s="7">
        <f t="shared" ca="1" si="95"/>
        <v>95.889999999999986</v>
      </c>
      <c r="Z69" s="7">
        <f t="shared" ca="1" si="76"/>
        <v>21.93</v>
      </c>
      <c r="AB69" t="s">
        <v>29</v>
      </c>
      <c r="AC69" t="s">
        <v>32</v>
      </c>
      <c r="AD69" s="7">
        <f t="shared" ca="1" si="77"/>
        <v>97.013684210526264</v>
      </c>
      <c r="AE69" s="7">
        <f t="shared" ca="1" si="78"/>
        <v>22.186315789473724</v>
      </c>
      <c r="AK69" t="s">
        <v>29</v>
      </c>
      <c r="AL69" t="s">
        <v>32</v>
      </c>
      <c r="AM69" s="7">
        <f t="shared" ca="1" si="96"/>
        <v>57.89</v>
      </c>
      <c r="AN69" s="7">
        <f t="shared" ca="1" si="97"/>
        <v>43.93</v>
      </c>
      <c r="AP69" t="s">
        <v>29</v>
      </c>
      <c r="AQ69" t="s">
        <v>32</v>
      </c>
      <c r="AR69" s="7">
        <f t="shared" ca="1" si="98"/>
        <v>59.974210526315801</v>
      </c>
      <c r="AS69" s="7">
        <f t="shared" ca="1" si="99"/>
        <v>45.146842105262976</v>
      </c>
      <c r="AY69" t="s">
        <v>29</v>
      </c>
      <c r="AZ69" t="s">
        <v>32</v>
      </c>
      <c r="BA69" s="7">
        <f t="shared" ca="1" si="100"/>
        <v>30.089999999999996</v>
      </c>
      <c r="BB69" s="7">
        <f t="shared" ca="1" si="101"/>
        <v>76.13</v>
      </c>
      <c r="BD69" t="s">
        <v>29</v>
      </c>
      <c r="BE69" t="s">
        <v>32</v>
      </c>
      <c r="BF69" s="7">
        <f t="shared" ca="1" si="102"/>
        <v>32.047894736842125</v>
      </c>
      <c r="BG69" s="7">
        <f t="shared" ca="1" si="103"/>
        <v>77.220526315789357</v>
      </c>
      <c r="BM69" t="s">
        <v>29</v>
      </c>
      <c r="BN69" t="s">
        <v>32</v>
      </c>
      <c r="BO69" s="7">
        <f t="shared" ca="1" si="79"/>
        <v>12.280000000000001</v>
      </c>
      <c r="BP69" s="7">
        <f t="shared" ca="1" si="80"/>
        <v>118.32000000000001</v>
      </c>
      <c r="BR69" t="s">
        <v>29</v>
      </c>
      <c r="BS69" t="s">
        <v>32</v>
      </c>
      <c r="BT69" s="7">
        <f t="shared" ca="1" si="81"/>
        <v>12.559473684210516</v>
      </c>
      <c r="BU69" s="7">
        <f t="shared" ca="1" si="82"/>
        <v>117.73210526315779</v>
      </c>
      <c r="CA69" t="s">
        <v>29</v>
      </c>
      <c r="CB69" t="s">
        <v>32</v>
      </c>
      <c r="CC69" s="7">
        <f t="shared" ca="1" si="83"/>
        <v>3.2300000000000004</v>
      </c>
      <c r="CD69" s="7">
        <f t="shared" ca="1" si="84"/>
        <v>169.27</v>
      </c>
      <c r="CF69" t="s">
        <v>29</v>
      </c>
      <c r="CG69" t="s">
        <v>32</v>
      </c>
      <c r="CH69" s="7">
        <f t="shared" ca="1" si="85"/>
        <v>2.8826315789473682</v>
      </c>
      <c r="CI69" s="7">
        <f t="shared" ca="1" si="86"/>
        <v>168.05526315789473</v>
      </c>
      <c r="CO69" t="s">
        <v>29</v>
      </c>
      <c r="CP69" t="s">
        <v>32</v>
      </c>
      <c r="CQ69" s="7">
        <f t="shared" ca="1" si="87"/>
        <v>0.35</v>
      </c>
      <c r="CR69" s="7">
        <f t="shared" ca="1" si="88"/>
        <v>226.39000000000001</v>
      </c>
      <c r="CT69" t="s">
        <v>29</v>
      </c>
      <c r="CU69" t="s">
        <v>32</v>
      </c>
      <c r="CV69" s="7">
        <f t="shared" ca="1" si="89"/>
        <v>0.11105263157895706</v>
      </c>
      <c r="CW69" s="7">
        <f t="shared" ca="1" si="90"/>
        <v>225.2836842105263</v>
      </c>
      <c r="DC69" t="s">
        <v>29</v>
      </c>
      <c r="DD69" t="s">
        <v>32</v>
      </c>
      <c r="DE69" s="7">
        <f t="shared" ca="1" si="91"/>
        <v>9.9999999999999638E-3</v>
      </c>
      <c r="DF69" s="7">
        <f t="shared" ca="1" si="92"/>
        <v>286.05</v>
      </c>
      <c r="DH69" t="s">
        <v>29</v>
      </c>
      <c r="DI69" t="s">
        <v>32</v>
      </c>
      <c r="DJ69" s="7">
        <f t="shared" ca="1" si="93"/>
        <v>-4.7368421052635057E-2</v>
      </c>
      <c r="DK69" s="7">
        <f t="shared" ca="1" si="94"/>
        <v>285.12526315789478</v>
      </c>
    </row>
    <row r="70" spans="1:115">
      <c r="A70">
        <v>2004</v>
      </c>
      <c r="B70">
        <v>9</v>
      </c>
      <c r="C70">
        <v>77.099999999999994</v>
      </c>
      <c r="D70">
        <v>18.299999999999997</v>
      </c>
      <c r="E70">
        <v>42.400000000000006</v>
      </c>
      <c r="F70">
        <v>43.599999999999994</v>
      </c>
      <c r="G70">
        <v>18.399999999999999</v>
      </c>
      <c r="H70">
        <v>79.59999999999998</v>
      </c>
      <c r="I70">
        <v>4.7999999999999989</v>
      </c>
      <c r="J70">
        <v>125.99999999999997</v>
      </c>
      <c r="K70">
        <v>0</v>
      </c>
      <c r="L70">
        <v>181.20000000000002</v>
      </c>
      <c r="M70">
        <v>0</v>
      </c>
      <c r="N70">
        <v>241.20000000000002</v>
      </c>
      <c r="O70">
        <v>0</v>
      </c>
      <c r="P70">
        <v>301.19999999999993</v>
      </c>
      <c r="Q70">
        <v>18.04</v>
      </c>
      <c r="W70" t="s">
        <v>29</v>
      </c>
      <c r="X70" t="s">
        <v>31</v>
      </c>
      <c r="Y70" s="7">
        <f t="shared" ca="1" si="95"/>
        <v>268.88</v>
      </c>
      <c r="Z70" s="7">
        <f t="shared" ca="1" si="76"/>
        <v>1.9899999999999998</v>
      </c>
      <c r="AB70" t="s">
        <v>29</v>
      </c>
      <c r="AC70" t="s">
        <v>31</v>
      </c>
      <c r="AD70" s="7">
        <f t="shared" ca="1" si="77"/>
        <v>259.38947368421032</v>
      </c>
      <c r="AE70" s="7">
        <f t="shared" ca="1" si="78"/>
        <v>1.3731578947368348</v>
      </c>
      <c r="AK70" t="s">
        <v>29</v>
      </c>
      <c r="AL70" t="s">
        <v>31</v>
      </c>
      <c r="AM70" s="7">
        <f t="shared" ca="1" si="96"/>
        <v>211.51000000000005</v>
      </c>
      <c r="AN70" s="7">
        <f t="shared" ca="1" si="97"/>
        <v>6.6199999999999992</v>
      </c>
      <c r="AP70" t="s">
        <v>29</v>
      </c>
      <c r="AQ70" t="s">
        <v>31</v>
      </c>
      <c r="AR70" s="7">
        <f t="shared" ca="1" si="98"/>
        <v>202.91526315789497</v>
      </c>
      <c r="AS70" s="7">
        <f t="shared" ca="1" si="99"/>
        <v>6.8989473684210623</v>
      </c>
      <c r="AY70" t="s">
        <v>29</v>
      </c>
      <c r="AZ70" t="s">
        <v>31</v>
      </c>
      <c r="BA70" s="7">
        <f t="shared" ca="1" si="100"/>
        <v>158.22000000000003</v>
      </c>
      <c r="BB70" s="7">
        <f t="shared" ca="1" si="101"/>
        <v>15.330000000000002</v>
      </c>
      <c r="BD70" t="s">
        <v>29</v>
      </c>
      <c r="BE70" t="s">
        <v>31</v>
      </c>
      <c r="BF70" s="7">
        <f t="shared" ca="1" si="102"/>
        <v>150.88526315789477</v>
      </c>
      <c r="BG70" s="7">
        <f t="shared" ca="1" si="103"/>
        <v>16.868947368421004</v>
      </c>
      <c r="BM70" t="s">
        <v>29</v>
      </c>
      <c r="BN70" t="s">
        <v>31</v>
      </c>
      <c r="BO70" s="7">
        <f t="shared" ca="1" si="79"/>
        <v>111.21000000000001</v>
      </c>
      <c r="BP70" s="7">
        <f t="shared" ca="1" si="80"/>
        <v>30.32</v>
      </c>
      <c r="BR70" t="s">
        <v>29</v>
      </c>
      <c r="BS70" t="s">
        <v>31</v>
      </c>
      <c r="BT70" s="7">
        <f t="shared" ca="1" si="81"/>
        <v>105.61631578947345</v>
      </c>
      <c r="BU70" s="7">
        <f t="shared" ca="1" si="82"/>
        <v>33.599999999999909</v>
      </c>
      <c r="CA70" t="s">
        <v>29</v>
      </c>
      <c r="CB70" t="s">
        <v>31</v>
      </c>
      <c r="CC70" s="7">
        <f t="shared" ca="1" si="83"/>
        <v>71.63</v>
      </c>
      <c r="CD70" s="7">
        <f t="shared" ca="1" si="84"/>
        <v>52.739999999999995</v>
      </c>
      <c r="CF70" t="s">
        <v>29</v>
      </c>
      <c r="CG70" t="s">
        <v>31</v>
      </c>
      <c r="CH70" s="7">
        <f t="shared" ca="1" si="85"/>
        <v>67.864736842105231</v>
      </c>
      <c r="CI70" s="7">
        <f t="shared" ca="1" si="86"/>
        <v>57.848421052631693</v>
      </c>
      <c r="CO70" t="s">
        <v>29</v>
      </c>
      <c r="CP70" t="s">
        <v>31</v>
      </c>
      <c r="CQ70" s="7">
        <f t="shared" ca="1" si="87"/>
        <v>40.32</v>
      </c>
      <c r="CR70" s="7">
        <f t="shared" ca="1" si="88"/>
        <v>83.43</v>
      </c>
      <c r="CT70" t="s">
        <v>29</v>
      </c>
      <c r="CU70" t="s">
        <v>31</v>
      </c>
      <c r="CV70" s="7">
        <f t="shared" ca="1" si="89"/>
        <v>38.562631578947389</v>
      </c>
      <c r="CW70" s="7">
        <f t="shared" ca="1" si="90"/>
        <v>90.546315789473738</v>
      </c>
      <c r="DC70" t="s">
        <v>29</v>
      </c>
      <c r="DD70" t="s">
        <v>31</v>
      </c>
      <c r="DE70" s="7">
        <f t="shared" ca="1" si="91"/>
        <v>17.32</v>
      </c>
      <c r="DF70" s="7">
        <f t="shared" ca="1" si="92"/>
        <v>122.42999999999999</v>
      </c>
      <c r="DH70" t="s">
        <v>29</v>
      </c>
      <c r="DI70" t="s">
        <v>31</v>
      </c>
      <c r="DJ70" s="7">
        <f t="shared" ca="1" si="93"/>
        <v>16.545263157894709</v>
      </c>
      <c r="DK70" s="7">
        <f t="shared" ca="1" si="94"/>
        <v>130.52894736842109</v>
      </c>
    </row>
    <row r="71" spans="1:115">
      <c r="A71">
        <v>2004</v>
      </c>
      <c r="B71">
        <v>10</v>
      </c>
      <c r="C71">
        <v>290.00000000000011</v>
      </c>
      <c r="D71">
        <v>0</v>
      </c>
      <c r="E71">
        <v>228</v>
      </c>
      <c r="F71">
        <v>0</v>
      </c>
      <c r="G71">
        <v>168.49999999999997</v>
      </c>
      <c r="H71">
        <v>2.5</v>
      </c>
      <c r="I71">
        <v>112.79999999999998</v>
      </c>
      <c r="J71">
        <v>8.8000000000000007</v>
      </c>
      <c r="K71">
        <v>63.2</v>
      </c>
      <c r="L71">
        <v>21.200000000000003</v>
      </c>
      <c r="M71">
        <v>24.4</v>
      </c>
      <c r="N71">
        <v>44.399999999999991</v>
      </c>
      <c r="O71">
        <v>6.6</v>
      </c>
      <c r="P71">
        <v>88.600000000000009</v>
      </c>
      <c r="Q71">
        <v>10.645161290322577</v>
      </c>
      <c r="W71" t="s">
        <v>29</v>
      </c>
      <c r="X71" t="s">
        <v>30</v>
      </c>
      <c r="Y71" s="7">
        <f t="shared" ca="1" si="95"/>
        <v>474.74000000000007</v>
      </c>
      <c r="Z71" s="7">
        <f t="shared" ca="1" si="76"/>
        <v>0</v>
      </c>
      <c r="AB71" t="s">
        <v>29</v>
      </c>
      <c r="AC71" t="s">
        <v>30</v>
      </c>
      <c r="AD71" s="7">
        <f t="shared" ca="1" si="77"/>
        <v>477.88210526315788</v>
      </c>
      <c r="AE71" s="7">
        <f t="shared" ca="1" si="78"/>
        <v>0</v>
      </c>
      <c r="AK71" t="s">
        <v>29</v>
      </c>
      <c r="AL71" t="s">
        <v>30</v>
      </c>
      <c r="AM71" s="7">
        <f t="shared" ca="1" si="96"/>
        <v>414.91</v>
      </c>
      <c r="AN71" s="7">
        <f t="shared" ca="1" si="97"/>
        <v>0.16999999999999993</v>
      </c>
      <c r="AP71" t="s">
        <v>29</v>
      </c>
      <c r="AQ71" t="s">
        <v>30</v>
      </c>
      <c r="AR71" s="7">
        <f t="shared" ca="1" si="98"/>
        <v>418.19684210526339</v>
      </c>
      <c r="AS71" s="7">
        <f t="shared" ca="1" si="99"/>
        <v>0.31473684210526187</v>
      </c>
      <c r="AY71" t="s">
        <v>29</v>
      </c>
      <c r="AZ71" t="s">
        <v>30</v>
      </c>
      <c r="BA71" s="7">
        <f t="shared" ca="1" si="100"/>
        <v>355.49999999999994</v>
      </c>
      <c r="BB71" s="7">
        <f t="shared" ca="1" si="101"/>
        <v>0.76000000000000012</v>
      </c>
      <c r="BD71" t="s">
        <v>29</v>
      </c>
      <c r="BE71" t="s">
        <v>30</v>
      </c>
      <c r="BF71" s="7">
        <f t="shared" ca="1" si="102"/>
        <v>359.1510526315792</v>
      </c>
      <c r="BG71" s="7">
        <f t="shared" ca="1" si="103"/>
        <v>1.2689473684210384</v>
      </c>
      <c r="BM71" t="s">
        <v>29</v>
      </c>
      <c r="BN71" t="s">
        <v>30</v>
      </c>
      <c r="BO71" s="7">
        <f t="shared" ca="1" si="79"/>
        <v>297.28000000000003</v>
      </c>
      <c r="BP71" s="7">
        <f t="shared" ca="1" si="80"/>
        <v>2.54</v>
      </c>
      <c r="BR71" t="s">
        <v>29</v>
      </c>
      <c r="BS71" t="s">
        <v>30</v>
      </c>
      <c r="BT71" s="7">
        <f t="shared" ca="1" si="81"/>
        <v>301.52789473684197</v>
      </c>
      <c r="BU71" s="7">
        <f t="shared" ca="1" si="82"/>
        <v>3.6457894736842036</v>
      </c>
      <c r="CA71" t="s">
        <v>29</v>
      </c>
      <c r="CB71" t="s">
        <v>30</v>
      </c>
      <c r="CC71" s="7">
        <f t="shared" ca="1" si="83"/>
        <v>240.86999999999998</v>
      </c>
      <c r="CD71" s="7">
        <f t="shared" ca="1" si="84"/>
        <v>6.13</v>
      </c>
      <c r="CF71" t="s">
        <v>29</v>
      </c>
      <c r="CG71" t="s">
        <v>30</v>
      </c>
      <c r="CH71" s="7">
        <f t="shared" ca="1" si="85"/>
        <v>245.83684210526326</v>
      </c>
      <c r="CI71" s="7">
        <f t="shared" ca="1" si="86"/>
        <v>7.9547368421052624</v>
      </c>
      <c r="CO71" t="s">
        <v>29</v>
      </c>
      <c r="CP71" t="s">
        <v>30</v>
      </c>
      <c r="CQ71" s="7">
        <f t="shared" ca="1" si="87"/>
        <v>187.19</v>
      </c>
      <c r="CR71" s="7">
        <f t="shared" ca="1" si="88"/>
        <v>12.45</v>
      </c>
      <c r="CT71" t="s">
        <v>29</v>
      </c>
      <c r="CU71" t="s">
        <v>30</v>
      </c>
      <c r="CV71" s="7">
        <f t="shared" ca="1" si="89"/>
        <v>192.63842105263166</v>
      </c>
      <c r="CW71" s="7">
        <f t="shared" ca="1" si="90"/>
        <v>14.756315789473774</v>
      </c>
      <c r="DC71" t="s">
        <v>29</v>
      </c>
      <c r="DD71" t="s">
        <v>30</v>
      </c>
      <c r="DE71" s="7">
        <f t="shared" ca="1" si="91"/>
        <v>139.07</v>
      </c>
      <c r="DF71" s="7">
        <f t="shared" ca="1" si="92"/>
        <v>24.330000000000002</v>
      </c>
      <c r="DH71" t="s">
        <v>29</v>
      </c>
      <c r="DI71" t="s">
        <v>30</v>
      </c>
      <c r="DJ71" s="7">
        <f t="shared" ca="1" si="93"/>
        <v>143.84736842105258</v>
      </c>
      <c r="DK71" s="7">
        <f t="shared" ca="1" si="94"/>
        <v>25.96526315789481</v>
      </c>
    </row>
    <row r="72" spans="1:115">
      <c r="A72">
        <v>2004</v>
      </c>
      <c r="B72">
        <v>11</v>
      </c>
      <c r="C72">
        <v>445.40000000000003</v>
      </c>
      <c r="D72">
        <v>0</v>
      </c>
      <c r="E72">
        <v>385.40000000000009</v>
      </c>
      <c r="F72">
        <v>0</v>
      </c>
      <c r="G72">
        <v>325.39999999999998</v>
      </c>
      <c r="H72">
        <v>0</v>
      </c>
      <c r="I72">
        <v>265.40000000000003</v>
      </c>
      <c r="J72">
        <v>0</v>
      </c>
      <c r="K72">
        <v>207.10000000000002</v>
      </c>
      <c r="L72">
        <v>1.6999999999999993</v>
      </c>
      <c r="M72">
        <v>149.79999999999998</v>
      </c>
      <c r="N72">
        <v>4.3999999999999986</v>
      </c>
      <c r="O72">
        <v>99.7</v>
      </c>
      <c r="P72">
        <v>14.3</v>
      </c>
      <c r="Q72">
        <v>5.1533333333333333</v>
      </c>
      <c r="W72" t="s">
        <v>29</v>
      </c>
      <c r="X72" t="s">
        <v>28</v>
      </c>
      <c r="Y72" s="7">
        <f t="shared" ca="1" si="95"/>
        <v>626.25</v>
      </c>
      <c r="Z72" s="7">
        <f t="shared" ca="1" si="76"/>
        <v>0</v>
      </c>
      <c r="AB72" t="s">
        <v>29</v>
      </c>
      <c r="AC72" t="s">
        <v>28</v>
      </c>
      <c r="AD72" s="7">
        <f t="shared" ca="1" si="77"/>
        <v>601.27894736842063</v>
      </c>
      <c r="AE72" s="7">
        <f t="shared" ca="1" si="78"/>
        <v>0</v>
      </c>
      <c r="AK72" t="s">
        <v>29</v>
      </c>
      <c r="AL72" t="s">
        <v>28</v>
      </c>
      <c r="AM72" s="7">
        <f t="shared" ca="1" si="96"/>
        <v>564.24999999999989</v>
      </c>
      <c r="AN72" s="7">
        <f t="shared" ca="1" si="97"/>
        <v>0</v>
      </c>
      <c r="AP72" t="s">
        <v>29</v>
      </c>
      <c r="AQ72" t="s">
        <v>28</v>
      </c>
      <c r="AR72" s="7">
        <f t="shared" ca="1" si="98"/>
        <v>539.27894736842154</v>
      </c>
      <c r="AS72" s="7">
        <f t="shared" ca="1" si="99"/>
        <v>0</v>
      </c>
      <c r="AY72" t="s">
        <v>29</v>
      </c>
      <c r="AZ72" t="s">
        <v>28</v>
      </c>
      <c r="BA72" s="7">
        <f t="shared" ca="1" si="100"/>
        <v>502.25</v>
      </c>
      <c r="BB72" s="7">
        <f t="shared" ca="1" si="101"/>
        <v>0</v>
      </c>
      <c r="BD72" t="s">
        <v>29</v>
      </c>
      <c r="BE72" t="s">
        <v>28</v>
      </c>
      <c r="BF72" s="7">
        <f t="shared" ca="1" si="102"/>
        <v>477.27894736842154</v>
      </c>
      <c r="BG72" s="7">
        <f t="shared" ca="1" si="103"/>
        <v>0</v>
      </c>
      <c r="BM72" t="s">
        <v>29</v>
      </c>
      <c r="BN72" t="s">
        <v>28</v>
      </c>
      <c r="BO72" s="7">
        <f t="shared" ca="1" si="79"/>
        <v>440.25</v>
      </c>
      <c r="BP72" s="7">
        <f t="shared" ca="1" si="80"/>
        <v>0</v>
      </c>
      <c r="BR72" t="s">
        <v>29</v>
      </c>
      <c r="BS72" t="s">
        <v>28</v>
      </c>
      <c r="BT72" s="7">
        <f t="shared" ca="1" si="81"/>
        <v>415.27894736842063</v>
      </c>
      <c r="BU72" s="7">
        <f t="shared" ca="1" si="82"/>
        <v>0</v>
      </c>
      <c r="CA72" t="s">
        <v>29</v>
      </c>
      <c r="CB72" t="s">
        <v>28</v>
      </c>
      <c r="CC72" s="7">
        <f t="shared" ca="1" si="83"/>
        <v>378.25</v>
      </c>
      <c r="CD72" s="7">
        <f t="shared" ca="1" si="84"/>
        <v>0</v>
      </c>
      <c r="CF72" t="s">
        <v>29</v>
      </c>
      <c r="CG72" t="s">
        <v>28</v>
      </c>
      <c r="CH72" s="7">
        <f t="shared" ca="1" si="85"/>
        <v>353.27894736842063</v>
      </c>
      <c r="CI72" s="7">
        <f t="shared" ca="1" si="86"/>
        <v>0</v>
      </c>
      <c r="CO72" t="s">
        <v>29</v>
      </c>
      <c r="CP72" t="s">
        <v>28</v>
      </c>
      <c r="CQ72" s="7">
        <f t="shared" ca="1" si="87"/>
        <v>316.54000000000002</v>
      </c>
      <c r="CR72" s="7">
        <f t="shared" ca="1" si="88"/>
        <v>0.29000000000000004</v>
      </c>
      <c r="CT72" t="s">
        <v>29</v>
      </c>
      <c r="CU72" t="s">
        <v>28</v>
      </c>
      <c r="CV72" s="7">
        <f t="shared" ca="1" si="89"/>
        <v>291.54263157894729</v>
      </c>
      <c r="CW72" s="7">
        <f t="shared" ca="1" si="90"/>
        <v>0.26368421052631419</v>
      </c>
      <c r="DC72" t="s">
        <v>29</v>
      </c>
      <c r="DD72" t="s">
        <v>28</v>
      </c>
      <c r="DE72" s="7">
        <f t="shared" ca="1" si="91"/>
        <v>255.9</v>
      </c>
      <c r="DF72" s="7">
        <f t="shared" ca="1" si="92"/>
        <v>1.65</v>
      </c>
      <c r="DH72" t="s">
        <v>29</v>
      </c>
      <c r="DI72" t="s">
        <v>28</v>
      </c>
      <c r="DJ72" s="7">
        <f t="shared" ca="1" si="93"/>
        <v>231.45157894736803</v>
      </c>
      <c r="DK72" s="7">
        <f t="shared" ca="1" si="94"/>
        <v>2.1726315789473745</v>
      </c>
    </row>
    <row r="73" spans="1:115">
      <c r="A73">
        <v>2004</v>
      </c>
      <c r="B73">
        <v>12</v>
      </c>
      <c r="C73">
        <v>714</v>
      </c>
      <c r="D73">
        <v>0</v>
      </c>
      <c r="E73">
        <v>652</v>
      </c>
      <c r="F73">
        <v>0</v>
      </c>
      <c r="G73">
        <v>589.99999999999989</v>
      </c>
      <c r="H73">
        <v>0</v>
      </c>
      <c r="I73">
        <v>528</v>
      </c>
      <c r="J73">
        <v>0</v>
      </c>
      <c r="K73">
        <v>465.99999999999994</v>
      </c>
      <c r="L73">
        <v>0</v>
      </c>
      <c r="M73">
        <v>404</v>
      </c>
      <c r="N73">
        <v>0</v>
      </c>
      <c r="O73">
        <v>342</v>
      </c>
      <c r="P73">
        <v>0</v>
      </c>
      <c r="Q73">
        <v>-3.032258064516129</v>
      </c>
    </row>
    <row r="74" spans="1:115">
      <c r="A74">
        <v>2005</v>
      </c>
      <c r="B74">
        <v>1</v>
      </c>
      <c r="C74">
        <v>806.3</v>
      </c>
      <c r="D74">
        <v>0</v>
      </c>
      <c r="E74">
        <v>744.29999999999984</v>
      </c>
      <c r="F74">
        <v>0</v>
      </c>
      <c r="G74">
        <v>682.3</v>
      </c>
      <c r="H74">
        <v>0</v>
      </c>
      <c r="I74">
        <v>620.29999999999995</v>
      </c>
      <c r="J74">
        <v>0</v>
      </c>
      <c r="K74">
        <v>558.29999999999984</v>
      </c>
      <c r="L74">
        <v>0</v>
      </c>
      <c r="M74">
        <v>496.3</v>
      </c>
      <c r="N74">
        <v>0</v>
      </c>
      <c r="O74">
        <v>434.3</v>
      </c>
      <c r="P74">
        <v>0</v>
      </c>
      <c r="Q74">
        <v>-6.0096774193548388</v>
      </c>
    </row>
    <row r="75" spans="1:115">
      <c r="A75">
        <v>2005</v>
      </c>
      <c r="B75">
        <v>2</v>
      </c>
      <c r="C75">
        <v>675.69999999999993</v>
      </c>
      <c r="D75">
        <v>0</v>
      </c>
      <c r="E75">
        <v>619.69999999999993</v>
      </c>
      <c r="F75">
        <v>0</v>
      </c>
      <c r="G75">
        <v>563.69999999999993</v>
      </c>
      <c r="H75">
        <v>0</v>
      </c>
      <c r="I75">
        <v>507.69999999999987</v>
      </c>
      <c r="J75">
        <v>0</v>
      </c>
      <c r="K75">
        <v>451.69999999999987</v>
      </c>
      <c r="L75">
        <v>0</v>
      </c>
      <c r="M75">
        <v>395.69999999999993</v>
      </c>
      <c r="N75">
        <v>0</v>
      </c>
      <c r="O75">
        <v>339.69999999999993</v>
      </c>
      <c r="P75">
        <v>0</v>
      </c>
      <c r="Q75">
        <v>-4.132142857142858</v>
      </c>
      <c r="AP75" t="str">
        <f>DE60</f>
        <v>HDD8</v>
      </c>
      <c r="AQ75" t="str">
        <f>DF60</f>
        <v>CDD8</v>
      </c>
      <c r="AR75" t="str">
        <f>CQ60</f>
        <v>HDD10</v>
      </c>
      <c r="AS75" t="str">
        <f>CR60</f>
        <v>CDD10</v>
      </c>
      <c r="AT75" t="str">
        <f>CH60</f>
        <v>HDD12</v>
      </c>
      <c r="AU75" t="str">
        <f>CI60</f>
        <v>CDD12</v>
      </c>
      <c r="AV75" t="str">
        <f>BO60</f>
        <v>HDD14</v>
      </c>
      <c r="AW75" t="str">
        <f>BP60</f>
        <v>CDD14</v>
      </c>
      <c r="AX75" t="str">
        <f>BA60</f>
        <v>HDD16</v>
      </c>
      <c r="AY75" t="str">
        <f>BB60</f>
        <v>CDD16</v>
      </c>
      <c r="AZ75" t="str">
        <f>AM60</f>
        <v>HDD18</v>
      </c>
      <c r="BA75" t="str">
        <f>AN60</f>
        <v>CDD18</v>
      </c>
      <c r="BB75" t="str">
        <f>Y60</f>
        <v>HDD20</v>
      </c>
      <c r="BC75" t="str">
        <f>Z60</f>
        <v>CDD20</v>
      </c>
    </row>
    <row r="76" spans="1:115">
      <c r="A76">
        <v>2005</v>
      </c>
      <c r="B76">
        <v>3</v>
      </c>
      <c r="C76">
        <v>674.8</v>
      </c>
      <c r="D76">
        <v>0</v>
      </c>
      <c r="E76">
        <v>612.79999999999984</v>
      </c>
      <c r="F76">
        <v>0</v>
      </c>
      <c r="G76">
        <v>550.79999999999995</v>
      </c>
      <c r="H76">
        <v>0</v>
      </c>
      <c r="I76">
        <v>488.8</v>
      </c>
      <c r="J76">
        <v>0</v>
      </c>
      <c r="K76">
        <v>426.80000000000007</v>
      </c>
      <c r="L76">
        <v>0</v>
      </c>
      <c r="M76">
        <v>365.5</v>
      </c>
      <c r="N76">
        <v>0.69999999999999929</v>
      </c>
      <c r="O76">
        <v>307.10000000000008</v>
      </c>
      <c r="P76">
        <v>4.2999999999999989</v>
      </c>
      <c r="Q76">
        <v>-1.7677419354838708</v>
      </c>
      <c r="AO76" t="str">
        <f t="shared" ref="AO76:AQ85" si="104">DD61</f>
        <v>January</v>
      </c>
      <c r="AP76" s="68">
        <f t="shared" ca="1" si="104"/>
        <v>379.06000000000006</v>
      </c>
      <c r="AQ76" s="68">
        <f t="shared" ca="1" si="104"/>
        <v>0.2</v>
      </c>
      <c r="AR76" s="68">
        <f t="shared" ref="AR76:AS76" ca="1" si="105">CQ61</f>
        <v>440.86</v>
      </c>
      <c r="AS76" s="68">
        <f t="shared" ca="1" si="105"/>
        <v>0</v>
      </c>
      <c r="AT76" s="68">
        <f t="shared" ref="AT76:AU76" ca="1" si="106">CH61</f>
        <v>481.03157894736796</v>
      </c>
      <c r="AU76" s="68">
        <f t="shared" ca="1" si="106"/>
        <v>0</v>
      </c>
      <c r="AV76" s="68">
        <f t="shared" ref="AV76:AW76" ca="1" si="107">BO61</f>
        <v>564.86</v>
      </c>
      <c r="AW76" s="68">
        <f t="shared" ca="1" si="107"/>
        <v>0</v>
      </c>
      <c r="AX76" s="68">
        <f t="shared" ref="AX76:AY76" ca="1" si="108">BA61</f>
        <v>626.86</v>
      </c>
      <c r="AY76" s="68">
        <f t="shared" ca="1" si="108"/>
        <v>0</v>
      </c>
      <c r="AZ76" s="68">
        <f t="shared" ref="AZ76:BA76" ca="1" si="109">AM61</f>
        <v>688.86</v>
      </c>
      <c r="BA76" s="68">
        <f t="shared" ca="1" si="109"/>
        <v>0</v>
      </c>
      <c r="BB76" s="68">
        <f t="shared" ref="BB76:BC76" ca="1" si="110">Y61</f>
        <v>750.86</v>
      </c>
      <c r="BC76" s="68">
        <f t="shared" ca="1" si="110"/>
        <v>0</v>
      </c>
    </row>
    <row r="77" spans="1:115">
      <c r="A77">
        <v>2005</v>
      </c>
      <c r="B77">
        <v>4</v>
      </c>
      <c r="C77">
        <v>386.50000000000017</v>
      </c>
      <c r="D77">
        <v>0</v>
      </c>
      <c r="E77">
        <v>327.00000000000017</v>
      </c>
      <c r="F77">
        <v>0.5</v>
      </c>
      <c r="G77">
        <v>269.00000000000011</v>
      </c>
      <c r="H77">
        <v>2.5</v>
      </c>
      <c r="I77">
        <v>212.3</v>
      </c>
      <c r="J77">
        <v>5.8000000000000007</v>
      </c>
      <c r="K77">
        <v>156.29999999999998</v>
      </c>
      <c r="L77">
        <v>9.8000000000000007</v>
      </c>
      <c r="M77">
        <v>105.39999999999998</v>
      </c>
      <c r="N77">
        <v>18.899999999999999</v>
      </c>
      <c r="O77">
        <v>58.999999999999993</v>
      </c>
      <c r="P77">
        <v>32.5</v>
      </c>
      <c r="Q77">
        <v>7.1166666666666663</v>
      </c>
      <c r="AO77" t="str">
        <f t="shared" si="104"/>
        <v>February</v>
      </c>
      <c r="AP77" s="68">
        <f t="shared" ref="AP77:AQ77" ca="1" si="111">DE62</f>
        <v>348.65</v>
      </c>
      <c r="AQ77" s="68">
        <f t="shared" ca="1" si="111"/>
        <v>1.42</v>
      </c>
      <c r="AR77" s="68">
        <f t="shared" ref="AR77:AS77" ca="1" si="112">CQ62</f>
        <v>403.93999999999994</v>
      </c>
      <c r="AS77" s="68">
        <f t="shared" ca="1" si="112"/>
        <v>0.30999999999999994</v>
      </c>
      <c r="AT77" s="68">
        <f t="shared" ref="AT77:AU77" ca="1" si="113">CH62</f>
        <v>431.58368421052546</v>
      </c>
      <c r="AU77" s="68">
        <f t="shared" ca="1" si="113"/>
        <v>0</v>
      </c>
      <c r="AV77" s="68">
        <f t="shared" ref="AV77:AW77" ca="1" si="114">BO62</f>
        <v>516.43000000000006</v>
      </c>
      <c r="AW77" s="68">
        <f t="shared" ca="1" si="114"/>
        <v>0</v>
      </c>
      <c r="AX77" s="68">
        <f t="shared" ref="AX77:AY77" ca="1" si="115">BA62</f>
        <v>572.83000000000015</v>
      </c>
      <c r="AY77" s="68">
        <f t="shared" ca="1" si="115"/>
        <v>0</v>
      </c>
      <c r="AZ77" s="68">
        <f t="shared" ref="AZ77:BA77" ca="1" si="116">AM62</f>
        <v>629.23000000000013</v>
      </c>
      <c r="BA77" s="68">
        <f t="shared" ca="1" si="116"/>
        <v>0</v>
      </c>
      <c r="BB77" s="68">
        <f t="shared" ref="BB77:BC77" ca="1" si="117">Y62</f>
        <v>685.63000000000011</v>
      </c>
      <c r="BC77" s="68">
        <f t="shared" ca="1" si="117"/>
        <v>0</v>
      </c>
    </row>
    <row r="78" spans="1:115">
      <c r="A78">
        <v>2005</v>
      </c>
      <c r="B78">
        <v>5</v>
      </c>
      <c r="C78">
        <v>269.60000000000002</v>
      </c>
      <c r="D78">
        <v>0</v>
      </c>
      <c r="E78">
        <v>208.79999999999998</v>
      </c>
      <c r="F78">
        <v>1.1999999999999993</v>
      </c>
      <c r="G78">
        <v>151.5</v>
      </c>
      <c r="H78">
        <v>5.8999999999999986</v>
      </c>
      <c r="I78">
        <v>99.000000000000014</v>
      </c>
      <c r="J78">
        <v>15.399999999999999</v>
      </c>
      <c r="K78">
        <v>58.8</v>
      </c>
      <c r="L78">
        <v>37.200000000000003</v>
      </c>
      <c r="M78">
        <v>29.9</v>
      </c>
      <c r="N78">
        <v>70.300000000000011</v>
      </c>
      <c r="O78">
        <v>12.200000000000003</v>
      </c>
      <c r="P78">
        <v>114.6</v>
      </c>
      <c r="Q78">
        <v>11.303225806451614</v>
      </c>
      <c r="AO78" t="str">
        <f t="shared" si="104"/>
        <v>March</v>
      </c>
      <c r="AP78" s="68">
        <f t="shared" ref="AP78:AQ78" ca="1" si="118">DE63</f>
        <v>234.17</v>
      </c>
      <c r="AQ78" s="68">
        <f t="shared" ca="1" si="118"/>
        <v>8.2499999999999982</v>
      </c>
      <c r="AR78" s="68">
        <f t="shared" ref="AR78:AS78" ca="1" si="119">CQ63</f>
        <v>291.90000000000003</v>
      </c>
      <c r="AS78" s="68">
        <f t="shared" ca="1" si="119"/>
        <v>3.9800000000000004</v>
      </c>
      <c r="AT78" s="68">
        <f t="shared" ref="AT78:AU78" ca="1" si="120">CH63</f>
        <v>320.02315789473687</v>
      </c>
      <c r="AU78" s="68">
        <f t="shared" ca="1" si="120"/>
        <v>3.3263157894736857</v>
      </c>
      <c r="AV78" s="68">
        <f t="shared" ref="AV78:AW78" ca="1" si="121">BO63</f>
        <v>412.32</v>
      </c>
      <c r="AW78" s="68">
        <f t="shared" ca="1" si="121"/>
        <v>0.4</v>
      </c>
      <c r="AX78" s="68">
        <f t="shared" ref="AX78:AY78" ca="1" si="122">BA63</f>
        <v>473.94000000000005</v>
      </c>
      <c r="AY78" s="68">
        <f t="shared" ca="1" si="122"/>
        <v>1.9999999999999928E-2</v>
      </c>
      <c r="AZ78" s="68">
        <f t="shared" ref="AZ78:BA78" ca="1" si="123">AM63</f>
        <v>535.92000000000007</v>
      </c>
      <c r="BA78" s="68">
        <f t="shared" ca="1" si="123"/>
        <v>0</v>
      </c>
      <c r="BB78" s="68">
        <f t="shared" ref="BB78:BC78" ca="1" si="124">Y63</f>
        <v>597.92000000000007</v>
      </c>
      <c r="BC78" s="68">
        <f t="shared" ca="1" si="124"/>
        <v>0</v>
      </c>
    </row>
    <row r="79" spans="1:115">
      <c r="A79">
        <v>2005</v>
      </c>
      <c r="B79">
        <v>6</v>
      </c>
      <c r="C79">
        <v>34.400000000000006</v>
      </c>
      <c r="D79">
        <v>76.900000000000006</v>
      </c>
      <c r="E79">
        <v>14.900000000000002</v>
      </c>
      <c r="F79">
        <v>117.39999999999998</v>
      </c>
      <c r="G79">
        <v>4.1000000000000014</v>
      </c>
      <c r="H79">
        <v>166.6</v>
      </c>
      <c r="I79">
        <v>0</v>
      </c>
      <c r="J79">
        <v>222.49999999999997</v>
      </c>
      <c r="K79">
        <v>0</v>
      </c>
      <c r="L79">
        <v>282.49999999999989</v>
      </c>
      <c r="M79">
        <v>0</v>
      </c>
      <c r="N79">
        <v>342.49999999999989</v>
      </c>
      <c r="O79">
        <v>0</v>
      </c>
      <c r="P79">
        <v>402.49999999999994</v>
      </c>
      <c r="Q79">
        <v>21.416666666666668</v>
      </c>
      <c r="AO79" t="str">
        <f t="shared" si="104"/>
        <v>April</v>
      </c>
      <c r="AP79" s="68">
        <f t="shared" ref="AP79:AQ79" ca="1" si="125">DE64</f>
        <v>85.41</v>
      </c>
      <c r="AQ79" s="68">
        <f t="shared" ca="1" si="125"/>
        <v>39.879999999999995</v>
      </c>
      <c r="AR79" s="68">
        <f t="shared" ref="AR79:AS79" ca="1" si="126">CQ64</f>
        <v>128</v>
      </c>
      <c r="AS79" s="68">
        <f t="shared" ca="1" si="126"/>
        <v>22.47</v>
      </c>
      <c r="AT79" s="68">
        <f t="shared" ref="AT79:AU79" ca="1" si="127">CH64</f>
        <v>177.53684210526308</v>
      </c>
      <c r="AU79" s="68">
        <f t="shared" ca="1" si="127"/>
        <v>10.738947368421123</v>
      </c>
      <c r="AV79" s="68">
        <f t="shared" ref="AV79:AW79" ca="1" si="128">BO64</f>
        <v>229.95</v>
      </c>
      <c r="AW79" s="68">
        <f t="shared" ca="1" si="128"/>
        <v>4.42</v>
      </c>
      <c r="AX79" s="68">
        <f t="shared" ref="AX79:AY79" ca="1" si="129">BA64</f>
        <v>286.88</v>
      </c>
      <c r="AY79" s="68">
        <f t="shared" ca="1" si="129"/>
        <v>1.3500000000000003</v>
      </c>
      <c r="AZ79" s="68">
        <f t="shared" ref="AZ79:BA79" ca="1" si="130">AM64</f>
        <v>345.8</v>
      </c>
      <c r="BA79" s="68">
        <f t="shared" ca="1" si="130"/>
        <v>0.2700000000000003</v>
      </c>
      <c r="BB79" s="68">
        <f t="shared" ref="BB79:BC79" ca="1" si="131">Y64</f>
        <v>405.52999999999992</v>
      </c>
      <c r="BC79" s="68">
        <f t="shared" ca="1" si="131"/>
        <v>0</v>
      </c>
    </row>
    <row r="80" spans="1:115">
      <c r="A80">
        <v>2005</v>
      </c>
      <c r="B80">
        <v>7</v>
      </c>
      <c r="C80">
        <v>14.600000000000001</v>
      </c>
      <c r="D80">
        <v>68.199999999999989</v>
      </c>
      <c r="E80">
        <v>2.6999999999999993</v>
      </c>
      <c r="F80">
        <v>118.3</v>
      </c>
      <c r="G80">
        <v>0</v>
      </c>
      <c r="H80">
        <v>177.6</v>
      </c>
      <c r="I80">
        <v>0</v>
      </c>
      <c r="J80">
        <v>239.59999999999997</v>
      </c>
      <c r="K80">
        <v>0</v>
      </c>
      <c r="L80">
        <v>301.59999999999997</v>
      </c>
      <c r="M80">
        <v>0</v>
      </c>
      <c r="N80">
        <v>363.59999999999997</v>
      </c>
      <c r="O80">
        <v>0</v>
      </c>
      <c r="P80">
        <v>425.6</v>
      </c>
      <c r="Q80">
        <v>21.729032258064517</v>
      </c>
      <c r="AO80" t="str">
        <f t="shared" si="104"/>
        <v>May</v>
      </c>
      <c r="AP80" s="68">
        <f t="shared" ref="AP80:AQ80" ca="1" si="132">DE65</f>
        <v>11.629999999999999</v>
      </c>
      <c r="AQ80" s="68">
        <f t="shared" ca="1" si="132"/>
        <v>185.01</v>
      </c>
      <c r="AR80" s="68">
        <f t="shared" ref="AR80:AS80" ca="1" si="133">CQ65</f>
        <v>26.77</v>
      </c>
      <c r="AS80" s="68">
        <f t="shared" ca="1" si="133"/>
        <v>138.15</v>
      </c>
      <c r="AT80" s="68">
        <f t="shared" ref="AT80:AU80" ca="1" si="134">CH65</f>
        <v>49.440000000000055</v>
      </c>
      <c r="AU80" s="68">
        <f t="shared" ca="1" si="134"/>
        <v>114.70631578947359</v>
      </c>
      <c r="AV80" s="68">
        <f t="shared" ref="AV80:AW80" ca="1" si="135">BO65</f>
        <v>79.77000000000001</v>
      </c>
      <c r="AW80" s="68">
        <f t="shared" ca="1" si="135"/>
        <v>67.150000000000006</v>
      </c>
      <c r="AX80" s="68">
        <f t="shared" ref="AX80:AY80" ca="1" si="136">BA65</f>
        <v>117.34</v>
      </c>
      <c r="AY80" s="68">
        <f t="shared" ca="1" si="136"/>
        <v>42.72</v>
      </c>
      <c r="AZ80" s="68">
        <f t="shared" ref="AZ80:BA80" ca="1" si="137">AM65</f>
        <v>161.94999999999999</v>
      </c>
      <c r="BA80" s="68">
        <f t="shared" ca="1" si="137"/>
        <v>25.330000000000002</v>
      </c>
      <c r="BB80" s="68">
        <f t="shared" ref="BB80:BC80" ca="1" si="138">Y65</f>
        <v>212.29999999999995</v>
      </c>
      <c r="BC80" s="68">
        <f t="shared" ca="1" si="138"/>
        <v>13.680000000000001</v>
      </c>
    </row>
    <row r="81" spans="1:55">
      <c r="A81">
        <v>2005</v>
      </c>
      <c r="B81">
        <v>8</v>
      </c>
      <c r="C81">
        <v>12.399999999999999</v>
      </c>
      <c r="D81">
        <v>66.100000000000009</v>
      </c>
      <c r="E81">
        <v>2.1999999999999993</v>
      </c>
      <c r="F81">
        <v>117.9</v>
      </c>
      <c r="G81">
        <v>0</v>
      </c>
      <c r="H81">
        <v>177.70000000000005</v>
      </c>
      <c r="I81">
        <v>0</v>
      </c>
      <c r="J81">
        <v>239.70000000000002</v>
      </c>
      <c r="K81">
        <v>0</v>
      </c>
      <c r="L81">
        <v>301.7</v>
      </c>
      <c r="M81">
        <v>0</v>
      </c>
      <c r="N81">
        <v>363.7</v>
      </c>
      <c r="O81">
        <v>0</v>
      </c>
      <c r="P81">
        <v>425.7</v>
      </c>
      <c r="Q81">
        <v>21.732258064516131</v>
      </c>
      <c r="AO81" t="str">
        <f t="shared" si="104"/>
        <v>June</v>
      </c>
      <c r="AP81" s="68">
        <f t="shared" ref="AP81:AQ81" ca="1" si="139">DE66</f>
        <v>0</v>
      </c>
      <c r="AQ81" s="68">
        <f t="shared" ca="1" si="139"/>
        <v>322.03000000000003</v>
      </c>
      <c r="AR81" s="68">
        <f t="shared" ref="AR81:AS81" ca="1" si="140">CQ66</f>
        <v>0.05</v>
      </c>
      <c r="AS81" s="68">
        <f t="shared" ca="1" si="140"/>
        <v>262.08000000000004</v>
      </c>
      <c r="AT81" s="68">
        <f t="shared" ref="AT81:AU81" ca="1" si="141">CH66</f>
        <v>0.53999999999999204</v>
      </c>
      <c r="AU81" s="68">
        <f t="shared" ca="1" si="141"/>
        <v>215.04842105263151</v>
      </c>
      <c r="AV81" s="68">
        <f t="shared" ref="AV81:AW81" ca="1" si="142">BO66</f>
        <v>5.16</v>
      </c>
      <c r="AW81" s="68">
        <f t="shared" ca="1" si="142"/>
        <v>147.19</v>
      </c>
      <c r="AX81" s="68">
        <f t="shared" ref="AX81:AY81" ca="1" si="143">BA66</f>
        <v>15.6</v>
      </c>
      <c r="AY81" s="68">
        <f t="shared" ca="1" si="143"/>
        <v>97.63000000000001</v>
      </c>
      <c r="AZ81" s="68">
        <f t="shared" ref="AZ81:BA81" ca="1" si="144">AM66</f>
        <v>37.47</v>
      </c>
      <c r="BA81" s="68">
        <f t="shared" ca="1" si="144"/>
        <v>59.5</v>
      </c>
      <c r="BB81" s="68">
        <f t="shared" ref="BB81:BC81" ca="1" si="145">Y66</f>
        <v>70.23</v>
      </c>
      <c r="BC81" s="68">
        <f t="shared" ca="1" si="145"/>
        <v>32.260000000000005</v>
      </c>
    </row>
    <row r="82" spans="1:55">
      <c r="A82">
        <v>2005</v>
      </c>
      <c r="B82">
        <v>9</v>
      </c>
      <c r="C82">
        <v>49.399999999999991</v>
      </c>
      <c r="D82">
        <v>24.400000000000006</v>
      </c>
      <c r="E82">
        <v>21.799999999999997</v>
      </c>
      <c r="F82">
        <v>56.8</v>
      </c>
      <c r="G82">
        <v>8.6999999999999993</v>
      </c>
      <c r="H82">
        <v>103.69999999999999</v>
      </c>
      <c r="I82">
        <v>4.5</v>
      </c>
      <c r="J82">
        <v>159.50000000000003</v>
      </c>
      <c r="K82">
        <v>0.5</v>
      </c>
      <c r="L82">
        <v>215.50000000000006</v>
      </c>
      <c r="M82">
        <v>0</v>
      </c>
      <c r="N82">
        <v>275.00000000000006</v>
      </c>
      <c r="O82">
        <v>0</v>
      </c>
      <c r="P82">
        <v>335.00000000000011</v>
      </c>
      <c r="Q82">
        <v>19.166666666666668</v>
      </c>
      <c r="AO82" t="str">
        <f t="shared" si="104"/>
        <v>July</v>
      </c>
      <c r="AP82" s="68">
        <f t="shared" ref="AP82:AQ82" ca="1" si="146">DE67</f>
        <v>0</v>
      </c>
      <c r="AQ82" s="68">
        <f t="shared" ca="1" si="146"/>
        <v>419.7</v>
      </c>
      <c r="AR82" s="68">
        <f t="shared" ref="AR82:AS82" ca="1" si="147">CQ67</f>
        <v>0</v>
      </c>
      <c r="AS82" s="68">
        <f t="shared" ca="1" si="147"/>
        <v>357.7</v>
      </c>
      <c r="AT82" s="68">
        <f t="shared" ref="AT82:AU82" ca="1" si="148">CH67</f>
        <v>0</v>
      </c>
      <c r="AU82" s="68">
        <f t="shared" ca="1" si="148"/>
        <v>313.24368421052668</v>
      </c>
      <c r="AV82" s="68">
        <f t="shared" ref="AV82:AW82" ca="1" si="149">BO67</f>
        <v>0</v>
      </c>
      <c r="AW82" s="68">
        <f t="shared" ca="1" si="149"/>
        <v>233.7</v>
      </c>
      <c r="AX82" s="68">
        <f t="shared" ref="AX82:AY82" ca="1" si="150">BA67</f>
        <v>0.76999999999999991</v>
      </c>
      <c r="AY82" s="68">
        <f t="shared" ca="1" si="150"/>
        <v>172.46999999999997</v>
      </c>
      <c r="AZ82" s="68">
        <f t="shared" ref="AZ82:BA82" ca="1" si="151">AM67</f>
        <v>5.3900000000000015</v>
      </c>
      <c r="BA82" s="68">
        <f t="shared" ca="1" si="151"/>
        <v>115.08999999999999</v>
      </c>
      <c r="BB82" s="68">
        <f t="shared" ref="BB82:BC82" ca="1" si="152">Y67</f>
        <v>18.859999999999996</v>
      </c>
      <c r="BC82" s="68">
        <f t="shared" ca="1" si="152"/>
        <v>66.56</v>
      </c>
    </row>
    <row r="83" spans="1:55">
      <c r="A83">
        <v>2005</v>
      </c>
      <c r="B83">
        <v>10</v>
      </c>
      <c r="C83">
        <v>253.09999999999994</v>
      </c>
      <c r="D83">
        <v>8.1000000000000014</v>
      </c>
      <c r="E83">
        <v>199.89999999999995</v>
      </c>
      <c r="F83">
        <v>16.900000000000002</v>
      </c>
      <c r="G83">
        <v>148.69999999999999</v>
      </c>
      <c r="H83">
        <v>27.700000000000003</v>
      </c>
      <c r="I83">
        <v>102.80000000000001</v>
      </c>
      <c r="J83">
        <v>43.8</v>
      </c>
      <c r="K83">
        <v>63.500000000000007</v>
      </c>
      <c r="L83">
        <v>66.499999999999986</v>
      </c>
      <c r="M83">
        <v>33.599999999999994</v>
      </c>
      <c r="N83">
        <v>98.59999999999998</v>
      </c>
      <c r="O83">
        <v>10.7</v>
      </c>
      <c r="P83">
        <v>137.69999999999999</v>
      </c>
      <c r="Q83">
        <v>12.096774193548393</v>
      </c>
      <c r="AO83" t="str">
        <f t="shared" si="104"/>
        <v>August</v>
      </c>
      <c r="AP83" s="68">
        <f t="shared" ref="AP83:AQ83" ca="1" si="153">DE68</f>
        <v>0</v>
      </c>
      <c r="AQ83" s="68">
        <f t="shared" ca="1" si="153"/>
        <v>402.58</v>
      </c>
      <c r="AR83" s="68">
        <f t="shared" ref="AR83:AS83" ca="1" si="154">CQ68</f>
        <v>0</v>
      </c>
      <c r="AS83" s="68">
        <f t="shared" ca="1" si="154"/>
        <v>340.58</v>
      </c>
      <c r="AT83" s="68">
        <f t="shared" ref="AT83:AU83" ca="1" si="155">CH68</f>
        <v>0</v>
      </c>
      <c r="AU83" s="68">
        <f t="shared" ca="1" si="155"/>
        <v>292.87684210526322</v>
      </c>
      <c r="AV83" s="68">
        <f t="shared" ref="AV83:AW83" ca="1" si="156">BO68</f>
        <v>8.0000000000000071E-2</v>
      </c>
      <c r="AW83" s="68">
        <f t="shared" ca="1" si="156"/>
        <v>216.65999999999994</v>
      </c>
      <c r="AX83" s="68">
        <f t="shared" ref="AX83:AY83" ca="1" si="157">BA68</f>
        <v>0.92000000000000015</v>
      </c>
      <c r="AY83" s="68">
        <f t="shared" ca="1" si="157"/>
        <v>155.49999999999997</v>
      </c>
      <c r="AZ83" s="68">
        <f t="shared" ref="AZ83:BA83" ca="1" si="158">AM68</f>
        <v>6.85</v>
      </c>
      <c r="BA83" s="68">
        <f t="shared" ca="1" si="158"/>
        <v>99.429999999999993</v>
      </c>
      <c r="BB83" s="68">
        <f t="shared" ref="BB83:BC83" ca="1" si="159">Y68</f>
        <v>22.540000000000006</v>
      </c>
      <c r="BC83" s="68">
        <f t="shared" ca="1" si="159"/>
        <v>53.11999999999999</v>
      </c>
    </row>
    <row r="84" spans="1:55">
      <c r="A84">
        <v>2005</v>
      </c>
      <c r="B84">
        <v>11</v>
      </c>
      <c r="C84">
        <v>434.8</v>
      </c>
      <c r="D84">
        <v>0</v>
      </c>
      <c r="E84">
        <v>374.8</v>
      </c>
      <c r="F84">
        <v>0</v>
      </c>
      <c r="G84">
        <v>314.8</v>
      </c>
      <c r="H84">
        <v>0</v>
      </c>
      <c r="I84">
        <v>256.10000000000002</v>
      </c>
      <c r="J84">
        <v>1.3000000000000007</v>
      </c>
      <c r="K84">
        <v>201.89999999999998</v>
      </c>
      <c r="L84">
        <v>7.1000000000000014</v>
      </c>
      <c r="M84">
        <v>155.5</v>
      </c>
      <c r="N84">
        <v>20.700000000000003</v>
      </c>
      <c r="O84">
        <v>118</v>
      </c>
      <c r="P84">
        <v>43.2</v>
      </c>
      <c r="Q84">
        <v>5.5066666666666659</v>
      </c>
      <c r="AO84" t="str">
        <f t="shared" si="104"/>
        <v>September</v>
      </c>
      <c r="AP84" s="68">
        <f t="shared" ref="AP84:AQ84" ca="1" si="160">DE69</f>
        <v>9.9999999999999638E-3</v>
      </c>
      <c r="AQ84" s="68">
        <f t="shared" ca="1" si="160"/>
        <v>286.05</v>
      </c>
      <c r="AR84" s="68">
        <f t="shared" ref="AR84:AS84" ca="1" si="161">CQ69</f>
        <v>0.35</v>
      </c>
      <c r="AS84" s="68">
        <f t="shared" ca="1" si="161"/>
        <v>226.39000000000001</v>
      </c>
      <c r="AT84" s="68">
        <f t="shared" ref="AT84:AU84" ca="1" si="162">CH69</f>
        <v>2.8826315789473682</v>
      </c>
      <c r="AU84" s="68">
        <f t="shared" ca="1" si="162"/>
        <v>168.05526315789473</v>
      </c>
      <c r="AV84" s="68">
        <f t="shared" ref="AV84:AW84" ca="1" si="163">BO69</f>
        <v>12.280000000000001</v>
      </c>
      <c r="AW84" s="68">
        <f t="shared" ca="1" si="163"/>
        <v>118.32000000000001</v>
      </c>
      <c r="AX84" s="68">
        <f t="shared" ref="AX84:AY84" ca="1" si="164">BA69</f>
        <v>30.089999999999996</v>
      </c>
      <c r="AY84" s="68">
        <f t="shared" ca="1" si="164"/>
        <v>76.13</v>
      </c>
      <c r="AZ84" s="68">
        <f t="shared" ref="AZ84:BA84" ca="1" si="165">AM69</f>
        <v>57.89</v>
      </c>
      <c r="BA84" s="68">
        <f t="shared" ca="1" si="165"/>
        <v>43.93</v>
      </c>
      <c r="BB84" s="68">
        <f t="shared" ref="BB84:BC84" ca="1" si="166">Y69</f>
        <v>95.889999999999986</v>
      </c>
      <c r="BC84" s="68">
        <f t="shared" ca="1" si="166"/>
        <v>21.93</v>
      </c>
    </row>
    <row r="85" spans="1:55">
      <c r="A85">
        <v>2005</v>
      </c>
      <c r="B85">
        <v>12</v>
      </c>
      <c r="C85">
        <v>714.20000000000016</v>
      </c>
      <c r="D85">
        <v>0</v>
      </c>
      <c r="E85">
        <v>652.20000000000016</v>
      </c>
      <c r="F85">
        <v>0</v>
      </c>
      <c r="G85">
        <v>590.20000000000005</v>
      </c>
      <c r="H85">
        <v>0</v>
      </c>
      <c r="I85">
        <v>528.20000000000005</v>
      </c>
      <c r="J85">
        <v>0</v>
      </c>
      <c r="K85">
        <v>466.20000000000005</v>
      </c>
      <c r="L85">
        <v>0</v>
      </c>
      <c r="M85">
        <v>404.20000000000005</v>
      </c>
      <c r="N85">
        <v>0</v>
      </c>
      <c r="O85">
        <v>342.2</v>
      </c>
      <c r="P85">
        <v>0</v>
      </c>
      <c r="Q85">
        <v>-3.0387096774193543</v>
      </c>
      <c r="AO85" t="str">
        <f t="shared" si="104"/>
        <v>October</v>
      </c>
      <c r="AP85" s="68">
        <f t="shared" ref="AP85:AQ85" ca="1" si="167">DE70</f>
        <v>17.32</v>
      </c>
      <c r="AQ85" s="68">
        <f t="shared" ca="1" si="167"/>
        <v>122.42999999999999</v>
      </c>
      <c r="AR85" s="68">
        <f t="shared" ref="AR85:AS85" ca="1" si="168">CQ70</f>
        <v>40.32</v>
      </c>
      <c r="AS85" s="68">
        <f t="shared" ca="1" si="168"/>
        <v>83.43</v>
      </c>
      <c r="AT85" s="68">
        <f t="shared" ref="AT85:AU85" ca="1" si="169">CH70</f>
        <v>67.864736842105231</v>
      </c>
      <c r="AU85" s="68">
        <f t="shared" ca="1" si="169"/>
        <v>57.848421052631693</v>
      </c>
      <c r="AV85" s="68">
        <f t="shared" ref="AV85:AW85" ca="1" si="170">BO70</f>
        <v>111.21000000000001</v>
      </c>
      <c r="AW85" s="68">
        <f t="shared" ca="1" si="170"/>
        <v>30.32</v>
      </c>
      <c r="AX85" s="68">
        <f t="shared" ref="AX85:AY85" ca="1" si="171">BA70</f>
        <v>158.22000000000003</v>
      </c>
      <c r="AY85" s="68">
        <f t="shared" ca="1" si="171"/>
        <v>15.330000000000002</v>
      </c>
      <c r="AZ85" s="68">
        <f t="shared" ref="AZ85:BA85" ca="1" si="172">AM70</f>
        <v>211.51000000000005</v>
      </c>
      <c r="BA85" s="68">
        <f t="shared" ca="1" si="172"/>
        <v>6.6199999999999992</v>
      </c>
      <c r="BB85" s="68">
        <f t="shared" ref="BB85:BC85" ca="1" si="173">Y70</f>
        <v>268.88</v>
      </c>
      <c r="BC85" s="68">
        <f t="shared" ca="1" si="173"/>
        <v>1.9899999999999998</v>
      </c>
    </row>
    <row r="86" spans="1:55">
      <c r="A86">
        <v>2006</v>
      </c>
      <c r="B86">
        <v>1</v>
      </c>
      <c r="C86">
        <v>589</v>
      </c>
      <c r="D86">
        <v>0</v>
      </c>
      <c r="E86">
        <v>527</v>
      </c>
      <c r="F86">
        <v>0</v>
      </c>
      <c r="G86">
        <v>464.99999999999994</v>
      </c>
      <c r="H86">
        <v>0</v>
      </c>
      <c r="I86">
        <v>402.99999999999994</v>
      </c>
      <c r="J86">
        <v>0</v>
      </c>
      <c r="K86">
        <v>341</v>
      </c>
      <c r="L86">
        <v>0</v>
      </c>
      <c r="M86">
        <v>279</v>
      </c>
      <c r="N86">
        <v>0</v>
      </c>
      <c r="O86">
        <v>216.99999999999997</v>
      </c>
      <c r="P86">
        <v>0</v>
      </c>
      <c r="Q86">
        <v>1.0000000000000002</v>
      </c>
      <c r="AO86" t="str">
        <f t="shared" ref="AO86:AO87" si="174">DD71</f>
        <v>November</v>
      </c>
      <c r="AP86" s="68">
        <f t="shared" ref="AP86:AP87" ca="1" si="175">DE71</f>
        <v>139.07</v>
      </c>
      <c r="AQ86" s="68">
        <f t="shared" ref="AQ86:AQ87" ca="1" si="176">DF71</f>
        <v>24.330000000000002</v>
      </c>
      <c r="AR86" s="68">
        <f t="shared" ref="AR86:AR87" ca="1" si="177">CQ71</f>
        <v>187.19</v>
      </c>
      <c r="AS86" s="68">
        <f t="shared" ref="AS86:AS87" ca="1" si="178">CR71</f>
        <v>12.45</v>
      </c>
      <c r="AT86" s="68">
        <f t="shared" ref="AT86:AT87" ca="1" si="179">CH71</f>
        <v>245.83684210526326</v>
      </c>
      <c r="AU86" s="68">
        <f t="shared" ref="AU86:AU87" ca="1" si="180">CI71</f>
        <v>7.9547368421052624</v>
      </c>
      <c r="AV86" s="68">
        <f t="shared" ref="AV86:AV87" ca="1" si="181">BO71</f>
        <v>297.28000000000003</v>
      </c>
      <c r="AW86" s="68">
        <f t="shared" ref="AW86:AW87" ca="1" si="182">BP71</f>
        <v>2.54</v>
      </c>
      <c r="AX86" s="68">
        <f t="shared" ref="AX86:AX87" ca="1" si="183">BA71</f>
        <v>355.49999999999994</v>
      </c>
      <c r="AY86" s="68">
        <f t="shared" ref="AY86:AY87" ca="1" si="184">BB71</f>
        <v>0.76000000000000012</v>
      </c>
      <c r="AZ86" s="68">
        <f t="shared" ref="AZ86:AZ87" ca="1" si="185">AM71</f>
        <v>414.91</v>
      </c>
      <c r="BA86" s="68">
        <f t="shared" ref="BA86:BA87" ca="1" si="186">AN71</f>
        <v>0.16999999999999993</v>
      </c>
      <c r="BB86" s="68">
        <f t="shared" ref="BB86:BB87" ca="1" si="187">Y71</f>
        <v>474.74000000000007</v>
      </c>
      <c r="BC86" s="68">
        <f t="shared" ref="BC86:BC87" ca="1" si="188">Z71</f>
        <v>0</v>
      </c>
    </row>
    <row r="87" spans="1:55">
      <c r="A87">
        <v>2006</v>
      </c>
      <c r="B87">
        <v>2</v>
      </c>
      <c r="C87">
        <v>634.39999999999986</v>
      </c>
      <c r="D87">
        <v>0</v>
      </c>
      <c r="E87">
        <v>578.4</v>
      </c>
      <c r="F87">
        <v>0</v>
      </c>
      <c r="G87">
        <v>522.4</v>
      </c>
      <c r="H87">
        <v>0</v>
      </c>
      <c r="I87">
        <v>466.40000000000003</v>
      </c>
      <c r="J87">
        <v>0</v>
      </c>
      <c r="K87">
        <v>410.40000000000003</v>
      </c>
      <c r="L87">
        <v>0</v>
      </c>
      <c r="M87">
        <v>354.40000000000003</v>
      </c>
      <c r="N87">
        <v>0</v>
      </c>
      <c r="O87">
        <v>298.40000000000003</v>
      </c>
      <c r="P87">
        <v>0</v>
      </c>
      <c r="Q87">
        <v>-2.657142857142857</v>
      </c>
      <c r="AO87" t="str">
        <f t="shared" si="174"/>
        <v>December</v>
      </c>
      <c r="AP87" s="68">
        <f t="shared" ca="1" si="175"/>
        <v>255.9</v>
      </c>
      <c r="AQ87" s="68">
        <f t="shared" ca="1" si="176"/>
        <v>1.65</v>
      </c>
      <c r="AR87" s="68">
        <f t="shared" ca="1" si="177"/>
        <v>316.54000000000002</v>
      </c>
      <c r="AS87" s="68">
        <f t="shared" ca="1" si="178"/>
        <v>0.29000000000000004</v>
      </c>
      <c r="AT87" s="68">
        <f t="shared" ca="1" si="179"/>
        <v>353.27894736842063</v>
      </c>
      <c r="AU87" s="68">
        <f t="shared" ca="1" si="180"/>
        <v>0</v>
      </c>
      <c r="AV87" s="68">
        <f t="shared" ca="1" si="181"/>
        <v>440.25</v>
      </c>
      <c r="AW87" s="68">
        <f t="shared" ca="1" si="182"/>
        <v>0</v>
      </c>
      <c r="AX87" s="68">
        <f t="shared" ca="1" si="183"/>
        <v>502.25</v>
      </c>
      <c r="AY87" s="68">
        <f t="shared" ca="1" si="184"/>
        <v>0</v>
      </c>
      <c r="AZ87" s="68">
        <f t="shared" ca="1" si="185"/>
        <v>564.24999999999989</v>
      </c>
      <c r="BA87" s="68">
        <f t="shared" ca="1" si="186"/>
        <v>0</v>
      </c>
      <c r="BB87" s="68">
        <f t="shared" ca="1" si="187"/>
        <v>626.25</v>
      </c>
      <c r="BC87" s="68">
        <f t="shared" ca="1" si="188"/>
        <v>0</v>
      </c>
    </row>
    <row r="88" spans="1:55">
      <c r="A88">
        <v>2006</v>
      </c>
      <c r="B88">
        <v>3</v>
      </c>
      <c r="C88">
        <v>580.29999999999995</v>
      </c>
      <c r="D88">
        <v>0</v>
      </c>
      <c r="E88">
        <v>518.29999999999995</v>
      </c>
      <c r="F88">
        <v>0</v>
      </c>
      <c r="G88">
        <v>456.29999999999995</v>
      </c>
      <c r="H88">
        <v>0</v>
      </c>
      <c r="I88">
        <v>394.29999999999995</v>
      </c>
      <c r="J88">
        <v>0</v>
      </c>
      <c r="K88">
        <v>333.49999999999994</v>
      </c>
      <c r="L88">
        <v>1.1999999999999993</v>
      </c>
      <c r="M88">
        <v>273.79999999999995</v>
      </c>
      <c r="N88">
        <v>3.5</v>
      </c>
      <c r="O88">
        <v>215.79999999999995</v>
      </c>
      <c r="P88">
        <v>7.5</v>
      </c>
      <c r="Q88">
        <v>1.2806451612903227</v>
      </c>
    </row>
    <row r="89" spans="1:55">
      <c r="A89">
        <v>2006</v>
      </c>
      <c r="B89">
        <v>4</v>
      </c>
      <c r="C89">
        <v>349.7</v>
      </c>
      <c r="D89">
        <v>0</v>
      </c>
      <c r="E89">
        <v>289.7</v>
      </c>
      <c r="F89">
        <v>0</v>
      </c>
      <c r="G89">
        <v>230.89999999999992</v>
      </c>
      <c r="H89">
        <v>1.2000000000000028</v>
      </c>
      <c r="I89">
        <v>178.79999999999993</v>
      </c>
      <c r="J89">
        <v>9.1000000000000032</v>
      </c>
      <c r="K89">
        <v>130.69999999999996</v>
      </c>
      <c r="L89">
        <v>21.000000000000004</v>
      </c>
      <c r="M89">
        <v>88.799999999999983</v>
      </c>
      <c r="N89">
        <v>39.100000000000009</v>
      </c>
      <c r="O89">
        <v>52.800000000000004</v>
      </c>
      <c r="P89">
        <v>63.099999999999994</v>
      </c>
      <c r="Q89">
        <v>8.3433333333333355</v>
      </c>
    </row>
    <row r="90" spans="1:55">
      <c r="A90">
        <v>2006</v>
      </c>
      <c r="B90">
        <v>5</v>
      </c>
      <c r="C90">
        <v>199.40000000000003</v>
      </c>
      <c r="D90">
        <v>15.8</v>
      </c>
      <c r="E90">
        <v>147.5</v>
      </c>
      <c r="F90">
        <v>25.900000000000002</v>
      </c>
      <c r="G90">
        <v>99.7</v>
      </c>
      <c r="H90">
        <v>40.1</v>
      </c>
      <c r="I90">
        <v>61.70000000000001</v>
      </c>
      <c r="J90">
        <v>64.099999999999994</v>
      </c>
      <c r="K90">
        <v>35.800000000000004</v>
      </c>
      <c r="L90">
        <v>100.20000000000002</v>
      </c>
      <c r="M90">
        <v>14.4</v>
      </c>
      <c r="N90">
        <v>140.80000000000001</v>
      </c>
      <c r="O90">
        <v>4.7</v>
      </c>
      <c r="P90">
        <v>193.10000000000002</v>
      </c>
      <c r="Q90">
        <v>14.07741935483871</v>
      </c>
    </row>
    <row r="91" spans="1:55">
      <c r="A91">
        <v>2006</v>
      </c>
      <c r="B91">
        <v>6</v>
      </c>
      <c r="C91">
        <v>81.100000000000009</v>
      </c>
      <c r="D91">
        <v>21.4</v>
      </c>
      <c r="E91">
        <v>43.5</v>
      </c>
      <c r="F91">
        <v>43.800000000000011</v>
      </c>
      <c r="G91">
        <v>16.700000000000003</v>
      </c>
      <c r="H91">
        <v>77</v>
      </c>
      <c r="I91">
        <v>3.9000000000000004</v>
      </c>
      <c r="J91">
        <v>124.19999999999999</v>
      </c>
      <c r="K91">
        <v>0.19999999999999929</v>
      </c>
      <c r="L91">
        <v>180.5</v>
      </c>
      <c r="M91">
        <v>0</v>
      </c>
      <c r="N91">
        <v>240.3</v>
      </c>
      <c r="O91">
        <v>0</v>
      </c>
      <c r="P91">
        <v>300.3</v>
      </c>
      <c r="Q91">
        <v>18.010000000000002</v>
      </c>
    </row>
    <row r="92" spans="1:55">
      <c r="A92">
        <v>2006</v>
      </c>
      <c r="B92">
        <v>7</v>
      </c>
      <c r="C92">
        <v>9.9999999999999982</v>
      </c>
      <c r="D92">
        <v>89.200000000000017</v>
      </c>
      <c r="E92">
        <v>3.4999999999999982</v>
      </c>
      <c r="F92">
        <v>144.70000000000002</v>
      </c>
      <c r="G92">
        <v>9.9999999999999645E-2</v>
      </c>
      <c r="H92">
        <v>203.3</v>
      </c>
      <c r="I92">
        <v>0</v>
      </c>
      <c r="J92">
        <v>265.2</v>
      </c>
      <c r="K92">
        <v>0</v>
      </c>
      <c r="L92">
        <v>327.19999999999993</v>
      </c>
      <c r="M92">
        <v>0</v>
      </c>
      <c r="N92">
        <v>389.19999999999993</v>
      </c>
      <c r="O92">
        <v>0</v>
      </c>
      <c r="P92">
        <v>451.2</v>
      </c>
      <c r="Q92">
        <v>22.554838709677416</v>
      </c>
    </row>
    <row r="93" spans="1:55">
      <c r="A93">
        <v>2006</v>
      </c>
      <c r="B93">
        <v>8</v>
      </c>
      <c r="C93">
        <v>32.200000000000003</v>
      </c>
      <c r="D93">
        <v>37.5</v>
      </c>
      <c r="E93">
        <v>7.5</v>
      </c>
      <c r="F93">
        <v>74.799999999999983</v>
      </c>
      <c r="G93">
        <v>0</v>
      </c>
      <c r="H93">
        <v>129.29999999999998</v>
      </c>
      <c r="I93">
        <v>0</v>
      </c>
      <c r="J93">
        <v>191.29999999999998</v>
      </c>
      <c r="K93">
        <v>0</v>
      </c>
      <c r="L93">
        <v>253.3</v>
      </c>
      <c r="M93">
        <v>0</v>
      </c>
      <c r="N93">
        <v>315.30000000000007</v>
      </c>
      <c r="O93">
        <v>0</v>
      </c>
      <c r="P93">
        <v>377.30000000000007</v>
      </c>
      <c r="Q93">
        <v>20.170967741935485</v>
      </c>
    </row>
    <row r="94" spans="1:55">
      <c r="A94">
        <v>2006</v>
      </c>
      <c r="B94">
        <v>9</v>
      </c>
      <c r="C94">
        <v>139</v>
      </c>
      <c r="D94">
        <v>1.3000000000000007</v>
      </c>
      <c r="E94">
        <v>85.499999999999986</v>
      </c>
      <c r="F94">
        <v>7.8000000000000007</v>
      </c>
      <c r="G94">
        <v>41.699999999999996</v>
      </c>
      <c r="H94">
        <v>24</v>
      </c>
      <c r="I94">
        <v>18.599999999999998</v>
      </c>
      <c r="J94">
        <v>60.899999999999991</v>
      </c>
      <c r="K94">
        <v>4.5999999999999996</v>
      </c>
      <c r="L94">
        <v>106.89999999999999</v>
      </c>
      <c r="M94">
        <v>0.59999999999999964</v>
      </c>
      <c r="N94">
        <v>162.90000000000003</v>
      </c>
      <c r="O94">
        <v>0</v>
      </c>
      <c r="P94">
        <v>222.30000000000004</v>
      </c>
      <c r="Q94">
        <v>15.410000000000004</v>
      </c>
    </row>
    <row r="95" spans="1:55">
      <c r="A95">
        <v>2006</v>
      </c>
      <c r="B95">
        <v>10</v>
      </c>
      <c r="C95">
        <v>347.49999999999994</v>
      </c>
      <c r="D95">
        <v>0</v>
      </c>
      <c r="E95">
        <v>287.3</v>
      </c>
      <c r="F95">
        <v>1.8000000000000007</v>
      </c>
      <c r="G95">
        <v>227.29999999999998</v>
      </c>
      <c r="H95">
        <v>3.8000000000000007</v>
      </c>
      <c r="I95">
        <v>167.59999999999994</v>
      </c>
      <c r="J95">
        <v>6.1000000000000014</v>
      </c>
      <c r="K95">
        <v>115.3</v>
      </c>
      <c r="L95">
        <v>15.8</v>
      </c>
      <c r="M95">
        <v>73.5</v>
      </c>
      <c r="N95">
        <v>36</v>
      </c>
      <c r="O95">
        <v>38.200000000000003</v>
      </c>
      <c r="P95">
        <v>62.699999999999996</v>
      </c>
      <c r="Q95">
        <v>8.7903225806451619</v>
      </c>
    </row>
    <row r="96" spans="1:55">
      <c r="A96">
        <v>2006</v>
      </c>
      <c r="B96">
        <v>11</v>
      </c>
      <c r="C96">
        <v>432.1</v>
      </c>
      <c r="D96">
        <v>0</v>
      </c>
      <c r="E96">
        <v>372.1</v>
      </c>
      <c r="F96">
        <v>0</v>
      </c>
      <c r="G96">
        <v>312.10000000000002</v>
      </c>
      <c r="H96">
        <v>0</v>
      </c>
      <c r="I96">
        <v>252.29999999999998</v>
      </c>
      <c r="J96">
        <v>0.19999999999999929</v>
      </c>
      <c r="K96">
        <v>195.50000000000003</v>
      </c>
      <c r="L96">
        <v>3.3999999999999986</v>
      </c>
      <c r="M96">
        <v>143.1</v>
      </c>
      <c r="N96">
        <v>10.999999999999998</v>
      </c>
      <c r="O96">
        <v>98.600000000000009</v>
      </c>
      <c r="P96">
        <v>26.5</v>
      </c>
      <c r="Q96">
        <v>5.5966666666666658</v>
      </c>
    </row>
    <row r="97" spans="1:17">
      <c r="A97">
        <v>2006</v>
      </c>
      <c r="B97">
        <v>12</v>
      </c>
      <c r="C97">
        <v>551.70000000000005</v>
      </c>
      <c r="D97">
        <v>0</v>
      </c>
      <c r="E97">
        <v>489.69999999999993</v>
      </c>
      <c r="F97">
        <v>0</v>
      </c>
      <c r="G97">
        <v>427.69999999999987</v>
      </c>
      <c r="H97">
        <v>0</v>
      </c>
      <c r="I97">
        <v>365.7</v>
      </c>
      <c r="J97">
        <v>0</v>
      </c>
      <c r="K97">
        <v>303.70000000000005</v>
      </c>
      <c r="L97">
        <v>0</v>
      </c>
      <c r="M97">
        <v>241.69999999999996</v>
      </c>
      <c r="N97">
        <v>0</v>
      </c>
      <c r="O97">
        <v>180.29999999999995</v>
      </c>
      <c r="P97">
        <v>0.59999999999999964</v>
      </c>
      <c r="Q97">
        <v>2.2032258064516128</v>
      </c>
    </row>
    <row r="98" spans="1:17">
      <c r="A98">
        <v>2007</v>
      </c>
      <c r="B98">
        <v>1</v>
      </c>
      <c r="C98">
        <v>698</v>
      </c>
      <c r="D98">
        <v>0</v>
      </c>
      <c r="E98">
        <v>636.00000000000011</v>
      </c>
      <c r="F98">
        <v>0</v>
      </c>
      <c r="G98">
        <v>574</v>
      </c>
      <c r="H98">
        <v>0</v>
      </c>
      <c r="I98">
        <v>511.99999999999989</v>
      </c>
      <c r="J98">
        <v>0</v>
      </c>
      <c r="K98">
        <v>449.99999999999994</v>
      </c>
      <c r="L98">
        <v>0</v>
      </c>
      <c r="M98">
        <v>387.99999999999994</v>
      </c>
      <c r="N98">
        <v>0</v>
      </c>
      <c r="O98">
        <v>326.89999999999992</v>
      </c>
      <c r="P98">
        <v>0.90000000000000036</v>
      </c>
      <c r="Q98">
        <v>-2.5161290322580649</v>
      </c>
    </row>
    <row r="99" spans="1:17">
      <c r="A99">
        <v>2007</v>
      </c>
      <c r="B99">
        <v>2</v>
      </c>
      <c r="C99">
        <v>788.6</v>
      </c>
      <c r="D99">
        <v>0</v>
      </c>
      <c r="E99">
        <v>732.6</v>
      </c>
      <c r="F99">
        <v>0</v>
      </c>
      <c r="G99">
        <v>676.6</v>
      </c>
      <c r="H99">
        <v>0</v>
      </c>
      <c r="I99">
        <v>620.6</v>
      </c>
      <c r="J99">
        <v>0</v>
      </c>
      <c r="K99">
        <v>564.6</v>
      </c>
      <c r="L99">
        <v>0</v>
      </c>
      <c r="M99">
        <v>508.59999999999991</v>
      </c>
      <c r="N99">
        <v>0</v>
      </c>
      <c r="O99">
        <v>452.59999999999991</v>
      </c>
      <c r="P99">
        <v>0</v>
      </c>
      <c r="Q99">
        <v>-8.1642857142857146</v>
      </c>
    </row>
    <row r="100" spans="1:17">
      <c r="A100">
        <v>2007</v>
      </c>
      <c r="B100">
        <v>3</v>
      </c>
      <c r="C100">
        <v>557.1</v>
      </c>
      <c r="D100">
        <v>0</v>
      </c>
      <c r="E100">
        <v>495.1</v>
      </c>
      <c r="F100">
        <v>0</v>
      </c>
      <c r="G100">
        <v>433.59999999999997</v>
      </c>
      <c r="H100">
        <v>0.5</v>
      </c>
      <c r="I100">
        <v>373.59999999999997</v>
      </c>
      <c r="J100">
        <v>2.5</v>
      </c>
      <c r="K100">
        <v>313.59999999999991</v>
      </c>
      <c r="L100">
        <v>4.5</v>
      </c>
      <c r="M100">
        <v>256.09999999999997</v>
      </c>
      <c r="N100">
        <v>9</v>
      </c>
      <c r="O100">
        <v>201.09999999999997</v>
      </c>
      <c r="P100">
        <v>16</v>
      </c>
      <c r="Q100">
        <v>2.0290322580645159</v>
      </c>
    </row>
    <row r="101" spans="1:17">
      <c r="A101">
        <v>2007</v>
      </c>
      <c r="B101">
        <v>4</v>
      </c>
      <c r="C101">
        <v>419</v>
      </c>
      <c r="D101">
        <v>0</v>
      </c>
      <c r="E101">
        <v>359</v>
      </c>
      <c r="F101">
        <v>0</v>
      </c>
      <c r="G101">
        <v>299</v>
      </c>
      <c r="H101">
        <v>0</v>
      </c>
      <c r="I101">
        <v>241.89999999999995</v>
      </c>
      <c r="J101">
        <v>2.9000000000000004</v>
      </c>
      <c r="K101">
        <v>189.29999999999995</v>
      </c>
      <c r="L101">
        <v>10.299999999999999</v>
      </c>
      <c r="M101">
        <v>142.69999999999999</v>
      </c>
      <c r="N101">
        <v>23.7</v>
      </c>
      <c r="O101">
        <v>101.90000000000002</v>
      </c>
      <c r="P101">
        <v>42.9</v>
      </c>
      <c r="Q101">
        <v>6.0333333333333341</v>
      </c>
    </row>
    <row r="102" spans="1:17">
      <c r="A102">
        <v>2007</v>
      </c>
      <c r="B102">
        <v>5</v>
      </c>
      <c r="C102">
        <v>198.49999999999994</v>
      </c>
      <c r="D102">
        <v>12.899999999999999</v>
      </c>
      <c r="E102">
        <v>146.5</v>
      </c>
      <c r="F102">
        <v>22.900000000000002</v>
      </c>
      <c r="G102">
        <v>102.5</v>
      </c>
      <c r="H102">
        <v>40.900000000000006</v>
      </c>
      <c r="I102">
        <v>64.599999999999994</v>
      </c>
      <c r="J102">
        <v>65</v>
      </c>
      <c r="K102">
        <v>34.699999999999989</v>
      </c>
      <c r="L102">
        <v>97.100000000000009</v>
      </c>
      <c r="M102">
        <v>11.7</v>
      </c>
      <c r="N102">
        <v>136.10000000000002</v>
      </c>
      <c r="O102">
        <v>9.9999999999999645E-2</v>
      </c>
      <c r="P102">
        <v>186.5</v>
      </c>
      <c r="Q102">
        <v>14.012903225806451</v>
      </c>
    </row>
    <row r="103" spans="1:17">
      <c r="A103">
        <v>2007</v>
      </c>
      <c r="B103">
        <v>6</v>
      </c>
      <c r="C103">
        <v>59.8</v>
      </c>
      <c r="D103">
        <v>34.9</v>
      </c>
      <c r="E103">
        <v>30.000000000000007</v>
      </c>
      <c r="F103">
        <v>65.099999999999994</v>
      </c>
      <c r="G103">
        <v>12.100000000000001</v>
      </c>
      <c r="H103">
        <v>107.19999999999999</v>
      </c>
      <c r="I103">
        <v>5.1999999999999993</v>
      </c>
      <c r="J103">
        <v>160.29999999999998</v>
      </c>
      <c r="K103">
        <v>2</v>
      </c>
      <c r="L103">
        <v>217.1</v>
      </c>
      <c r="M103">
        <v>0</v>
      </c>
      <c r="N103">
        <v>275.09999999999997</v>
      </c>
      <c r="O103">
        <v>0</v>
      </c>
      <c r="P103">
        <v>335.09999999999997</v>
      </c>
      <c r="Q103">
        <v>19.170000000000002</v>
      </c>
    </row>
    <row r="104" spans="1:17">
      <c r="A104">
        <v>2007</v>
      </c>
      <c r="B104">
        <v>7</v>
      </c>
      <c r="C104">
        <v>26.6</v>
      </c>
      <c r="D104">
        <v>42.100000000000009</v>
      </c>
      <c r="E104">
        <v>10.7</v>
      </c>
      <c r="F104">
        <v>88.2</v>
      </c>
      <c r="G104">
        <v>3.5</v>
      </c>
      <c r="H104">
        <v>143</v>
      </c>
      <c r="I104">
        <v>0</v>
      </c>
      <c r="J104">
        <v>201.50000000000003</v>
      </c>
      <c r="K104">
        <v>0</v>
      </c>
      <c r="L104">
        <v>263.50000000000006</v>
      </c>
      <c r="M104">
        <v>0</v>
      </c>
      <c r="N104">
        <v>325.5</v>
      </c>
      <c r="O104">
        <v>0</v>
      </c>
      <c r="P104">
        <v>387.5</v>
      </c>
      <c r="Q104">
        <v>20.5</v>
      </c>
    </row>
    <row r="105" spans="1:17">
      <c r="A105">
        <v>2007</v>
      </c>
      <c r="B105">
        <v>8</v>
      </c>
      <c r="C105">
        <v>29.8</v>
      </c>
      <c r="D105">
        <v>58.199999999999996</v>
      </c>
      <c r="E105">
        <v>8.9000000000000021</v>
      </c>
      <c r="F105">
        <v>99.299999999999983</v>
      </c>
      <c r="G105">
        <v>1.8000000000000007</v>
      </c>
      <c r="H105">
        <v>154.20000000000002</v>
      </c>
      <c r="I105">
        <v>0</v>
      </c>
      <c r="J105">
        <v>214.4</v>
      </c>
      <c r="K105">
        <v>0</v>
      </c>
      <c r="L105">
        <v>276.39999999999998</v>
      </c>
      <c r="M105">
        <v>0</v>
      </c>
      <c r="N105">
        <v>338.4</v>
      </c>
      <c r="O105">
        <v>0</v>
      </c>
      <c r="P105">
        <v>400.4</v>
      </c>
      <c r="Q105">
        <v>20.916129032258063</v>
      </c>
    </row>
    <row r="106" spans="1:17">
      <c r="A106">
        <v>2007</v>
      </c>
      <c r="B106">
        <v>9</v>
      </c>
      <c r="C106">
        <v>78.700000000000017</v>
      </c>
      <c r="D106">
        <v>21.700000000000003</v>
      </c>
      <c r="E106">
        <v>43.1</v>
      </c>
      <c r="F106">
        <v>46.1</v>
      </c>
      <c r="G106">
        <v>18.399999999999999</v>
      </c>
      <c r="H106">
        <v>81.400000000000006</v>
      </c>
      <c r="I106">
        <v>7.6000000000000014</v>
      </c>
      <c r="J106">
        <v>130.60000000000002</v>
      </c>
      <c r="K106">
        <v>2.8000000000000007</v>
      </c>
      <c r="L106">
        <v>185.80000000000004</v>
      </c>
      <c r="M106">
        <v>0</v>
      </c>
      <c r="N106">
        <v>243</v>
      </c>
      <c r="O106">
        <v>0</v>
      </c>
      <c r="P106">
        <v>302.99999999999994</v>
      </c>
      <c r="Q106">
        <v>18.099999999999998</v>
      </c>
    </row>
    <row r="107" spans="1:17">
      <c r="A107">
        <v>2007</v>
      </c>
      <c r="B107">
        <v>10</v>
      </c>
      <c r="C107">
        <v>183.7</v>
      </c>
      <c r="D107">
        <v>20.7</v>
      </c>
      <c r="E107">
        <v>132.5</v>
      </c>
      <c r="F107">
        <v>31.5</v>
      </c>
      <c r="G107">
        <v>95.199999999999989</v>
      </c>
      <c r="H107">
        <v>56.2</v>
      </c>
      <c r="I107">
        <v>63.699999999999989</v>
      </c>
      <c r="J107">
        <v>86.7</v>
      </c>
      <c r="K107">
        <v>36.099999999999994</v>
      </c>
      <c r="L107">
        <v>121.09999999999998</v>
      </c>
      <c r="M107">
        <v>12.100000000000001</v>
      </c>
      <c r="N107">
        <v>159.1</v>
      </c>
      <c r="O107">
        <v>3</v>
      </c>
      <c r="P107">
        <v>212.00000000000003</v>
      </c>
      <c r="Q107">
        <v>14.741935483870966</v>
      </c>
    </row>
    <row r="108" spans="1:17">
      <c r="A108">
        <v>2007</v>
      </c>
      <c r="B108">
        <v>11</v>
      </c>
      <c r="C108">
        <v>500.10000000000008</v>
      </c>
      <c r="D108">
        <v>0</v>
      </c>
      <c r="E108">
        <v>440.1</v>
      </c>
      <c r="F108">
        <v>0</v>
      </c>
      <c r="G108">
        <v>380.09999999999997</v>
      </c>
      <c r="H108">
        <v>0</v>
      </c>
      <c r="I108">
        <v>320.09999999999997</v>
      </c>
      <c r="J108">
        <v>0</v>
      </c>
      <c r="K108">
        <v>260.09999999999997</v>
      </c>
      <c r="L108">
        <v>0</v>
      </c>
      <c r="M108">
        <v>200.89999999999998</v>
      </c>
      <c r="N108">
        <v>0.79999999999999893</v>
      </c>
      <c r="O108">
        <v>146.80000000000001</v>
      </c>
      <c r="P108">
        <v>6.6999999999999993</v>
      </c>
      <c r="Q108">
        <v>3.3300000000000005</v>
      </c>
    </row>
    <row r="109" spans="1:17">
      <c r="A109">
        <v>2007</v>
      </c>
      <c r="B109">
        <v>12</v>
      </c>
      <c r="C109">
        <v>683.4</v>
      </c>
      <c r="D109">
        <v>0</v>
      </c>
      <c r="E109">
        <v>621.4</v>
      </c>
      <c r="F109">
        <v>0</v>
      </c>
      <c r="G109">
        <v>559.4</v>
      </c>
      <c r="H109">
        <v>0</v>
      </c>
      <c r="I109">
        <v>497.4</v>
      </c>
      <c r="J109">
        <v>0</v>
      </c>
      <c r="K109">
        <v>435.40000000000003</v>
      </c>
      <c r="L109">
        <v>0</v>
      </c>
      <c r="M109">
        <v>373.4</v>
      </c>
      <c r="N109">
        <v>0</v>
      </c>
      <c r="O109">
        <v>311.40000000000003</v>
      </c>
      <c r="P109">
        <v>0</v>
      </c>
      <c r="Q109">
        <v>-2.04516129032258</v>
      </c>
    </row>
    <row r="110" spans="1:17">
      <c r="A110">
        <v>2008</v>
      </c>
      <c r="B110">
        <v>1</v>
      </c>
      <c r="C110">
        <v>679.7</v>
      </c>
      <c r="D110">
        <v>0</v>
      </c>
      <c r="E110">
        <v>617.70000000000005</v>
      </c>
      <c r="F110">
        <v>0</v>
      </c>
      <c r="G110">
        <v>555.70000000000005</v>
      </c>
      <c r="H110">
        <v>0</v>
      </c>
      <c r="I110">
        <v>493.70000000000005</v>
      </c>
      <c r="J110">
        <v>0</v>
      </c>
      <c r="K110">
        <v>432.2</v>
      </c>
      <c r="L110">
        <v>0.5</v>
      </c>
      <c r="M110">
        <v>374.2</v>
      </c>
      <c r="N110">
        <v>4.5</v>
      </c>
      <c r="O110">
        <v>316.2</v>
      </c>
      <c r="P110">
        <v>8.5</v>
      </c>
      <c r="Q110">
        <v>-1.925806451612903</v>
      </c>
    </row>
    <row r="111" spans="1:17">
      <c r="A111">
        <v>2008</v>
      </c>
      <c r="B111">
        <v>2</v>
      </c>
      <c r="C111">
        <v>740.2</v>
      </c>
      <c r="D111">
        <v>0</v>
      </c>
      <c r="E111">
        <v>682.2</v>
      </c>
      <c r="F111">
        <v>0</v>
      </c>
      <c r="G111">
        <v>624.20000000000016</v>
      </c>
      <c r="H111">
        <v>0</v>
      </c>
      <c r="I111">
        <v>566.20000000000016</v>
      </c>
      <c r="J111">
        <v>0</v>
      </c>
      <c r="K111">
        <v>508.20000000000005</v>
      </c>
      <c r="L111">
        <v>0</v>
      </c>
      <c r="M111">
        <v>450.2</v>
      </c>
      <c r="N111">
        <v>0</v>
      </c>
      <c r="O111">
        <v>392.20000000000005</v>
      </c>
      <c r="P111">
        <v>0</v>
      </c>
      <c r="Q111">
        <v>-5.524137931034482</v>
      </c>
    </row>
    <row r="112" spans="1:17">
      <c r="A112">
        <v>2008</v>
      </c>
      <c r="B112">
        <v>3</v>
      </c>
      <c r="C112">
        <v>657.89999999999986</v>
      </c>
      <c r="D112">
        <v>0</v>
      </c>
      <c r="E112">
        <v>595.9</v>
      </c>
      <c r="F112">
        <v>0</v>
      </c>
      <c r="G112">
        <v>533.9</v>
      </c>
      <c r="H112">
        <v>0</v>
      </c>
      <c r="I112">
        <v>471.89999999999992</v>
      </c>
      <c r="J112">
        <v>0</v>
      </c>
      <c r="K112">
        <v>409.89999999999992</v>
      </c>
      <c r="L112">
        <v>0</v>
      </c>
      <c r="M112">
        <v>347.89999999999992</v>
      </c>
      <c r="N112">
        <v>0</v>
      </c>
      <c r="O112">
        <v>287.5</v>
      </c>
      <c r="P112">
        <v>1.5999999999999996</v>
      </c>
      <c r="Q112">
        <v>-1.2225806451612895</v>
      </c>
    </row>
    <row r="113" spans="1:17">
      <c r="A113">
        <v>2008</v>
      </c>
      <c r="B113">
        <v>4</v>
      </c>
      <c r="C113">
        <v>325.60000000000002</v>
      </c>
      <c r="D113">
        <v>0</v>
      </c>
      <c r="E113">
        <v>266</v>
      </c>
      <c r="F113">
        <v>0.39999999999999858</v>
      </c>
      <c r="G113">
        <v>211.19999999999996</v>
      </c>
      <c r="H113">
        <v>5.5999999999999979</v>
      </c>
      <c r="I113">
        <v>160.9</v>
      </c>
      <c r="J113">
        <v>15.299999999999999</v>
      </c>
      <c r="K113">
        <v>119.1</v>
      </c>
      <c r="L113">
        <v>33.5</v>
      </c>
      <c r="M113">
        <v>82.899999999999991</v>
      </c>
      <c r="N113">
        <v>57.300000000000004</v>
      </c>
      <c r="O113">
        <v>52.699999999999996</v>
      </c>
      <c r="P113">
        <v>87.1</v>
      </c>
      <c r="Q113">
        <v>9.1466666666666683</v>
      </c>
    </row>
    <row r="114" spans="1:17">
      <c r="A114">
        <v>2008</v>
      </c>
      <c r="B114">
        <v>5</v>
      </c>
      <c r="C114">
        <v>270.10000000000002</v>
      </c>
      <c r="D114">
        <v>0</v>
      </c>
      <c r="E114">
        <v>209.3</v>
      </c>
      <c r="F114">
        <v>1.1999999999999993</v>
      </c>
      <c r="G114">
        <v>152.5</v>
      </c>
      <c r="H114">
        <v>6.3999999999999986</v>
      </c>
      <c r="I114">
        <v>99.600000000000037</v>
      </c>
      <c r="J114">
        <v>15.499999999999998</v>
      </c>
      <c r="K114">
        <v>54</v>
      </c>
      <c r="L114">
        <v>31.899999999999995</v>
      </c>
      <c r="M114">
        <v>19.8</v>
      </c>
      <c r="N114">
        <v>59.699999999999989</v>
      </c>
      <c r="O114">
        <v>1.7999999999999998</v>
      </c>
      <c r="P114">
        <v>103.69999999999997</v>
      </c>
      <c r="Q114">
        <v>11.28709677419355</v>
      </c>
    </row>
    <row r="115" spans="1:17">
      <c r="A115">
        <v>2008</v>
      </c>
      <c r="B115">
        <v>6</v>
      </c>
      <c r="C115">
        <v>50.599999999999994</v>
      </c>
      <c r="D115">
        <v>44.9</v>
      </c>
      <c r="E115">
        <v>26.2</v>
      </c>
      <c r="F115">
        <v>80.5</v>
      </c>
      <c r="G115">
        <v>7.8000000000000007</v>
      </c>
      <c r="H115">
        <v>122.09999999999997</v>
      </c>
      <c r="I115">
        <v>1.4000000000000004</v>
      </c>
      <c r="J115">
        <v>175.70000000000002</v>
      </c>
      <c r="K115">
        <v>0</v>
      </c>
      <c r="L115">
        <v>234.29999999999998</v>
      </c>
      <c r="M115">
        <v>0</v>
      </c>
      <c r="N115">
        <v>294.29999999999995</v>
      </c>
      <c r="O115">
        <v>0</v>
      </c>
      <c r="P115">
        <v>354.2999999999999</v>
      </c>
      <c r="Q115">
        <v>19.809999999999999</v>
      </c>
    </row>
    <row r="116" spans="1:17">
      <c r="A116">
        <v>2008</v>
      </c>
      <c r="B116">
        <v>7</v>
      </c>
      <c r="C116">
        <v>18.3</v>
      </c>
      <c r="D116">
        <v>56.699999999999996</v>
      </c>
      <c r="E116">
        <v>6.7999999999999989</v>
      </c>
      <c r="F116">
        <v>107.20000000000002</v>
      </c>
      <c r="G116">
        <v>1.0999999999999996</v>
      </c>
      <c r="H116">
        <v>163.50000000000003</v>
      </c>
      <c r="I116">
        <v>0</v>
      </c>
      <c r="J116">
        <v>224.40000000000006</v>
      </c>
      <c r="K116">
        <v>0</v>
      </c>
      <c r="L116">
        <v>286.40000000000009</v>
      </c>
      <c r="M116">
        <v>0</v>
      </c>
      <c r="N116">
        <v>348.40000000000009</v>
      </c>
      <c r="O116">
        <v>0</v>
      </c>
      <c r="P116">
        <v>410.40000000000003</v>
      </c>
      <c r="Q116">
        <v>21.238709677419351</v>
      </c>
    </row>
    <row r="117" spans="1:17">
      <c r="A117">
        <v>2008</v>
      </c>
      <c r="B117">
        <v>8</v>
      </c>
      <c r="C117">
        <v>37.200000000000003</v>
      </c>
      <c r="D117">
        <v>34.4</v>
      </c>
      <c r="E117">
        <v>12.500000000000004</v>
      </c>
      <c r="F117">
        <v>71.699999999999989</v>
      </c>
      <c r="G117">
        <v>0.60000000000000142</v>
      </c>
      <c r="H117">
        <v>121.80000000000001</v>
      </c>
      <c r="I117">
        <v>0</v>
      </c>
      <c r="J117">
        <v>183.20000000000005</v>
      </c>
      <c r="K117">
        <v>0</v>
      </c>
      <c r="L117">
        <v>245.20000000000002</v>
      </c>
      <c r="M117">
        <v>0</v>
      </c>
      <c r="N117">
        <v>307.2</v>
      </c>
      <c r="O117">
        <v>0</v>
      </c>
      <c r="P117">
        <v>369.19999999999993</v>
      </c>
      <c r="Q117">
        <v>19.909677419354839</v>
      </c>
    </row>
    <row r="118" spans="1:17">
      <c r="A118">
        <v>2008</v>
      </c>
      <c r="B118">
        <v>9</v>
      </c>
      <c r="C118">
        <v>85.499999999999986</v>
      </c>
      <c r="D118">
        <v>9.7999999999999972</v>
      </c>
      <c r="E118">
        <v>44.5</v>
      </c>
      <c r="F118">
        <v>28.8</v>
      </c>
      <c r="G118">
        <v>14.099999999999998</v>
      </c>
      <c r="H118">
        <v>58.4</v>
      </c>
      <c r="I118">
        <v>1</v>
      </c>
      <c r="J118">
        <v>105.29999999999997</v>
      </c>
      <c r="K118">
        <v>0</v>
      </c>
      <c r="L118">
        <v>164.29999999999998</v>
      </c>
      <c r="M118">
        <v>0</v>
      </c>
      <c r="N118">
        <v>224.29999999999998</v>
      </c>
      <c r="O118">
        <v>0</v>
      </c>
      <c r="P118">
        <v>284.3</v>
      </c>
      <c r="Q118">
        <v>17.476666666666674</v>
      </c>
    </row>
    <row r="119" spans="1:17">
      <c r="A119">
        <v>2008</v>
      </c>
      <c r="B119">
        <v>10</v>
      </c>
      <c r="C119">
        <v>324.59999999999997</v>
      </c>
      <c r="D119">
        <v>0</v>
      </c>
      <c r="E119">
        <v>263.2</v>
      </c>
      <c r="F119">
        <v>0.60000000000000142</v>
      </c>
      <c r="G119">
        <v>205.20000000000002</v>
      </c>
      <c r="H119">
        <v>4.6000000000000014</v>
      </c>
      <c r="I119">
        <v>149.10000000000002</v>
      </c>
      <c r="J119">
        <v>10.500000000000002</v>
      </c>
      <c r="K119">
        <v>97.8</v>
      </c>
      <c r="L119">
        <v>21.2</v>
      </c>
      <c r="M119">
        <v>54.79999999999999</v>
      </c>
      <c r="N119">
        <v>40.200000000000003</v>
      </c>
      <c r="O119">
        <v>25.3</v>
      </c>
      <c r="P119">
        <v>72.699999999999989</v>
      </c>
      <c r="Q119">
        <v>9.5290322580645164</v>
      </c>
    </row>
    <row r="120" spans="1:17">
      <c r="A120">
        <v>2008</v>
      </c>
      <c r="B120">
        <v>11</v>
      </c>
      <c r="C120">
        <v>504.7999999999999</v>
      </c>
      <c r="D120">
        <v>0</v>
      </c>
      <c r="E120">
        <v>444.7999999999999</v>
      </c>
      <c r="F120">
        <v>0</v>
      </c>
      <c r="G120">
        <v>384.79999999999995</v>
      </c>
      <c r="H120">
        <v>0</v>
      </c>
      <c r="I120">
        <v>325.09999999999997</v>
      </c>
      <c r="J120">
        <v>0.30000000000000071</v>
      </c>
      <c r="K120">
        <v>270.10000000000002</v>
      </c>
      <c r="L120">
        <v>5.3000000000000007</v>
      </c>
      <c r="M120">
        <v>219.89999999999998</v>
      </c>
      <c r="N120">
        <v>15.100000000000001</v>
      </c>
      <c r="O120">
        <v>173.59999999999997</v>
      </c>
      <c r="P120">
        <v>28.8</v>
      </c>
      <c r="Q120">
        <v>3.1733333333333325</v>
      </c>
    </row>
    <row r="121" spans="1:17">
      <c r="A121">
        <v>2008</v>
      </c>
      <c r="B121">
        <v>12</v>
      </c>
      <c r="C121">
        <v>715.90000000000009</v>
      </c>
      <c r="D121">
        <v>0</v>
      </c>
      <c r="E121">
        <v>653.90000000000009</v>
      </c>
      <c r="F121">
        <v>0</v>
      </c>
      <c r="G121">
        <v>591.9</v>
      </c>
      <c r="H121">
        <v>0</v>
      </c>
      <c r="I121">
        <v>529.9</v>
      </c>
      <c r="J121">
        <v>0</v>
      </c>
      <c r="K121">
        <v>467.9</v>
      </c>
      <c r="L121">
        <v>0</v>
      </c>
      <c r="M121">
        <v>405.9</v>
      </c>
      <c r="N121">
        <v>0</v>
      </c>
      <c r="O121">
        <v>344.90000000000003</v>
      </c>
      <c r="P121">
        <v>1</v>
      </c>
      <c r="Q121">
        <v>-3.0935483870967739</v>
      </c>
    </row>
    <row r="122" spans="1:17">
      <c r="A122">
        <v>2009</v>
      </c>
      <c r="B122">
        <v>1</v>
      </c>
      <c r="C122">
        <v>899.59999999999991</v>
      </c>
      <c r="D122">
        <v>0</v>
      </c>
      <c r="E122">
        <v>837.59999999999991</v>
      </c>
      <c r="F122">
        <v>0</v>
      </c>
      <c r="G122">
        <v>775.59999999999991</v>
      </c>
      <c r="H122">
        <v>0</v>
      </c>
      <c r="I122">
        <v>713.59999999999991</v>
      </c>
      <c r="J122">
        <v>0</v>
      </c>
      <c r="K122">
        <v>651.59999999999991</v>
      </c>
      <c r="L122">
        <v>0</v>
      </c>
      <c r="M122">
        <v>589.59999999999991</v>
      </c>
      <c r="N122">
        <v>0</v>
      </c>
      <c r="O122">
        <v>527.59999999999991</v>
      </c>
      <c r="P122">
        <v>0</v>
      </c>
      <c r="Q122">
        <v>-9.0193548387096758</v>
      </c>
    </row>
    <row r="123" spans="1:17">
      <c r="A123">
        <v>2009</v>
      </c>
      <c r="B123">
        <v>2</v>
      </c>
      <c r="C123">
        <v>642.59999999999991</v>
      </c>
      <c r="D123">
        <v>0</v>
      </c>
      <c r="E123">
        <v>586.59999999999991</v>
      </c>
      <c r="F123">
        <v>0</v>
      </c>
      <c r="G123">
        <v>530.59999999999991</v>
      </c>
      <c r="H123">
        <v>0</v>
      </c>
      <c r="I123">
        <v>474.59999999999991</v>
      </c>
      <c r="J123">
        <v>0</v>
      </c>
      <c r="K123">
        <v>418.59999999999991</v>
      </c>
      <c r="L123">
        <v>0</v>
      </c>
      <c r="M123">
        <v>362.59999999999991</v>
      </c>
      <c r="N123">
        <v>0</v>
      </c>
      <c r="O123">
        <v>306.89999999999998</v>
      </c>
      <c r="P123">
        <v>0.30000000000000071</v>
      </c>
      <c r="Q123">
        <v>-2.95</v>
      </c>
    </row>
    <row r="124" spans="1:17">
      <c r="A124">
        <v>2009</v>
      </c>
      <c r="B124">
        <v>3</v>
      </c>
      <c r="C124">
        <v>575.5</v>
      </c>
      <c r="D124">
        <v>0</v>
      </c>
      <c r="E124">
        <v>513.50000000000011</v>
      </c>
      <c r="F124">
        <v>0</v>
      </c>
      <c r="G124">
        <v>451.50000000000006</v>
      </c>
      <c r="H124">
        <v>0</v>
      </c>
      <c r="I124">
        <v>389.5</v>
      </c>
      <c r="J124">
        <v>0</v>
      </c>
      <c r="K124">
        <v>327.5</v>
      </c>
      <c r="L124">
        <v>0</v>
      </c>
      <c r="M124">
        <v>265.49999999999994</v>
      </c>
      <c r="N124">
        <v>0</v>
      </c>
      <c r="O124">
        <v>205.89999999999998</v>
      </c>
      <c r="P124">
        <v>2.4000000000000004</v>
      </c>
      <c r="Q124">
        <v>1.4354838709677422</v>
      </c>
    </row>
    <row r="125" spans="1:17">
      <c r="A125">
        <v>2009</v>
      </c>
      <c r="B125">
        <v>4</v>
      </c>
      <c r="C125">
        <v>364.49999999999994</v>
      </c>
      <c r="D125">
        <v>0</v>
      </c>
      <c r="E125">
        <v>306.49999999999994</v>
      </c>
      <c r="F125">
        <v>2</v>
      </c>
      <c r="G125">
        <v>250.09999999999997</v>
      </c>
      <c r="H125">
        <v>5.6000000000000014</v>
      </c>
      <c r="I125">
        <v>196.29999999999998</v>
      </c>
      <c r="J125">
        <v>11.8</v>
      </c>
      <c r="K125">
        <v>147.4</v>
      </c>
      <c r="L125">
        <v>22.9</v>
      </c>
      <c r="M125">
        <v>102.10000000000001</v>
      </c>
      <c r="N125">
        <v>37.6</v>
      </c>
      <c r="O125">
        <v>63.900000000000006</v>
      </c>
      <c r="P125">
        <v>59.400000000000006</v>
      </c>
      <c r="Q125">
        <v>7.85</v>
      </c>
    </row>
    <row r="126" spans="1:17">
      <c r="A126">
        <v>2009</v>
      </c>
      <c r="B126">
        <v>5</v>
      </c>
      <c r="C126">
        <v>224.29999999999995</v>
      </c>
      <c r="D126">
        <v>0</v>
      </c>
      <c r="E126">
        <v>164.49999999999997</v>
      </c>
      <c r="F126">
        <v>2.1999999999999993</v>
      </c>
      <c r="G126">
        <v>113.29999999999998</v>
      </c>
      <c r="H126">
        <v>13</v>
      </c>
      <c r="I126">
        <v>68.900000000000006</v>
      </c>
      <c r="J126">
        <v>30.6</v>
      </c>
      <c r="K126">
        <v>32.400000000000006</v>
      </c>
      <c r="L126">
        <v>56.100000000000009</v>
      </c>
      <c r="M126">
        <v>9.9999999999999982</v>
      </c>
      <c r="N126">
        <v>95.699999999999989</v>
      </c>
      <c r="O126">
        <v>1.1999999999999993</v>
      </c>
      <c r="P126">
        <v>148.9</v>
      </c>
      <c r="Q126">
        <v>12.764516129032257</v>
      </c>
    </row>
    <row r="127" spans="1:17">
      <c r="A127">
        <v>2009</v>
      </c>
      <c r="B127">
        <v>6</v>
      </c>
      <c r="C127">
        <v>115.69999999999999</v>
      </c>
      <c r="D127">
        <v>11</v>
      </c>
      <c r="E127">
        <v>71.599999999999994</v>
      </c>
      <c r="F127">
        <v>26.900000000000002</v>
      </c>
      <c r="G127">
        <v>36.800000000000004</v>
      </c>
      <c r="H127">
        <v>52.1</v>
      </c>
      <c r="I127">
        <v>17</v>
      </c>
      <c r="J127">
        <v>92.299999999999983</v>
      </c>
      <c r="K127">
        <v>7.2000000000000011</v>
      </c>
      <c r="L127">
        <v>142.5</v>
      </c>
      <c r="M127">
        <v>1.3000000000000007</v>
      </c>
      <c r="N127">
        <v>196.60000000000002</v>
      </c>
      <c r="O127">
        <v>0</v>
      </c>
      <c r="P127">
        <v>255.3</v>
      </c>
      <c r="Q127">
        <v>16.510000000000002</v>
      </c>
    </row>
    <row r="128" spans="1:17">
      <c r="A128">
        <v>2009</v>
      </c>
      <c r="B128">
        <v>7</v>
      </c>
      <c r="C128">
        <v>39.799999999999997</v>
      </c>
      <c r="D128">
        <v>13.200000000000003</v>
      </c>
      <c r="E128">
        <v>8.9999999999999982</v>
      </c>
      <c r="F128">
        <v>44.400000000000006</v>
      </c>
      <c r="G128">
        <v>9.9999999999999645E-2</v>
      </c>
      <c r="H128">
        <v>97.5</v>
      </c>
      <c r="I128">
        <v>0</v>
      </c>
      <c r="J128">
        <v>159.4</v>
      </c>
      <c r="K128">
        <v>0</v>
      </c>
      <c r="L128">
        <v>221.39999999999995</v>
      </c>
      <c r="M128">
        <v>0</v>
      </c>
      <c r="N128">
        <v>283.39999999999992</v>
      </c>
      <c r="O128">
        <v>0</v>
      </c>
      <c r="P128">
        <v>345.40000000000003</v>
      </c>
      <c r="Q128">
        <v>19.14193548387097</v>
      </c>
    </row>
    <row r="129" spans="1:17">
      <c r="A129">
        <v>2009</v>
      </c>
      <c r="B129">
        <v>8</v>
      </c>
      <c r="C129">
        <v>37.900000000000006</v>
      </c>
      <c r="D129">
        <v>47.900000000000006</v>
      </c>
      <c r="E129">
        <v>14.200000000000003</v>
      </c>
      <c r="F129">
        <v>86.2</v>
      </c>
      <c r="G129">
        <v>5.3000000000000007</v>
      </c>
      <c r="H129">
        <v>139.30000000000001</v>
      </c>
      <c r="I129">
        <v>1.2000000000000011</v>
      </c>
      <c r="J129">
        <v>197.20000000000002</v>
      </c>
      <c r="K129">
        <v>0</v>
      </c>
      <c r="L129">
        <v>258</v>
      </c>
      <c r="M129">
        <v>0</v>
      </c>
      <c r="N129">
        <v>320</v>
      </c>
      <c r="O129">
        <v>0</v>
      </c>
      <c r="P129">
        <v>382</v>
      </c>
      <c r="Q129">
        <v>20.322580645161288</v>
      </c>
    </row>
    <row r="130" spans="1:17">
      <c r="A130">
        <v>2009</v>
      </c>
      <c r="B130">
        <v>9</v>
      </c>
      <c r="C130">
        <v>124.1</v>
      </c>
      <c r="D130">
        <v>6.2000000000000028</v>
      </c>
      <c r="E130">
        <v>75.5</v>
      </c>
      <c r="F130">
        <v>17.600000000000001</v>
      </c>
      <c r="G130">
        <v>37</v>
      </c>
      <c r="H130">
        <v>39.1</v>
      </c>
      <c r="I130">
        <v>13.899999999999999</v>
      </c>
      <c r="J130">
        <v>76</v>
      </c>
      <c r="K130">
        <v>6.2</v>
      </c>
      <c r="L130">
        <v>128.29999999999998</v>
      </c>
      <c r="M130">
        <v>2.8</v>
      </c>
      <c r="N130">
        <v>184.9</v>
      </c>
      <c r="O130">
        <v>0.79999999999999982</v>
      </c>
      <c r="P130">
        <v>242.90000000000003</v>
      </c>
      <c r="Q130">
        <v>16.07</v>
      </c>
    </row>
    <row r="131" spans="1:17">
      <c r="A131">
        <v>2009</v>
      </c>
      <c r="B131">
        <v>10</v>
      </c>
      <c r="C131">
        <v>332.59999999999991</v>
      </c>
      <c r="D131">
        <v>0</v>
      </c>
      <c r="E131">
        <v>270.59999999999991</v>
      </c>
      <c r="F131">
        <v>0</v>
      </c>
      <c r="G131">
        <v>208.89999999999998</v>
      </c>
      <c r="H131">
        <v>0.30000000000000071</v>
      </c>
      <c r="I131">
        <v>149.29999999999998</v>
      </c>
      <c r="J131">
        <v>2.7000000000000011</v>
      </c>
      <c r="K131">
        <v>93.09999999999998</v>
      </c>
      <c r="L131">
        <v>8.5000000000000018</v>
      </c>
      <c r="M131">
        <v>50.9</v>
      </c>
      <c r="N131">
        <v>28.299999999999997</v>
      </c>
      <c r="O131">
        <v>26.6</v>
      </c>
      <c r="P131">
        <v>65.999999999999986</v>
      </c>
      <c r="Q131">
        <v>9.2709677419354843</v>
      </c>
    </row>
    <row r="132" spans="1:17">
      <c r="A132">
        <v>2009</v>
      </c>
      <c r="B132">
        <v>11</v>
      </c>
      <c r="C132">
        <v>405.99999999999994</v>
      </c>
      <c r="D132">
        <v>0</v>
      </c>
      <c r="E132">
        <v>345.99999999999994</v>
      </c>
      <c r="F132">
        <v>0</v>
      </c>
      <c r="G132">
        <v>285.99999999999994</v>
      </c>
      <c r="H132">
        <v>0</v>
      </c>
      <c r="I132">
        <v>225.99999999999997</v>
      </c>
      <c r="J132">
        <v>0</v>
      </c>
      <c r="K132">
        <v>167.5</v>
      </c>
      <c r="L132">
        <v>1.5</v>
      </c>
      <c r="M132">
        <v>113.40000000000002</v>
      </c>
      <c r="N132">
        <v>7.3999999999999986</v>
      </c>
      <c r="O132">
        <v>64.800000000000011</v>
      </c>
      <c r="P132">
        <v>18.8</v>
      </c>
      <c r="Q132">
        <v>6.4666666666666668</v>
      </c>
    </row>
    <row r="133" spans="1:17">
      <c r="A133">
        <v>2009</v>
      </c>
      <c r="B133">
        <v>12</v>
      </c>
      <c r="C133">
        <v>678.3</v>
      </c>
      <c r="D133">
        <v>0</v>
      </c>
      <c r="E133">
        <v>616.29999999999995</v>
      </c>
      <c r="F133">
        <v>0</v>
      </c>
      <c r="G133">
        <v>554.29999999999995</v>
      </c>
      <c r="H133">
        <v>0</v>
      </c>
      <c r="I133">
        <v>492.3</v>
      </c>
      <c r="J133">
        <v>0</v>
      </c>
      <c r="K133">
        <v>430.30000000000007</v>
      </c>
      <c r="L133">
        <v>0</v>
      </c>
      <c r="M133">
        <v>368.3</v>
      </c>
      <c r="N133">
        <v>0</v>
      </c>
      <c r="O133">
        <v>306.29999999999995</v>
      </c>
      <c r="P133">
        <v>0</v>
      </c>
      <c r="Q133">
        <v>-1.8806451612903223</v>
      </c>
    </row>
    <row r="134" spans="1:17">
      <c r="A134">
        <v>2010</v>
      </c>
      <c r="B134">
        <v>1</v>
      </c>
      <c r="C134">
        <v>763.20000000000027</v>
      </c>
      <c r="D134">
        <v>0</v>
      </c>
      <c r="E134">
        <v>701.20000000000027</v>
      </c>
      <c r="F134">
        <v>0</v>
      </c>
      <c r="G134">
        <v>639.20000000000027</v>
      </c>
      <c r="H134">
        <v>0</v>
      </c>
      <c r="I134">
        <v>577.20000000000016</v>
      </c>
      <c r="J134">
        <v>0</v>
      </c>
      <c r="K134">
        <v>515.20000000000005</v>
      </c>
      <c r="L134">
        <v>0</v>
      </c>
      <c r="M134">
        <v>453.2</v>
      </c>
      <c r="N134">
        <v>0</v>
      </c>
      <c r="O134">
        <v>391.20000000000005</v>
      </c>
      <c r="P134">
        <v>0</v>
      </c>
      <c r="Q134">
        <v>-4.6193548387096772</v>
      </c>
    </row>
    <row r="135" spans="1:17">
      <c r="A135">
        <v>2010</v>
      </c>
      <c r="B135">
        <v>2</v>
      </c>
      <c r="C135">
        <v>654.70000000000005</v>
      </c>
      <c r="D135">
        <v>0</v>
      </c>
      <c r="E135">
        <v>598.69999999999993</v>
      </c>
      <c r="F135">
        <v>0</v>
      </c>
      <c r="G135">
        <v>542.69999999999993</v>
      </c>
      <c r="H135">
        <v>0</v>
      </c>
      <c r="I135">
        <v>486.69999999999993</v>
      </c>
      <c r="J135">
        <v>0</v>
      </c>
      <c r="K135">
        <v>430.69999999999993</v>
      </c>
      <c r="L135">
        <v>0</v>
      </c>
      <c r="M135">
        <v>374.70000000000005</v>
      </c>
      <c r="N135">
        <v>0</v>
      </c>
      <c r="O135">
        <v>318.70000000000005</v>
      </c>
      <c r="P135">
        <v>0</v>
      </c>
      <c r="Q135">
        <v>-3.3821428571428576</v>
      </c>
    </row>
    <row r="136" spans="1:17">
      <c r="A136">
        <v>2010</v>
      </c>
      <c r="B136">
        <v>3</v>
      </c>
      <c r="C136">
        <v>515.09999999999991</v>
      </c>
      <c r="D136">
        <v>0</v>
      </c>
      <c r="E136">
        <v>453.09999999999997</v>
      </c>
      <c r="F136">
        <v>0</v>
      </c>
      <c r="G136">
        <v>391.09999999999997</v>
      </c>
      <c r="H136">
        <v>0</v>
      </c>
      <c r="I136">
        <v>329.09999999999997</v>
      </c>
      <c r="J136">
        <v>0</v>
      </c>
      <c r="K136">
        <v>267.09999999999997</v>
      </c>
      <c r="L136">
        <v>0</v>
      </c>
      <c r="M136">
        <v>206.70000000000002</v>
      </c>
      <c r="N136">
        <v>1.5999999999999996</v>
      </c>
      <c r="O136">
        <v>153.80000000000001</v>
      </c>
      <c r="P136">
        <v>10.7</v>
      </c>
      <c r="Q136">
        <v>3.3838709677419359</v>
      </c>
    </row>
    <row r="137" spans="1:17">
      <c r="A137">
        <v>2010</v>
      </c>
      <c r="B137">
        <v>4</v>
      </c>
      <c r="C137">
        <v>306.10000000000002</v>
      </c>
      <c r="D137">
        <v>0</v>
      </c>
      <c r="E137">
        <v>247.29999999999995</v>
      </c>
      <c r="F137">
        <v>1.1999999999999993</v>
      </c>
      <c r="G137">
        <v>195</v>
      </c>
      <c r="H137">
        <v>8.9000000000000021</v>
      </c>
      <c r="I137">
        <v>147.00000000000003</v>
      </c>
      <c r="J137">
        <v>20.900000000000002</v>
      </c>
      <c r="K137">
        <v>99.3</v>
      </c>
      <c r="L137">
        <v>33.200000000000003</v>
      </c>
      <c r="M137">
        <v>60.700000000000017</v>
      </c>
      <c r="N137">
        <v>54.599999999999994</v>
      </c>
      <c r="O137">
        <v>31.599999999999994</v>
      </c>
      <c r="P137">
        <v>85.499999999999986</v>
      </c>
      <c r="Q137">
        <v>9.7966666666666686</v>
      </c>
    </row>
    <row r="138" spans="1:17">
      <c r="A138">
        <v>2010</v>
      </c>
      <c r="B138">
        <v>5</v>
      </c>
      <c r="C138">
        <v>157.79999999999998</v>
      </c>
      <c r="D138">
        <v>10.300000000000004</v>
      </c>
      <c r="E138">
        <v>113.30000000000001</v>
      </c>
      <c r="F138">
        <v>27.800000000000004</v>
      </c>
      <c r="G138">
        <v>83.200000000000017</v>
      </c>
      <c r="H138">
        <v>59.699999999999996</v>
      </c>
      <c r="I138">
        <v>59.100000000000009</v>
      </c>
      <c r="J138">
        <v>97.600000000000023</v>
      </c>
      <c r="K138">
        <v>39.099999999999994</v>
      </c>
      <c r="L138">
        <v>139.6</v>
      </c>
      <c r="M138">
        <v>21.099999999999998</v>
      </c>
      <c r="N138">
        <v>183.60000000000002</v>
      </c>
      <c r="O138">
        <v>9.4</v>
      </c>
      <c r="P138">
        <v>233.90000000000003</v>
      </c>
      <c r="Q138">
        <v>15.241935483870968</v>
      </c>
    </row>
    <row r="139" spans="1:17">
      <c r="A139">
        <v>2010</v>
      </c>
      <c r="B139">
        <v>6</v>
      </c>
      <c r="C139">
        <v>46.699999999999989</v>
      </c>
      <c r="D139">
        <v>29.6</v>
      </c>
      <c r="E139">
        <v>23.099999999999998</v>
      </c>
      <c r="F139">
        <v>66</v>
      </c>
      <c r="G139">
        <v>9.8999999999999986</v>
      </c>
      <c r="H139">
        <v>112.80000000000001</v>
      </c>
      <c r="I139">
        <v>1.3999999999999986</v>
      </c>
      <c r="J139">
        <v>164.3</v>
      </c>
      <c r="K139">
        <v>0</v>
      </c>
      <c r="L139">
        <v>222.89999999999998</v>
      </c>
      <c r="M139">
        <v>0</v>
      </c>
      <c r="N139">
        <v>282.89999999999992</v>
      </c>
      <c r="O139">
        <v>0</v>
      </c>
      <c r="P139">
        <v>342.89999999999992</v>
      </c>
      <c r="Q139">
        <v>19.43</v>
      </c>
    </row>
    <row r="140" spans="1:17">
      <c r="A140">
        <v>2010</v>
      </c>
      <c r="B140">
        <v>7</v>
      </c>
      <c r="C140">
        <v>10.399999999999997</v>
      </c>
      <c r="D140">
        <v>101.80000000000001</v>
      </c>
      <c r="E140">
        <v>3.9000000000000004</v>
      </c>
      <c r="F140">
        <v>157.30000000000001</v>
      </c>
      <c r="G140">
        <v>1.4000000000000004</v>
      </c>
      <c r="H140">
        <v>216.8</v>
      </c>
      <c r="I140">
        <v>0</v>
      </c>
      <c r="J140">
        <v>277.40000000000003</v>
      </c>
      <c r="K140">
        <v>0</v>
      </c>
      <c r="L140">
        <v>339.39999999999992</v>
      </c>
      <c r="M140">
        <v>0</v>
      </c>
      <c r="N140">
        <v>401.39999999999992</v>
      </c>
      <c r="O140">
        <v>0</v>
      </c>
      <c r="P140">
        <v>463.4</v>
      </c>
      <c r="Q140">
        <v>22.948387096774194</v>
      </c>
    </row>
    <row r="141" spans="1:17">
      <c r="A141">
        <v>2010</v>
      </c>
      <c r="B141">
        <v>8</v>
      </c>
      <c r="C141">
        <v>9.4000000000000021</v>
      </c>
      <c r="D141">
        <v>91.699999999999989</v>
      </c>
      <c r="E141">
        <v>1.9000000000000021</v>
      </c>
      <c r="F141">
        <v>146.19999999999999</v>
      </c>
      <c r="G141">
        <v>0</v>
      </c>
      <c r="H141">
        <v>206.29999999999998</v>
      </c>
      <c r="I141">
        <v>0</v>
      </c>
      <c r="J141">
        <v>268.30000000000007</v>
      </c>
      <c r="K141">
        <v>0</v>
      </c>
      <c r="L141">
        <v>330.3</v>
      </c>
      <c r="M141">
        <v>0</v>
      </c>
      <c r="N141">
        <v>392.3</v>
      </c>
      <c r="O141">
        <v>0</v>
      </c>
      <c r="P141">
        <v>454.29999999999995</v>
      </c>
      <c r="Q141">
        <v>22.654838709677417</v>
      </c>
    </row>
    <row r="142" spans="1:17">
      <c r="A142">
        <v>2010</v>
      </c>
      <c r="B142">
        <v>9</v>
      </c>
      <c r="C142">
        <v>117.4</v>
      </c>
      <c r="D142">
        <v>19.200000000000003</v>
      </c>
      <c r="E142">
        <v>70.8</v>
      </c>
      <c r="F142">
        <v>32.600000000000009</v>
      </c>
      <c r="G142">
        <v>31.400000000000006</v>
      </c>
      <c r="H142">
        <v>53.2</v>
      </c>
      <c r="I142">
        <v>7.8000000000000007</v>
      </c>
      <c r="J142">
        <v>89.600000000000023</v>
      </c>
      <c r="K142">
        <v>0.69999999999999929</v>
      </c>
      <c r="L142">
        <v>142.5</v>
      </c>
      <c r="M142">
        <v>0</v>
      </c>
      <c r="N142">
        <v>201.8</v>
      </c>
      <c r="O142">
        <v>0</v>
      </c>
      <c r="P142">
        <v>261.8</v>
      </c>
      <c r="Q142">
        <v>16.726666666666667</v>
      </c>
    </row>
    <row r="143" spans="1:17">
      <c r="A143">
        <v>2010</v>
      </c>
      <c r="B143">
        <v>10</v>
      </c>
      <c r="C143">
        <v>259.09999999999997</v>
      </c>
      <c r="D143">
        <v>0</v>
      </c>
      <c r="E143">
        <v>197.1</v>
      </c>
      <c r="F143">
        <v>0</v>
      </c>
      <c r="G143">
        <v>137.79999999999998</v>
      </c>
      <c r="H143">
        <v>2.7000000000000028</v>
      </c>
      <c r="I143">
        <v>85.59999999999998</v>
      </c>
      <c r="J143">
        <v>12.500000000000004</v>
      </c>
      <c r="K143">
        <v>45</v>
      </c>
      <c r="L143">
        <v>33.900000000000006</v>
      </c>
      <c r="M143">
        <v>17</v>
      </c>
      <c r="N143">
        <v>67.900000000000006</v>
      </c>
      <c r="O143">
        <v>5.3999999999999995</v>
      </c>
      <c r="P143">
        <v>118.3</v>
      </c>
      <c r="Q143">
        <v>11.641935483870967</v>
      </c>
    </row>
    <row r="144" spans="1:17">
      <c r="A144">
        <v>2010</v>
      </c>
      <c r="B144">
        <v>11</v>
      </c>
      <c r="C144">
        <v>464.3</v>
      </c>
      <c r="D144">
        <v>0</v>
      </c>
      <c r="E144">
        <v>404.29999999999995</v>
      </c>
      <c r="F144">
        <v>0</v>
      </c>
      <c r="G144">
        <v>344.3</v>
      </c>
      <c r="H144">
        <v>0</v>
      </c>
      <c r="I144">
        <v>284.3</v>
      </c>
      <c r="J144">
        <v>0</v>
      </c>
      <c r="K144">
        <v>225.6</v>
      </c>
      <c r="L144">
        <v>1.3000000000000007</v>
      </c>
      <c r="M144">
        <v>167.6</v>
      </c>
      <c r="N144">
        <v>3.3000000000000007</v>
      </c>
      <c r="O144">
        <v>109.6</v>
      </c>
      <c r="P144">
        <v>5.3000000000000007</v>
      </c>
      <c r="Q144">
        <v>4.5233333333333343</v>
      </c>
    </row>
    <row r="145" spans="1:124">
      <c r="A145">
        <v>2010</v>
      </c>
      <c r="B145">
        <v>12</v>
      </c>
      <c r="C145">
        <v>728.89999999999986</v>
      </c>
      <c r="D145">
        <v>0</v>
      </c>
      <c r="E145">
        <v>666.89999999999986</v>
      </c>
      <c r="F145">
        <v>0</v>
      </c>
      <c r="G145">
        <v>604.9</v>
      </c>
      <c r="H145">
        <v>0</v>
      </c>
      <c r="I145">
        <v>542.9</v>
      </c>
      <c r="J145">
        <v>0</v>
      </c>
      <c r="K145">
        <v>480.89999999999992</v>
      </c>
      <c r="L145">
        <v>0</v>
      </c>
      <c r="M145">
        <v>418.89999999999992</v>
      </c>
      <c r="N145">
        <v>0</v>
      </c>
      <c r="O145">
        <v>356.9</v>
      </c>
      <c r="P145">
        <v>0</v>
      </c>
      <c r="Q145">
        <v>-3.5129032258064514</v>
      </c>
    </row>
    <row r="146" spans="1:124">
      <c r="A146">
        <v>2011</v>
      </c>
      <c r="B146">
        <v>1</v>
      </c>
      <c r="C146">
        <v>825.19999999999993</v>
      </c>
      <c r="D146">
        <v>0</v>
      </c>
      <c r="E146">
        <v>763.19999999999993</v>
      </c>
      <c r="F146">
        <v>0</v>
      </c>
      <c r="G146">
        <v>701.19999999999993</v>
      </c>
      <c r="H146">
        <v>0</v>
      </c>
      <c r="I146">
        <v>639.20000000000005</v>
      </c>
      <c r="J146">
        <v>0</v>
      </c>
      <c r="K146">
        <v>577.19999999999993</v>
      </c>
      <c r="L146">
        <v>0</v>
      </c>
      <c r="M146">
        <v>515.19999999999993</v>
      </c>
      <c r="N146">
        <v>0</v>
      </c>
      <c r="O146">
        <v>453.19999999999993</v>
      </c>
      <c r="P146">
        <v>0</v>
      </c>
      <c r="Q146">
        <v>-6.6193548387096772</v>
      </c>
    </row>
    <row r="147" spans="1:124">
      <c r="A147">
        <v>2011</v>
      </c>
      <c r="B147">
        <v>2</v>
      </c>
      <c r="C147">
        <v>701.80000000000018</v>
      </c>
      <c r="D147">
        <v>0</v>
      </c>
      <c r="E147">
        <v>645.80000000000018</v>
      </c>
      <c r="F147">
        <v>0</v>
      </c>
      <c r="G147">
        <v>589.80000000000018</v>
      </c>
      <c r="H147">
        <v>0</v>
      </c>
      <c r="I147">
        <v>533.80000000000007</v>
      </c>
      <c r="J147">
        <v>0</v>
      </c>
      <c r="K147">
        <v>477.80000000000007</v>
      </c>
      <c r="L147">
        <v>0</v>
      </c>
      <c r="M147">
        <v>421.80000000000013</v>
      </c>
      <c r="N147">
        <v>0</v>
      </c>
      <c r="O147">
        <v>365.8</v>
      </c>
      <c r="P147">
        <v>0</v>
      </c>
      <c r="Q147">
        <v>-5.0642857142857123</v>
      </c>
    </row>
    <row r="148" spans="1:124">
      <c r="A148">
        <v>2011</v>
      </c>
      <c r="B148">
        <v>3</v>
      </c>
      <c r="C148">
        <v>646.9</v>
      </c>
      <c r="D148">
        <v>0</v>
      </c>
      <c r="E148">
        <v>584.9</v>
      </c>
      <c r="F148">
        <v>0</v>
      </c>
      <c r="G148">
        <v>522.90000000000009</v>
      </c>
      <c r="H148">
        <v>0</v>
      </c>
      <c r="I148">
        <v>460.90000000000009</v>
      </c>
      <c r="J148">
        <v>0</v>
      </c>
      <c r="K148">
        <v>398.90000000000003</v>
      </c>
      <c r="L148">
        <v>0</v>
      </c>
      <c r="M148">
        <v>336.90000000000009</v>
      </c>
      <c r="N148">
        <v>0</v>
      </c>
      <c r="O148">
        <v>277.89999999999998</v>
      </c>
      <c r="P148">
        <v>3</v>
      </c>
      <c r="Q148">
        <v>-0.86774193548387102</v>
      </c>
    </row>
    <row r="149" spans="1:124">
      <c r="A149">
        <v>2011</v>
      </c>
      <c r="B149">
        <v>4</v>
      </c>
      <c r="C149">
        <v>401.60000000000019</v>
      </c>
      <c r="D149">
        <v>0</v>
      </c>
      <c r="E149">
        <v>341.60000000000014</v>
      </c>
      <c r="F149">
        <v>0</v>
      </c>
      <c r="G149">
        <v>283.30000000000007</v>
      </c>
      <c r="H149">
        <v>1.6999999999999993</v>
      </c>
      <c r="I149">
        <v>227.19999999999996</v>
      </c>
      <c r="J149">
        <v>5.6</v>
      </c>
      <c r="K149">
        <v>175.29999999999998</v>
      </c>
      <c r="L149">
        <v>13.700000000000001</v>
      </c>
      <c r="M149">
        <v>126.49999999999996</v>
      </c>
      <c r="N149">
        <v>24.9</v>
      </c>
      <c r="O149">
        <v>81.299999999999969</v>
      </c>
      <c r="P149">
        <v>39.700000000000003</v>
      </c>
      <c r="Q149">
        <v>6.6133333333333351</v>
      </c>
    </row>
    <row r="150" spans="1:124">
      <c r="A150">
        <v>2011</v>
      </c>
      <c r="B150">
        <v>5</v>
      </c>
      <c r="C150">
        <v>215.5</v>
      </c>
      <c r="D150">
        <v>12.400000000000002</v>
      </c>
      <c r="E150">
        <v>162.9</v>
      </c>
      <c r="F150">
        <v>21.8</v>
      </c>
      <c r="G150">
        <v>114.60000000000002</v>
      </c>
      <c r="H150">
        <v>35.5</v>
      </c>
      <c r="I150">
        <v>75.000000000000014</v>
      </c>
      <c r="J150">
        <v>57.9</v>
      </c>
      <c r="K150">
        <v>42.9</v>
      </c>
      <c r="L150">
        <v>87.800000000000011</v>
      </c>
      <c r="M150">
        <v>19</v>
      </c>
      <c r="N150">
        <v>125.9</v>
      </c>
      <c r="O150">
        <v>6.1000000000000005</v>
      </c>
      <c r="P150">
        <v>175</v>
      </c>
      <c r="Q150">
        <v>13.448387096774193</v>
      </c>
    </row>
    <row r="151" spans="1:124">
      <c r="A151">
        <v>2011</v>
      </c>
      <c r="B151">
        <v>6</v>
      </c>
      <c r="C151">
        <v>69.600000000000009</v>
      </c>
      <c r="D151">
        <v>23.9</v>
      </c>
      <c r="E151">
        <v>34.299999999999997</v>
      </c>
      <c r="F151">
        <v>48.599999999999994</v>
      </c>
      <c r="G151">
        <v>16.5</v>
      </c>
      <c r="H151">
        <v>90.800000000000011</v>
      </c>
      <c r="I151">
        <v>5.6</v>
      </c>
      <c r="J151">
        <v>139.9</v>
      </c>
      <c r="K151">
        <v>1.6999999999999993</v>
      </c>
      <c r="L151">
        <v>195.99999999999997</v>
      </c>
      <c r="M151">
        <v>0</v>
      </c>
      <c r="N151">
        <v>254.29999999999993</v>
      </c>
      <c r="O151">
        <v>0</v>
      </c>
      <c r="P151">
        <v>314.29999999999995</v>
      </c>
      <c r="Q151">
        <v>18.476666666666667</v>
      </c>
    </row>
    <row r="152" spans="1:124">
      <c r="A152">
        <v>2011</v>
      </c>
      <c r="B152">
        <v>7</v>
      </c>
      <c r="C152">
        <v>2.1999999999999993</v>
      </c>
      <c r="D152">
        <v>114.6</v>
      </c>
      <c r="E152">
        <v>0</v>
      </c>
      <c r="F152">
        <v>174.40000000000003</v>
      </c>
      <c r="G152">
        <v>0</v>
      </c>
      <c r="H152">
        <v>236.4</v>
      </c>
      <c r="I152">
        <v>0</v>
      </c>
      <c r="J152">
        <v>298.39999999999998</v>
      </c>
      <c r="K152">
        <v>0</v>
      </c>
      <c r="L152">
        <v>360.4</v>
      </c>
      <c r="M152">
        <v>0</v>
      </c>
      <c r="N152">
        <v>422.40000000000003</v>
      </c>
      <c r="O152">
        <v>0</v>
      </c>
      <c r="P152">
        <v>484.40000000000003</v>
      </c>
      <c r="Q152">
        <v>23.625806451612902</v>
      </c>
    </row>
    <row r="153" spans="1:124">
      <c r="A153">
        <v>2011</v>
      </c>
      <c r="B153">
        <v>8</v>
      </c>
      <c r="C153">
        <v>9.5000000000000036</v>
      </c>
      <c r="D153">
        <v>43.400000000000006</v>
      </c>
      <c r="E153">
        <v>0</v>
      </c>
      <c r="F153">
        <v>95.900000000000034</v>
      </c>
      <c r="G153">
        <v>0</v>
      </c>
      <c r="H153">
        <v>157.89999999999998</v>
      </c>
      <c r="I153">
        <v>0</v>
      </c>
      <c r="J153">
        <v>219.89999999999995</v>
      </c>
      <c r="K153">
        <v>0</v>
      </c>
      <c r="L153">
        <v>281.89999999999992</v>
      </c>
      <c r="M153">
        <v>0</v>
      </c>
      <c r="N153">
        <v>343.9</v>
      </c>
      <c r="O153">
        <v>0</v>
      </c>
      <c r="P153">
        <v>405.9</v>
      </c>
      <c r="Q153">
        <v>21.093548387096778</v>
      </c>
    </row>
    <row r="154" spans="1:124">
      <c r="A154">
        <v>2011</v>
      </c>
      <c r="B154">
        <v>9</v>
      </c>
      <c r="C154">
        <v>112.29999999999998</v>
      </c>
      <c r="D154">
        <v>19.599999999999998</v>
      </c>
      <c r="E154">
        <v>67.200000000000017</v>
      </c>
      <c r="F154">
        <v>34.5</v>
      </c>
      <c r="G154">
        <v>33.000000000000007</v>
      </c>
      <c r="H154">
        <v>60.300000000000004</v>
      </c>
      <c r="I154">
        <v>11.7</v>
      </c>
      <c r="J154">
        <v>99</v>
      </c>
      <c r="K154">
        <v>3.0999999999999996</v>
      </c>
      <c r="L154">
        <v>150.39999999999998</v>
      </c>
      <c r="M154">
        <v>9.9999999999999645E-2</v>
      </c>
      <c r="N154">
        <v>207.39999999999998</v>
      </c>
      <c r="O154">
        <v>0</v>
      </c>
      <c r="P154">
        <v>267.29999999999995</v>
      </c>
      <c r="Q154">
        <v>16.91</v>
      </c>
    </row>
    <row r="155" spans="1:124">
      <c r="A155">
        <v>2011</v>
      </c>
      <c r="B155">
        <v>10</v>
      </c>
      <c r="C155">
        <v>273.39999999999998</v>
      </c>
      <c r="D155">
        <v>0</v>
      </c>
      <c r="E155">
        <v>212.09999999999997</v>
      </c>
      <c r="F155">
        <v>0.70000000000000284</v>
      </c>
      <c r="G155">
        <v>158.49999999999997</v>
      </c>
      <c r="H155">
        <v>9.1000000000000014</v>
      </c>
      <c r="I155">
        <v>111.89999999999999</v>
      </c>
      <c r="J155">
        <v>24.5</v>
      </c>
      <c r="K155">
        <v>68.8</v>
      </c>
      <c r="L155">
        <v>43.400000000000006</v>
      </c>
      <c r="M155">
        <v>36.200000000000003</v>
      </c>
      <c r="N155">
        <v>72.800000000000011</v>
      </c>
      <c r="O155">
        <v>15.3</v>
      </c>
      <c r="P155">
        <v>113.90000000000002</v>
      </c>
      <c r="Q155">
        <v>11.180645161290323</v>
      </c>
    </row>
    <row r="156" spans="1:124">
      <c r="A156">
        <v>2011</v>
      </c>
      <c r="B156">
        <v>11</v>
      </c>
      <c r="C156">
        <v>399.1</v>
      </c>
      <c r="D156">
        <v>0</v>
      </c>
      <c r="E156">
        <v>339.10000000000008</v>
      </c>
      <c r="F156">
        <v>0</v>
      </c>
      <c r="G156">
        <v>279.10000000000008</v>
      </c>
      <c r="H156">
        <v>0</v>
      </c>
      <c r="I156">
        <v>219.10000000000002</v>
      </c>
      <c r="J156">
        <v>0</v>
      </c>
      <c r="K156">
        <v>162.10000000000002</v>
      </c>
      <c r="L156">
        <v>3</v>
      </c>
      <c r="M156">
        <v>111.39999999999999</v>
      </c>
      <c r="N156">
        <v>12.3</v>
      </c>
      <c r="O156">
        <v>69.899999999999991</v>
      </c>
      <c r="P156">
        <v>30.799999999999997</v>
      </c>
      <c r="Q156">
        <v>6.6966666666666663</v>
      </c>
    </row>
    <row r="157" spans="1:124">
      <c r="A157">
        <v>2011</v>
      </c>
      <c r="B157">
        <v>12</v>
      </c>
      <c r="C157">
        <v>585.09999999999991</v>
      </c>
      <c r="D157">
        <v>0</v>
      </c>
      <c r="E157">
        <v>523.1</v>
      </c>
      <c r="F157">
        <v>0</v>
      </c>
      <c r="G157">
        <v>461.1</v>
      </c>
      <c r="H157">
        <v>0</v>
      </c>
      <c r="I157">
        <v>399.1</v>
      </c>
      <c r="J157">
        <v>0</v>
      </c>
      <c r="K157">
        <v>337.09999999999997</v>
      </c>
      <c r="L157">
        <v>0</v>
      </c>
      <c r="M157">
        <v>275.10000000000002</v>
      </c>
      <c r="N157">
        <v>0</v>
      </c>
      <c r="O157">
        <v>213.10000000000008</v>
      </c>
      <c r="P157">
        <v>0</v>
      </c>
      <c r="Q157">
        <v>1.1258064516129034</v>
      </c>
    </row>
    <row r="158" spans="1:124">
      <c r="A158">
        <v>2012</v>
      </c>
      <c r="B158">
        <v>1</v>
      </c>
      <c r="C158">
        <v>674.6</v>
      </c>
      <c r="D158">
        <v>0</v>
      </c>
      <c r="E158">
        <v>612.59999999999991</v>
      </c>
      <c r="F158">
        <v>0</v>
      </c>
      <c r="G158">
        <v>550.59999999999991</v>
      </c>
      <c r="H158">
        <v>0</v>
      </c>
      <c r="I158">
        <v>488.59999999999997</v>
      </c>
      <c r="J158">
        <v>0</v>
      </c>
      <c r="K158">
        <v>426.59999999999991</v>
      </c>
      <c r="L158">
        <v>0</v>
      </c>
      <c r="M158">
        <v>364.59999999999991</v>
      </c>
      <c r="N158">
        <v>0</v>
      </c>
      <c r="O158">
        <v>302.60000000000002</v>
      </c>
      <c r="P158">
        <v>0</v>
      </c>
      <c r="Q158">
        <v>-1.7612903225806451</v>
      </c>
      <c r="DP158" s="6">
        <f>'Monthly Data'!F2</f>
        <v>22940442.075525835</v>
      </c>
      <c r="DQ158" s="6">
        <f>'Monthly Data'!J2</f>
        <v>9715146.4363389518</v>
      </c>
      <c r="DR158" s="6">
        <f>'Monthly Data'!N2</f>
        <v>21656892.322908267</v>
      </c>
      <c r="DS158" s="6">
        <f>'Monthly Data'!S2</f>
        <v>10184292.424999999</v>
      </c>
      <c r="DT158" s="6">
        <f>'Monthly Data'!X2</f>
        <v>23834836.064902499</v>
      </c>
    </row>
    <row r="159" spans="1:124">
      <c r="A159">
        <v>2012</v>
      </c>
      <c r="B159">
        <v>2</v>
      </c>
      <c r="C159">
        <v>579.99999999999989</v>
      </c>
      <c r="D159">
        <v>0</v>
      </c>
      <c r="E159">
        <v>521.99999999999989</v>
      </c>
      <c r="F159">
        <v>0</v>
      </c>
      <c r="G159">
        <v>463.99999999999983</v>
      </c>
      <c r="H159">
        <v>0</v>
      </c>
      <c r="I159">
        <v>405.99999999999994</v>
      </c>
      <c r="J159">
        <v>0</v>
      </c>
      <c r="K159">
        <v>348</v>
      </c>
      <c r="L159">
        <v>0</v>
      </c>
      <c r="M159">
        <v>289.99999999999994</v>
      </c>
      <c r="N159">
        <v>0</v>
      </c>
      <c r="O159">
        <v>232</v>
      </c>
      <c r="P159">
        <v>0</v>
      </c>
      <c r="Q159">
        <v>6.1253684117250015E-17</v>
      </c>
      <c r="DP159" s="6">
        <f>'Monthly Data'!F3</f>
        <v>19750182.603521436</v>
      </c>
      <c r="DQ159" s="6">
        <f>'Monthly Data'!J3</f>
        <v>8758035.2273938507</v>
      </c>
      <c r="DR159" s="6">
        <f>'Monthly Data'!N3</f>
        <v>19270892.776922364</v>
      </c>
      <c r="DS159" s="6">
        <f>'Monthly Data'!S3</f>
        <v>9898478.9196000006</v>
      </c>
      <c r="DT159" s="6">
        <f>'Monthly Data'!X3</f>
        <v>20937848.494860001</v>
      </c>
    </row>
    <row r="160" spans="1:124">
      <c r="A160">
        <v>2012</v>
      </c>
      <c r="B160">
        <v>3</v>
      </c>
      <c r="C160">
        <v>374.19999999999993</v>
      </c>
      <c r="D160">
        <v>0.69999999999999929</v>
      </c>
      <c r="E160">
        <v>316</v>
      </c>
      <c r="F160">
        <v>4.5</v>
      </c>
      <c r="G160">
        <v>262.8</v>
      </c>
      <c r="H160">
        <v>13.300000000000004</v>
      </c>
      <c r="I160">
        <v>216.19999999999996</v>
      </c>
      <c r="J160">
        <v>28.700000000000003</v>
      </c>
      <c r="K160">
        <v>170.2</v>
      </c>
      <c r="L160">
        <v>44.70000000000001</v>
      </c>
      <c r="M160">
        <v>128.4</v>
      </c>
      <c r="N160">
        <v>64.900000000000006</v>
      </c>
      <c r="O160">
        <v>97.3</v>
      </c>
      <c r="P160">
        <v>95.800000000000026</v>
      </c>
      <c r="Q160">
        <v>7.9516129032258061</v>
      </c>
      <c r="DP160" s="6">
        <f>'Monthly Data'!F4</f>
        <v>18667532.484367538</v>
      </c>
      <c r="DQ160" s="6">
        <f>'Monthly Data'!J4</f>
        <v>8522126.5363044497</v>
      </c>
      <c r="DR160" s="6">
        <f>'Monthly Data'!N4</f>
        <v>20056817.881679062</v>
      </c>
      <c r="DS160" s="6">
        <f>'Monthly Data'!S4</f>
        <v>10528549.533600001</v>
      </c>
      <c r="DT160" s="6">
        <f>'Monthly Data'!X4</f>
        <v>23746994.903362501</v>
      </c>
    </row>
    <row r="161" spans="1:124">
      <c r="A161">
        <v>2012</v>
      </c>
      <c r="B161">
        <v>4</v>
      </c>
      <c r="C161">
        <v>398.99999999999994</v>
      </c>
      <c r="D161">
        <v>0</v>
      </c>
      <c r="E161">
        <v>338.99999999999989</v>
      </c>
      <c r="F161">
        <v>0</v>
      </c>
      <c r="G161">
        <v>280.99999999999994</v>
      </c>
      <c r="H161">
        <v>2</v>
      </c>
      <c r="I161">
        <v>223.79999999999995</v>
      </c>
      <c r="J161">
        <v>4.8000000000000007</v>
      </c>
      <c r="K161">
        <v>168.1</v>
      </c>
      <c r="L161">
        <v>9.1000000000000014</v>
      </c>
      <c r="M161">
        <v>115.7</v>
      </c>
      <c r="N161">
        <v>16.700000000000003</v>
      </c>
      <c r="O161">
        <v>67.100000000000023</v>
      </c>
      <c r="P161">
        <v>28.1</v>
      </c>
      <c r="Q161">
        <v>6.700000000000002</v>
      </c>
      <c r="DP161" s="6">
        <f>'Monthly Data'!F5</f>
        <v>17185932.248962335</v>
      </c>
      <c r="DQ161" s="6">
        <f>'Monthly Data'!J5</f>
        <v>7739075.6310959514</v>
      </c>
      <c r="DR161" s="6">
        <f>'Monthly Data'!N5</f>
        <v>18860084.058233365</v>
      </c>
      <c r="DS161" s="6">
        <f>'Monthly Data'!S5</f>
        <v>9746760.0995999984</v>
      </c>
      <c r="DT161" s="6">
        <f>'Monthly Data'!X5</f>
        <v>23562709.501567502</v>
      </c>
    </row>
    <row r="162" spans="1:124">
      <c r="A162">
        <v>2012</v>
      </c>
      <c r="B162">
        <v>5</v>
      </c>
      <c r="C162">
        <v>154.60000000000002</v>
      </c>
      <c r="D162">
        <v>13.099999999999998</v>
      </c>
      <c r="E162">
        <v>106.2</v>
      </c>
      <c r="F162">
        <v>26.699999999999996</v>
      </c>
      <c r="G162">
        <v>64.599999999999994</v>
      </c>
      <c r="H162">
        <v>47.099999999999994</v>
      </c>
      <c r="I162">
        <v>33.5</v>
      </c>
      <c r="J162">
        <v>77.999999999999986</v>
      </c>
      <c r="K162">
        <v>12.9</v>
      </c>
      <c r="L162">
        <v>119.39999999999999</v>
      </c>
      <c r="M162">
        <v>3.4000000000000004</v>
      </c>
      <c r="N162">
        <v>171.9</v>
      </c>
      <c r="O162">
        <v>0</v>
      </c>
      <c r="P162">
        <v>230.49999999999997</v>
      </c>
      <c r="Q162">
        <v>15.435483870967738</v>
      </c>
      <c r="DP162" s="6">
        <f>'Monthly Data'!F6</f>
        <v>18842238.561853837</v>
      </c>
      <c r="DQ162" s="6">
        <f>'Monthly Data'!J6</f>
        <v>7942686.7721972512</v>
      </c>
      <c r="DR162" s="6">
        <f>'Monthly Data'!N6</f>
        <v>18641210.416657664</v>
      </c>
      <c r="DS162" s="6">
        <f>'Monthly Data'!S6</f>
        <v>10887684.005600002</v>
      </c>
      <c r="DT162" s="6">
        <f>'Monthly Data'!X6</f>
        <v>21444338.7360675</v>
      </c>
    </row>
    <row r="163" spans="1:124">
      <c r="A163">
        <v>2012</v>
      </c>
      <c r="B163">
        <v>6</v>
      </c>
      <c r="C163">
        <v>54.70000000000001</v>
      </c>
      <c r="D163">
        <v>61.999999999999993</v>
      </c>
      <c r="E163">
        <v>30.299999999999997</v>
      </c>
      <c r="F163">
        <v>97.600000000000023</v>
      </c>
      <c r="G163">
        <v>12.1</v>
      </c>
      <c r="H163">
        <v>139.40000000000003</v>
      </c>
      <c r="I163">
        <v>2.7999999999999989</v>
      </c>
      <c r="J163">
        <v>190.1</v>
      </c>
      <c r="K163">
        <v>0</v>
      </c>
      <c r="L163">
        <v>247.29999999999995</v>
      </c>
      <c r="M163">
        <v>0</v>
      </c>
      <c r="N163">
        <v>307.29999999999995</v>
      </c>
      <c r="O163">
        <v>0</v>
      </c>
      <c r="P163">
        <v>367.30000000000007</v>
      </c>
      <c r="Q163">
        <v>20.243333333333336</v>
      </c>
      <c r="DP163" s="6">
        <f>'Monthly Data'!F7</f>
        <v>24330964.085286837</v>
      </c>
      <c r="DQ163" s="6">
        <f>'Monthly Data'!J7</f>
        <v>8944453.9506688509</v>
      </c>
      <c r="DR163" s="6">
        <f>'Monthly Data'!N7</f>
        <v>19373443.969514765</v>
      </c>
      <c r="DS163" s="6">
        <f>'Monthly Data'!S7</f>
        <v>10627934.568399996</v>
      </c>
      <c r="DT163" s="6">
        <f>'Monthly Data'!X7</f>
        <v>21848126.405985001</v>
      </c>
    </row>
    <row r="164" spans="1:124">
      <c r="A164">
        <v>2012</v>
      </c>
      <c r="B164">
        <v>7</v>
      </c>
      <c r="C164">
        <v>2.8999999999999986</v>
      </c>
      <c r="D164">
        <v>94.799999999999983</v>
      </c>
      <c r="E164">
        <v>0</v>
      </c>
      <c r="F164">
        <v>153.89999999999995</v>
      </c>
      <c r="G164">
        <v>0</v>
      </c>
      <c r="H164">
        <v>215.9</v>
      </c>
      <c r="I164">
        <v>0</v>
      </c>
      <c r="J164">
        <v>277.90000000000003</v>
      </c>
      <c r="K164">
        <v>0</v>
      </c>
      <c r="L164">
        <v>339.90000000000003</v>
      </c>
      <c r="M164">
        <v>0</v>
      </c>
      <c r="N164">
        <v>401.90000000000009</v>
      </c>
      <c r="O164">
        <v>0</v>
      </c>
      <c r="P164">
        <v>463.90000000000009</v>
      </c>
      <c r="Q164">
        <v>22.964516129032258</v>
      </c>
      <c r="DP164" s="6">
        <f>'Monthly Data'!F8</f>
        <v>30485698.764678538</v>
      </c>
      <c r="DQ164" s="6">
        <f>'Monthly Data'!J8</f>
        <v>10398756.83768275</v>
      </c>
      <c r="DR164" s="6">
        <f>'Monthly Data'!N8</f>
        <v>23546466.734313264</v>
      </c>
      <c r="DS164" s="6">
        <f>'Monthly Data'!S8</f>
        <v>11037123.910399999</v>
      </c>
      <c r="DT164" s="6">
        <f>'Monthly Data'!X8</f>
        <v>23009052.228524998</v>
      </c>
    </row>
    <row r="165" spans="1:124">
      <c r="A165">
        <v>2012</v>
      </c>
      <c r="B165">
        <v>8</v>
      </c>
      <c r="C165">
        <v>23.599999999999998</v>
      </c>
      <c r="D165">
        <v>46.79999999999999</v>
      </c>
      <c r="E165">
        <v>5.8999999999999986</v>
      </c>
      <c r="F165">
        <v>91.1</v>
      </c>
      <c r="G165">
        <v>0.30000000000000071</v>
      </c>
      <c r="H165">
        <v>147.50000000000003</v>
      </c>
      <c r="I165">
        <v>0</v>
      </c>
      <c r="J165">
        <v>209.2</v>
      </c>
      <c r="K165">
        <v>0</v>
      </c>
      <c r="L165">
        <v>271.19999999999993</v>
      </c>
      <c r="M165">
        <v>0</v>
      </c>
      <c r="N165">
        <v>333.19999999999987</v>
      </c>
      <c r="O165">
        <v>0</v>
      </c>
      <c r="P165">
        <v>395.19999999999987</v>
      </c>
      <c r="Q165">
        <v>20.748387096774195</v>
      </c>
      <c r="DP165" s="6">
        <f>'Monthly Data'!F9</f>
        <v>25829575.968242534</v>
      </c>
      <c r="DQ165" s="6">
        <f>'Monthly Data'!J9</f>
        <v>9361959.3423689511</v>
      </c>
      <c r="DR165" s="6">
        <f>'Monthly Data'!N9</f>
        <v>21799469.352462463</v>
      </c>
      <c r="DS165" s="6">
        <f>'Monthly Data'!S9</f>
        <v>11333527.0392</v>
      </c>
      <c r="DT165" s="6">
        <f>'Monthly Data'!X9</f>
        <v>24714359.7245325</v>
      </c>
    </row>
    <row r="166" spans="1:124">
      <c r="A166">
        <v>2012</v>
      </c>
      <c r="B166">
        <v>9</v>
      </c>
      <c r="C166">
        <v>130.10000000000002</v>
      </c>
      <c r="D166">
        <v>9.100000000000005</v>
      </c>
      <c r="E166">
        <v>88.100000000000009</v>
      </c>
      <c r="F166">
        <v>27.100000000000005</v>
      </c>
      <c r="G166">
        <v>53.199999999999996</v>
      </c>
      <c r="H166">
        <v>52.199999999999996</v>
      </c>
      <c r="I166">
        <v>26.4</v>
      </c>
      <c r="J166">
        <v>85.4</v>
      </c>
      <c r="K166">
        <v>8.8000000000000007</v>
      </c>
      <c r="L166">
        <v>127.8</v>
      </c>
      <c r="M166">
        <v>0.59999999999999964</v>
      </c>
      <c r="N166">
        <v>179.6</v>
      </c>
      <c r="O166">
        <v>0</v>
      </c>
      <c r="P166">
        <v>239.00000000000003</v>
      </c>
      <c r="Q166">
        <v>15.96666666666667</v>
      </c>
      <c r="DP166" s="6">
        <f>'Monthly Data'!F10</f>
        <v>19738217.869771238</v>
      </c>
      <c r="DQ166" s="6">
        <f>'Monthly Data'!J10</f>
        <v>7892744.2531334516</v>
      </c>
      <c r="DR166" s="6">
        <f>'Monthly Data'!N10</f>
        <v>18204589.530658066</v>
      </c>
      <c r="DS166" s="6">
        <f>'Monthly Data'!S10</f>
        <v>10531471.440000001</v>
      </c>
      <c r="DT166" s="6">
        <f>'Monthly Data'!X10</f>
        <v>23088125.301615</v>
      </c>
    </row>
    <row r="167" spans="1:124">
      <c r="A167">
        <v>2012</v>
      </c>
      <c r="B167">
        <v>10</v>
      </c>
      <c r="C167">
        <v>280.89999999999998</v>
      </c>
      <c r="D167">
        <v>0</v>
      </c>
      <c r="E167">
        <v>220.5</v>
      </c>
      <c r="F167">
        <v>1.6000000000000014</v>
      </c>
      <c r="G167">
        <v>166.7</v>
      </c>
      <c r="H167">
        <v>9.8000000000000007</v>
      </c>
      <c r="I167">
        <v>118.29999999999998</v>
      </c>
      <c r="J167">
        <v>23.4</v>
      </c>
      <c r="K167">
        <v>75.3</v>
      </c>
      <c r="L167">
        <v>42.4</v>
      </c>
      <c r="M167">
        <v>40.499999999999993</v>
      </c>
      <c r="N167">
        <v>69.599999999999994</v>
      </c>
      <c r="O167">
        <v>14.5</v>
      </c>
      <c r="P167">
        <v>105.60000000000001</v>
      </c>
      <c r="Q167">
        <v>10.938709677419356</v>
      </c>
      <c r="DP167" s="6">
        <f>'Monthly Data'!F11</f>
        <v>18150877.194894433</v>
      </c>
      <c r="DQ167" s="6">
        <f>'Monthly Data'!J11</f>
        <v>7783049.2121892506</v>
      </c>
      <c r="DR167" s="6">
        <f>'Monthly Data'!N11</f>
        <v>18651082.538031064</v>
      </c>
      <c r="DS167" s="6">
        <f>'Monthly Data'!S11</f>
        <v>11053422.9202</v>
      </c>
      <c r="DT167" s="6">
        <f>'Monthly Data'!X11</f>
        <v>21735263.339707501</v>
      </c>
    </row>
    <row r="168" spans="1:124">
      <c r="A168">
        <v>2012</v>
      </c>
      <c r="B168">
        <v>11</v>
      </c>
      <c r="C168">
        <v>490.4</v>
      </c>
      <c r="D168">
        <v>0</v>
      </c>
      <c r="E168">
        <v>430.39999999999992</v>
      </c>
      <c r="F168">
        <v>0</v>
      </c>
      <c r="G168">
        <v>370.4</v>
      </c>
      <c r="H168">
        <v>0</v>
      </c>
      <c r="I168">
        <v>310.49999999999994</v>
      </c>
      <c r="J168">
        <v>9.9999999999999645E-2</v>
      </c>
      <c r="K168">
        <v>252.50000000000003</v>
      </c>
      <c r="L168">
        <v>2.0999999999999996</v>
      </c>
      <c r="M168">
        <v>194.60000000000002</v>
      </c>
      <c r="N168">
        <v>4.1999999999999993</v>
      </c>
      <c r="O168">
        <v>139.90000000000003</v>
      </c>
      <c r="P168">
        <v>9.5</v>
      </c>
      <c r="Q168">
        <v>3.6533333333333333</v>
      </c>
      <c r="DP168" s="6">
        <f>'Monthly Data'!F12</f>
        <v>19648132.137011733</v>
      </c>
      <c r="DQ168" s="6">
        <f>'Monthly Data'!J12</f>
        <v>8189402.8398290509</v>
      </c>
      <c r="DR168" s="6">
        <f>'Monthly Data'!N12</f>
        <v>18582249.065724567</v>
      </c>
      <c r="DS168" s="6">
        <f>'Monthly Data'!S12</f>
        <v>11096947.746599998</v>
      </c>
      <c r="DT168" s="6">
        <f>'Monthly Data'!X12</f>
        <v>21728354.336369999</v>
      </c>
    </row>
    <row r="169" spans="1:124">
      <c r="A169">
        <v>2012</v>
      </c>
      <c r="B169">
        <v>12</v>
      </c>
      <c r="C169">
        <v>578.70000000000005</v>
      </c>
      <c r="D169">
        <v>0</v>
      </c>
      <c r="E169">
        <v>516.70000000000005</v>
      </c>
      <c r="F169">
        <v>0</v>
      </c>
      <c r="G169">
        <v>454.70000000000005</v>
      </c>
      <c r="H169">
        <v>0</v>
      </c>
      <c r="I169">
        <v>392.7</v>
      </c>
      <c r="J169">
        <v>0</v>
      </c>
      <c r="K169">
        <v>330.7</v>
      </c>
      <c r="L169">
        <v>0</v>
      </c>
      <c r="M169">
        <v>268.79999999999995</v>
      </c>
      <c r="N169">
        <v>9.9999999999999645E-2</v>
      </c>
      <c r="O169">
        <v>210.49999999999997</v>
      </c>
      <c r="P169">
        <v>3.8000000000000007</v>
      </c>
      <c r="Q169">
        <v>1.3322580645161293</v>
      </c>
      <c r="DP169" s="6">
        <f>'Monthly Data'!F13</f>
        <v>22299512.088978134</v>
      </c>
      <c r="DQ169" s="6">
        <f>'Monthly Data'!J13</f>
        <v>9020722.2922806516</v>
      </c>
      <c r="DR169" s="6">
        <f>'Monthly Data'!N13</f>
        <v>20507929.249744967</v>
      </c>
      <c r="DS169" s="6">
        <f>'Monthly Data'!S13</f>
        <v>9973850.2603999972</v>
      </c>
      <c r="DT169" s="6">
        <f>'Monthly Data'!X13</f>
        <v>22981434.2358975</v>
      </c>
    </row>
    <row r="170" spans="1:124">
      <c r="A170">
        <v>2013</v>
      </c>
      <c r="B170">
        <v>1</v>
      </c>
      <c r="C170">
        <v>706.10000000000014</v>
      </c>
      <c r="D170">
        <v>0</v>
      </c>
      <c r="E170">
        <v>644.1</v>
      </c>
      <c r="F170">
        <v>0</v>
      </c>
      <c r="G170">
        <v>582.10000000000014</v>
      </c>
      <c r="H170">
        <v>0</v>
      </c>
      <c r="I170">
        <v>520.09999999999991</v>
      </c>
      <c r="J170">
        <v>0</v>
      </c>
      <c r="K170">
        <v>458.09999999999997</v>
      </c>
      <c r="L170">
        <v>0</v>
      </c>
      <c r="M170">
        <v>396.09999999999997</v>
      </c>
      <c r="N170">
        <v>0</v>
      </c>
      <c r="O170">
        <v>335.8</v>
      </c>
      <c r="P170">
        <v>1.6999999999999993</v>
      </c>
      <c r="Q170">
        <v>-2.7774193548387101</v>
      </c>
      <c r="DP170" s="6">
        <f>'Monthly Data'!F14</f>
        <v>23220643.847864494</v>
      </c>
      <c r="DQ170" s="6">
        <f>'Monthly Data'!J14</f>
        <v>9534040.4083122835</v>
      </c>
      <c r="DR170" s="6">
        <f>'Monthly Data'!N14</f>
        <v>22574878.338350814</v>
      </c>
      <c r="DS170" s="6">
        <f>'Monthly Data'!S14</f>
        <v>11037124.507985253</v>
      </c>
      <c r="DT170" s="6">
        <f>'Monthly Data'!X14</f>
        <v>22069532.846835185</v>
      </c>
    </row>
    <row r="171" spans="1:124">
      <c r="A171">
        <v>2013</v>
      </c>
      <c r="B171">
        <v>2</v>
      </c>
      <c r="C171">
        <v>675.20000000000016</v>
      </c>
      <c r="D171">
        <v>0</v>
      </c>
      <c r="E171">
        <v>619.20000000000016</v>
      </c>
      <c r="F171">
        <v>0</v>
      </c>
      <c r="G171">
        <v>563.20000000000016</v>
      </c>
      <c r="H171">
        <v>0</v>
      </c>
      <c r="I171">
        <v>507.19999999999993</v>
      </c>
      <c r="J171">
        <v>0</v>
      </c>
      <c r="K171">
        <v>451.19999999999993</v>
      </c>
      <c r="L171">
        <v>0</v>
      </c>
      <c r="M171">
        <v>395.19999999999993</v>
      </c>
      <c r="N171">
        <v>0</v>
      </c>
      <c r="O171">
        <v>339.19999999999993</v>
      </c>
      <c r="P171">
        <v>0</v>
      </c>
      <c r="Q171">
        <v>-4.1142857142857148</v>
      </c>
      <c r="DP171" s="6">
        <f>'Monthly Data'!F15</f>
        <v>21070740.115142494</v>
      </c>
      <c r="DQ171" s="6">
        <f>'Monthly Data'!J15</f>
        <v>9006643.9426317848</v>
      </c>
      <c r="DR171" s="6">
        <f>'Monthly Data'!N15</f>
        <v>18431782.240890011</v>
      </c>
      <c r="DS171" s="6">
        <f>'Monthly Data'!S15</f>
        <v>9768520.7657852564</v>
      </c>
      <c r="DT171" s="6">
        <f>'Monthly Data'!X15</f>
        <v>21742510.084312685</v>
      </c>
    </row>
    <row r="172" spans="1:124">
      <c r="A172">
        <v>2013</v>
      </c>
      <c r="B172">
        <v>3</v>
      </c>
      <c r="C172">
        <v>621.40000000000009</v>
      </c>
      <c r="D172">
        <v>0</v>
      </c>
      <c r="E172">
        <v>559.4000000000002</v>
      </c>
      <c r="F172">
        <v>0</v>
      </c>
      <c r="G172">
        <v>497.40000000000015</v>
      </c>
      <c r="H172">
        <v>0</v>
      </c>
      <c r="I172">
        <v>435.40000000000015</v>
      </c>
      <c r="J172">
        <v>0</v>
      </c>
      <c r="K172">
        <v>373.40000000000015</v>
      </c>
      <c r="L172">
        <v>0</v>
      </c>
      <c r="M172">
        <v>311.40000000000015</v>
      </c>
      <c r="N172">
        <v>0</v>
      </c>
      <c r="O172">
        <v>251.40000000000003</v>
      </c>
      <c r="P172">
        <v>2</v>
      </c>
      <c r="Q172">
        <v>-4.5161290322580656E-2</v>
      </c>
      <c r="DP172" s="6">
        <f>'Monthly Data'!F16</f>
        <v>21090139.995281495</v>
      </c>
      <c r="DQ172" s="6">
        <f>'Monthly Data'!J16</f>
        <v>9257804.8367192838</v>
      </c>
      <c r="DR172" s="6">
        <f>'Monthly Data'!N16</f>
        <v>20313644.663039513</v>
      </c>
      <c r="DS172" s="6">
        <f>'Monthly Data'!S16</f>
        <v>10703251.362785257</v>
      </c>
      <c r="DT172" s="6">
        <f>'Monthly Data'!X16</f>
        <v>24101552.512170181</v>
      </c>
    </row>
    <row r="173" spans="1:124">
      <c r="A173">
        <v>2013</v>
      </c>
      <c r="B173">
        <v>4</v>
      </c>
      <c r="C173">
        <v>419.2</v>
      </c>
      <c r="D173">
        <v>0</v>
      </c>
      <c r="E173">
        <v>359.20000000000005</v>
      </c>
      <c r="F173">
        <v>0</v>
      </c>
      <c r="G173">
        <v>299.39999999999998</v>
      </c>
      <c r="H173">
        <v>0.19999999999999929</v>
      </c>
      <c r="I173">
        <v>243.3</v>
      </c>
      <c r="J173">
        <v>4.0999999999999996</v>
      </c>
      <c r="K173">
        <v>189.3</v>
      </c>
      <c r="L173">
        <v>10.1</v>
      </c>
      <c r="M173">
        <v>141.70000000000005</v>
      </c>
      <c r="N173">
        <v>22.5</v>
      </c>
      <c r="O173">
        <v>97.700000000000017</v>
      </c>
      <c r="P173">
        <v>38.5</v>
      </c>
      <c r="Q173">
        <v>6.0266666666666673</v>
      </c>
      <c r="DP173" s="6">
        <f>'Monthly Data'!F17</f>
        <v>18442014.413735695</v>
      </c>
      <c r="DQ173" s="6">
        <f>'Monthly Data'!J17</f>
        <v>8125918.1034470843</v>
      </c>
      <c r="DR173" s="6">
        <f>'Monthly Data'!N17</f>
        <v>19283907.481619515</v>
      </c>
      <c r="DS173" s="6">
        <f>'Monthly Data'!S17</f>
        <v>10644159.995785259</v>
      </c>
      <c r="DT173" s="6">
        <f>'Monthly Data'!X17</f>
        <v>20152519.055752683</v>
      </c>
    </row>
    <row r="174" spans="1:124">
      <c r="A174">
        <v>2013</v>
      </c>
      <c r="B174">
        <v>5</v>
      </c>
      <c r="C174">
        <v>186.10000000000002</v>
      </c>
      <c r="D174">
        <v>21.000000000000004</v>
      </c>
      <c r="E174">
        <v>139.20000000000002</v>
      </c>
      <c r="F174">
        <v>36.100000000000009</v>
      </c>
      <c r="G174">
        <v>99.999999999999986</v>
      </c>
      <c r="H174">
        <v>58.900000000000006</v>
      </c>
      <c r="I174">
        <v>66.600000000000009</v>
      </c>
      <c r="J174">
        <v>87.5</v>
      </c>
      <c r="K174">
        <v>42.3</v>
      </c>
      <c r="L174">
        <v>125.19999999999999</v>
      </c>
      <c r="M174">
        <v>23.4</v>
      </c>
      <c r="N174">
        <v>168.3</v>
      </c>
      <c r="O174">
        <v>9.6000000000000014</v>
      </c>
      <c r="P174">
        <v>216.5</v>
      </c>
      <c r="Q174">
        <v>14.674193548387098</v>
      </c>
      <c r="DP174" s="6">
        <f>'Monthly Data'!F18</f>
        <v>18758766.803188898</v>
      </c>
      <c r="DQ174" s="6">
        <f>'Monthly Data'!J18</f>
        <v>8062929.2464828845</v>
      </c>
      <c r="DR174" s="6">
        <f>'Monthly Data'!N18</f>
        <v>19146377.191588316</v>
      </c>
      <c r="DS174" s="6">
        <f>'Monthly Data'!S18</f>
        <v>11574045.029185256</v>
      </c>
      <c r="DT174" s="6">
        <f>'Monthly Data'!X18</f>
        <v>22491203.862150185</v>
      </c>
    </row>
    <row r="175" spans="1:124">
      <c r="A175">
        <v>2013</v>
      </c>
      <c r="B175">
        <v>6</v>
      </c>
      <c r="C175">
        <v>86.399999999999991</v>
      </c>
      <c r="D175">
        <v>32.399999999999991</v>
      </c>
      <c r="E175">
        <v>48.400000000000006</v>
      </c>
      <c r="F175">
        <v>54.400000000000013</v>
      </c>
      <c r="G175">
        <v>23.3</v>
      </c>
      <c r="H175">
        <v>89.3</v>
      </c>
      <c r="I175">
        <v>8</v>
      </c>
      <c r="J175">
        <v>134.00000000000003</v>
      </c>
      <c r="K175">
        <v>0.59999999999999964</v>
      </c>
      <c r="L175">
        <v>186.60000000000002</v>
      </c>
      <c r="M175">
        <v>0</v>
      </c>
      <c r="N175">
        <v>246.00000000000006</v>
      </c>
      <c r="O175">
        <v>0</v>
      </c>
      <c r="P175">
        <v>306.00000000000006</v>
      </c>
      <c r="Q175">
        <v>18.2</v>
      </c>
      <c r="DP175" s="6">
        <f>'Monthly Data'!F19</f>
        <v>21531298.069024794</v>
      </c>
      <c r="DQ175" s="6">
        <f>'Monthly Data'!J19</f>
        <v>8348247.6178910844</v>
      </c>
      <c r="DR175" s="6">
        <f>'Monthly Data'!N19</f>
        <v>18624260.841029517</v>
      </c>
      <c r="DS175" s="6">
        <f>'Monthly Data'!S19</f>
        <v>11274594.937385254</v>
      </c>
      <c r="DT175" s="6">
        <f>'Monthly Data'!X19</f>
        <v>22144008.17900268</v>
      </c>
    </row>
    <row r="176" spans="1:124">
      <c r="A176">
        <v>2013</v>
      </c>
      <c r="B176">
        <v>7</v>
      </c>
      <c r="C176">
        <v>29.799999999999997</v>
      </c>
      <c r="D176">
        <v>76.999999999999986</v>
      </c>
      <c r="E176">
        <v>10.7</v>
      </c>
      <c r="F176">
        <v>119.89999999999998</v>
      </c>
      <c r="G176">
        <v>2.3000000000000007</v>
      </c>
      <c r="H176">
        <v>173.5</v>
      </c>
      <c r="I176">
        <v>0</v>
      </c>
      <c r="J176">
        <v>233.19999999999996</v>
      </c>
      <c r="K176">
        <v>0</v>
      </c>
      <c r="L176">
        <v>295.20000000000005</v>
      </c>
      <c r="M176">
        <v>0</v>
      </c>
      <c r="N176">
        <v>357.2000000000001</v>
      </c>
      <c r="O176">
        <v>0</v>
      </c>
      <c r="P176">
        <v>419.2000000000001</v>
      </c>
      <c r="Q176">
        <v>21.522580645161295</v>
      </c>
      <c r="DP176" s="6">
        <f>'Monthly Data'!F20</f>
        <v>27101461.942128897</v>
      </c>
      <c r="DQ176" s="6">
        <f>'Monthly Data'!J20</f>
        <v>9941815.5495547839</v>
      </c>
      <c r="DR176" s="6">
        <f>'Monthly Data'!N20</f>
        <v>22473285.336796511</v>
      </c>
      <c r="DS176" s="6">
        <f>'Monthly Data'!S20</f>
        <v>11333699.280185258</v>
      </c>
      <c r="DT176" s="6">
        <f>'Monthly Data'!X20</f>
        <v>23094323.983215183</v>
      </c>
    </row>
    <row r="177" spans="1:124">
      <c r="A177">
        <v>2013</v>
      </c>
      <c r="B177">
        <v>8</v>
      </c>
      <c r="C177">
        <v>37.600000000000009</v>
      </c>
      <c r="D177">
        <v>38.299999999999997</v>
      </c>
      <c r="E177">
        <v>14.100000000000003</v>
      </c>
      <c r="F177">
        <v>76.8</v>
      </c>
      <c r="G177">
        <v>1.4000000000000004</v>
      </c>
      <c r="H177">
        <v>126.10000000000002</v>
      </c>
      <c r="I177">
        <v>0</v>
      </c>
      <c r="J177">
        <v>186.69999999999996</v>
      </c>
      <c r="K177">
        <v>0</v>
      </c>
      <c r="L177">
        <v>248.69999999999996</v>
      </c>
      <c r="M177">
        <v>0</v>
      </c>
      <c r="N177">
        <v>310.7</v>
      </c>
      <c r="O177">
        <v>0</v>
      </c>
      <c r="P177">
        <v>372.69999999999987</v>
      </c>
      <c r="Q177">
        <v>20.022580645161291</v>
      </c>
      <c r="DP177" s="6">
        <f>'Monthly Data'!F21</f>
        <v>24091301.034046695</v>
      </c>
      <c r="DQ177" s="6">
        <f>'Monthly Data'!J21</f>
        <v>9130044.4114049841</v>
      </c>
      <c r="DR177" s="6">
        <f>'Monthly Data'!N21</f>
        <v>20760425.70034701</v>
      </c>
      <c r="DS177" s="6">
        <f>'Monthly Data'!S21</f>
        <v>11733516.672385257</v>
      </c>
      <c r="DT177" s="6">
        <f>'Monthly Data'!X21</f>
        <v>23514754.079565186</v>
      </c>
    </row>
    <row r="178" spans="1:124">
      <c r="A178">
        <v>2013</v>
      </c>
      <c r="B178">
        <v>9</v>
      </c>
      <c r="C178">
        <v>131.1</v>
      </c>
      <c r="D178">
        <v>19.099999999999998</v>
      </c>
      <c r="E178">
        <v>84.9</v>
      </c>
      <c r="F178">
        <v>32.9</v>
      </c>
      <c r="G178">
        <v>50.5</v>
      </c>
      <c r="H178">
        <v>58.499999999999993</v>
      </c>
      <c r="I178">
        <v>24</v>
      </c>
      <c r="J178">
        <v>92.000000000000028</v>
      </c>
      <c r="K178">
        <v>7.2000000000000011</v>
      </c>
      <c r="L178">
        <v>135.20000000000002</v>
      </c>
      <c r="M178">
        <v>0</v>
      </c>
      <c r="N178">
        <v>188</v>
      </c>
      <c r="O178">
        <v>0</v>
      </c>
      <c r="P178">
        <v>247.99999999999994</v>
      </c>
      <c r="Q178">
        <v>16.266666666666666</v>
      </c>
      <c r="DP178" s="6">
        <f>'Monthly Data'!F22</f>
        <v>19743349.217510894</v>
      </c>
      <c r="DQ178" s="6">
        <f>'Monthly Data'!J22</f>
        <v>7742147.1490493836</v>
      </c>
      <c r="DR178" s="6">
        <f>'Monthly Data'!N22</f>
        <v>18500510.052468214</v>
      </c>
      <c r="DS178" s="6">
        <f>'Monthly Data'!S22</f>
        <v>11218710.709385253</v>
      </c>
      <c r="DT178" s="6">
        <f>'Monthly Data'!X22</f>
        <v>20804434.856415186</v>
      </c>
    </row>
    <row r="179" spans="1:124">
      <c r="A179">
        <v>2013</v>
      </c>
      <c r="B179">
        <v>10</v>
      </c>
      <c r="C179">
        <v>270.60000000000002</v>
      </c>
      <c r="D179">
        <v>1.8000000000000007</v>
      </c>
      <c r="E179">
        <v>212.10000000000002</v>
      </c>
      <c r="F179">
        <v>5.3000000000000007</v>
      </c>
      <c r="G179">
        <v>159.09999999999997</v>
      </c>
      <c r="H179">
        <v>14.300000000000004</v>
      </c>
      <c r="I179">
        <v>111.4</v>
      </c>
      <c r="J179">
        <v>28.6</v>
      </c>
      <c r="K179">
        <v>72.599999999999994</v>
      </c>
      <c r="L179">
        <v>51.800000000000004</v>
      </c>
      <c r="M179">
        <v>43.8</v>
      </c>
      <c r="N179">
        <v>85.000000000000014</v>
      </c>
      <c r="O179">
        <v>22.200000000000003</v>
      </c>
      <c r="P179">
        <v>125.39999999999999</v>
      </c>
      <c r="Q179">
        <v>11.329032258064519</v>
      </c>
      <c r="DP179" s="6">
        <f>'Monthly Data'!F23</f>
        <v>18636040.720456898</v>
      </c>
      <c r="DQ179" s="6">
        <f>'Monthly Data'!J23</f>
        <v>7764874.1227563843</v>
      </c>
      <c r="DR179" s="6">
        <f>'Monthly Data'!N23</f>
        <v>20153921.133393314</v>
      </c>
      <c r="DS179" s="6">
        <f>'Monthly Data'!S23</f>
        <v>11555487.475785257</v>
      </c>
      <c r="DT179" s="6">
        <f>'Monthly Data'!X23</f>
        <v>20100788.139757685</v>
      </c>
    </row>
    <row r="180" spans="1:124">
      <c r="A180">
        <v>2013</v>
      </c>
      <c r="B180">
        <v>11</v>
      </c>
      <c r="C180">
        <v>525.70000000000005</v>
      </c>
      <c r="D180">
        <v>0</v>
      </c>
      <c r="E180">
        <v>465.7</v>
      </c>
      <c r="F180">
        <v>0</v>
      </c>
      <c r="G180">
        <v>405.7</v>
      </c>
      <c r="H180">
        <v>0</v>
      </c>
      <c r="I180">
        <v>345.70000000000005</v>
      </c>
      <c r="J180">
        <v>0</v>
      </c>
      <c r="K180">
        <v>286.40000000000003</v>
      </c>
      <c r="L180">
        <v>0.69999999999999929</v>
      </c>
      <c r="M180">
        <v>230.00000000000006</v>
      </c>
      <c r="N180">
        <v>4.2999999999999989</v>
      </c>
      <c r="O180">
        <v>176.5</v>
      </c>
      <c r="P180">
        <v>10.799999999999999</v>
      </c>
      <c r="Q180">
        <v>2.4766666666666661</v>
      </c>
      <c r="DP180" s="6">
        <f>'Monthly Data'!F24</f>
        <v>20299657.892608896</v>
      </c>
      <c r="DQ180" s="6">
        <f>'Monthly Data'!J24</f>
        <v>8442140.3708957825</v>
      </c>
      <c r="DR180" s="6">
        <f>'Monthly Data'!N24</f>
        <v>18711865.730132714</v>
      </c>
      <c r="DS180" s="6">
        <f>'Monthly Data'!S24</f>
        <v>10890261.64758526</v>
      </c>
      <c r="DT180" s="6">
        <f>'Monthly Data'!X24</f>
        <v>21017431.941322684</v>
      </c>
    </row>
    <row r="181" spans="1:124">
      <c r="A181">
        <v>2013</v>
      </c>
      <c r="B181">
        <v>12</v>
      </c>
      <c r="C181">
        <v>735.59999999999991</v>
      </c>
      <c r="D181">
        <v>0</v>
      </c>
      <c r="E181">
        <v>673.6</v>
      </c>
      <c r="F181">
        <v>0</v>
      </c>
      <c r="G181">
        <v>611.59999999999991</v>
      </c>
      <c r="H181">
        <v>0</v>
      </c>
      <c r="I181">
        <v>549.6</v>
      </c>
      <c r="J181">
        <v>0</v>
      </c>
      <c r="K181">
        <v>487.59999999999991</v>
      </c>
      <c r="L181">
        <v>0</v>
      </c>
      <c r="M181">
        <v>425.59999999999997</v>
      </c>
      <c r="N181">
        <v>0</v>
      </c>
      <c r="O181">
        <v>363.59999999999997</v>
      </c>
      <c r="P181">
        <v>0</v>
      </c>
      <c r="Q181">
        <v>-3.7290322580645165</v>
      </c>
      <c r="DP181" s="6">
        <f>'Monthly Data'!F25</f>
        <v>23861647.359846197</v>
      </c>
      <c r="DQ181" s="6">
        <f>'Monthly Data'!J25</f>
        <v>9615887.6118512843</v>
      </c>
      <c r="DR181" s="6">
        <f>'Monthly Data'!N25</f>
        <v>21202370.883770712</v>
      </c>
      <c r="DS181" s="6">
        <f>'Monthly Data'!S25</f>
        <v>10629075.920985257</v>
      </c>
      <c r="DT181" s="6">
        <f>'Monthly Data'!X25</f>
        <v>22772246.808757681</v>
      </c>
    </row>
    <row r="182" spans="1:124">
      <c r="A182">
        <v>2014</v>
      </c>
      <c r="B182">
        <v>1</v>
      </c>
      <c r="C182">
        <v>888.3</v>
      </c>
      <c r="D182">
        <v>0</v>
      </c>
      <c r="E182">
        <v>826.30000000000007</v>
      </c>
      <c r="F182">
        <v>0</v>
      </c>
      <c r="G182">
        <v>764.30000000000007</v>
      </c>
      <c r="H182">
        <v>0</v>
      </c>
      <c r="I182">
        <v>702.30000000000007</v>
      </c>
      <c r="J182">
        <v>0</v>
      </c>
      <c r="K182">
        <v>640.30000000000007</v>
      </c>
      <c r="L182">
        <v>0</v>
      </c>
      <c r="M182">
        <v>578.30000000000007</v>
      </c>
      <c r="N182">
        <v>0</v>
      </c>
      <c r="O182">
        <v>516.30000000000018</v>
      </c>
      <c r="P182">
        <v>0</v>
      </c>
      <c r="Q182">
        <v>-8.6548387096774189</v>
      </c>
      <c r="DP182" s="6">
        <f>'Monthly Data'!F26</f>
        <v>25393202.293457907</v>
      </c>
      <c r="DQ182" s="6">
        <f>'Monthly Data'!J26</f>
        <v>10330036.572259538</v>
      </c>
      <c r="DR182" s="6">
        <f>'Monthly Data'!N26</f>
        <v>21407032.927619025</v>
      </c>
      <c r="DS182" s="6">
        <f>'Monthly Data'!S26</f>
        <v>11182147.167236708</v>
      </c>
      <c r="DT182" s="6">
        <f>'Monthly Data'!X26</f>
        <v>21430181.628353979</v>
      </c>
    </row>
    <row r="183" spans="1:124">
      <c r="A183">
        <v>2014</v>
      </c>
      <c r="B183">
        <v>2</v>
      </c>
      <c r="C183">
        <v>819.7</v>
      </c>
      <c r="D183">
        <v>0</v>
      </c>
      <c r="E183">
        <v>763.7</v>
      </c>
      <c r="F183">
        <v>0</v>
      </c>
      <c r="G183">
        <v>707.7</v>
      </c>
      <c r="H183">
        <v>0</v>
      </c>
      <c r="I183">
        <v>651.70000000000005</v>
      </c>
      <c r="J183">
        <v>0</v>
      </c>
      <c r="K183">
        <v>595.70000000000005</v>
      </c>
      <c r="L183">
        <v>0</v>
      </c>
      <c r="M183">
        <v>539.70000000000005</v>
      </c>
      <c r="N183">
        <v>0</v>
      </c>
      <c r="O183">
        <v>483.7</v>
      </c>
      <c r="P183">
        <v>0</v>
      </c>
      <c r="Q183">
        <v>-9.2750000000000004</v>
      </c>
      <c r="DP183" s="6">
        <f>'Monthly Data'!F27</f>
        <v>21886278.818173807</v>
      </c>
      <c r="DQ183" s="6">
        <f>'Monthly Data'!J27</f>
        <v>9342848.3845273387</v>
      </c>
      <c r="DR183" s="6">
        <f>'Monthly Data'!N27</f>
        <v>19902756.066625524</v>
      </c>
      <c r="DS183" s="6">
        <f>'Monthly Data'!S27</f>
        <v>9859051.9018367045</v>
      </c>
      <c r="DT183" s="6">
        <f>'Monthly Data'!X27</f>
        <v>20764315.884211477</v>
      </c>
    </row>
    <row r="184" spans="1:124">
      <c r="A184">
        <v>2014</v>
      </c>
      <c r="B184">
        <v>3</v>
      </c>
      <c r="C184">
        <v>747.30000000000007</v>
      </c>
      <c r="D184">
        <v>0</v>
      </c>
      <c r="E184">
        <v>685.30000000000007</v>
      </c>
      <c r="F184">
        <v>0</v>
      </c>
      <c r="G184">
        <v>623.30000000000007</v>
      </c>
      <c r="H184">
        <v>0</v>
      </c>
      <c r="I184">
        <v>561.30000000000007</v>
      </c>
      <c r="J184">
        <v>0</v>
      </c>
      <c r="K184">
        <v>499.29999999999995</v>
      </c>
      <c r="L184">
        <v>0</v>
      </c>
      <c r="M184">
        <v>437.29999999999995</v>
      </c>
      <c r="N184">
        <v>0</v>
      </c>
      <c r="O184">
        <v>375.29999999999995</v>
      </c>
      <c r="P184">
        <v>0</v>
      </c>
      <c r="Q184">
        <v>-4.1064516129032258</v>
      </c>
      <c r="DP184" s="6">
        <f>'Monthly Data'!F28</f>
        <v>22125882.52608351</v>
      </c>
      <c r="DQ184" s="6">
        <f>'Monthly Data'!J28</f>
        <v>9830145.6265787389</v>
      </c>
      <c r="DR184" s="6">
        <f>'Monthly Data'!N28</f>
        <v>21814873.450316727</v>
      </c>
      <c r="DS184" s="6">
        <f>'Monthly Data'!S28</f>
        <v>11209000.420836706</v>
      </c>
      <c r="DT184" s="6">
        <f>'Monthly Data'!X28</f>
        <v>21695725.79207398</v>
      </c>
    </row>
    <row r="185" spans="1:124">
      <c r="A185">
        <v>2014</v>
      </c>
      <c r="B185">
        <v>4</v>
      </c>
      <c r="C185">
        <v>405.19999999999987</v>
      </c>
      <c r="D185">
        <v>0</v>
      </c>
      <c r="E185">
        <v>345.2</v>
      </c>
      <c r="F185">
        <v>0</v>
      </c>
      <c r="G185">
        <v>285.2</v>
      </c>
      <c r="H185">
        <v>0</v>
      </c>
      <c r="I185">
        <v>226.79999999999998</v>
      </c>
      <c r="J185">
        <v>1.5999999999999996</v>
      </c>
      <c r="K185">
        <v>171.99999999999997</v>
      </c>
      <c r="L185">
        <v>6.7999999999999989</v>
      </c>
      <c r="M185">
        <v>121.80000000000001</v>
      </c>
      <c r="N185">
        <v>16.599999999999998</v>
      </c>
      <c r="O185">
        <v>80.600000000000009</v>
      </c>
      <c r="P185">
        <v>35.400000000000006</v>
      </c>
      <c r="Q185">
        <v>6.4933333333333341</v>
      </c>
      <c r="DP185" s="6">
        <f>'Monthly Data'!F29</f>
        <v>17847693.948654607</v>
      </c>
      <c r="DQ185" s="6">
        <f>'Monthly Data'!J29</f>
        <v>8001586.9321141401</v>
      </c>
      <c r="DR185" s="6">
        <f>'Monthly Data'!N29</f>
        <v>18254278.850208424</v>
      </c>
      <c r="DS185" s="6">
        <f>'Monthly Data'!S29</f>
        <v>11171833.209036704</v>
      </c>
      <c r="DT185" s="6">
        <f>'Monthly Data'!X29</f>
        <v>22089816.404813975</v>
      </c>
    </row>
    <row r="186" spans="1:124">
      <c r="A186">
        <v>2014</v>
      </c>
      <c r="B186">
        <v>5</v>
      </c>
      <c r="C186">
        <v>214.49999999999994</v>
      </c>
      <c r="D186">
        <v>4.7000000000000028</v>
      </c>
      <c r="E186">
        <v>160.89999999999998</v>
      </c>
      <c r="F186">
        <v>13.100000000000001</v>
      </c>
      <c r="G186">
        <v>113.3</v>
      </c>
      <c r="H186">
        <v>27.500000000000004</v>
      </c>
      <c r="I186">
        <v>74.099999999999994</v>
      </c>
      <c r="J186">
        <v>50.300000000000004</v>
      </c>
      <c r="K186">
        <v>40.600000000000009</v>
      </c>
      <c r="L186">
        <v>78.800000000000011</v>
      </c>
      <c r="M186">
        <v>19.3</v>
      </c>
      <c r="N186">
        <v>119.50000000000003</v>
      </c>
      <c r="O186">
        <v>8.9</v>
      </c>
      <c r="P186">
        <v>171.10000000000002</v>
      </c>
      <c r="Q186">
        <v>13.232258064516129</v>
      </c>
      <c r="DP186" s="6">
        <f>'Monthly Data'!F30</f>
        <v>17821762.58503991</v>
      </c>
      <c r="DQ186" s="6">
        <f>'Monthly Data'!J30</f>
        <v>7894834.0307170395</v>
      </c>
      <c r="DR186" s="6">
        <f>'Monthly Data'!N30</f>
        <v>17259918.534105126</v>
      </c>
      <c r="DS186" s="6">
        <f>'Monthly Data'!S30</f>
        <v>11807010.636436705</v>
      </c>
      <c r="DT186" s="6">
        <f>'Monthly Data'!X30</f>
        <v>22968983.70280648</v>
      </c>
    </row>
    <row r="187" spans="1:124">
      <c r="A187">
        <v>2014</v>
      </c>
      <c r="B187">
        <v>6</v>
      </c>
      <c r="C187">
        <v>69</v>
      </c>
      <c r="D187">
        <v>31.1</v>
      </c>
      <c r="E187">
        <v>38.399999999999991</v>
      </c>
      <c r="F187">
        <v>60.5</v>
      </c>
      <c r="G187">
        <v>14.400000000000002</v>
      </c>
      <c r="H187">
        <v>96.499999999999986</v>
      </c>
      <c r="I187">
        <v>3.3000000000000007</v>
      </c>
      <c r="J187">
        <v>145.4</v>
      </c>
      <c r="K187">
        <v>0</v>
      </c>
      <c r="L187">
        <v>202.10000000000002</v>
      </c>
      <c r="M187">
        <v>0</v>
      </c>
      <c r="N187">
        <v>262.10000000000008</v>
      </c>
      <c r="O187">
        <v>0</v>
      </c>
      <c r="P187">
        <v>322.10000000000008</v>
      </c>
      <c r="Q187">
        <v>18.736666666666668</v>
      </c>
      <c r="DP187" s="6">
        <f>'Monthly Data'!F31</f>
        <v>20998414.369688809</v>
      </c>
      <c r="DQ187" s="6">
        <f>'Monthly Data'!J31</f>
        <v>8660683.5504774395</v>
      </c>
      <c r="DR187" s="6">
        <f>'Monthly Data'!N31</f>
        <v>18660682.797031526</v>
      </c>
      <c r="DS187" s="6">
        <f>'Monthly Data'!S31</f>
        <v>11080200.331636708</v>
      </c>
      <c r="DT187" s="6">
        <f>'Monthly Data'!X31</f>
        <v>21083571.994763978</v>
      </c>
    </row>
    <row r="188" spans="1:124">
      <c r="A188">
        <v>2014</v>
      </c>
      <c r="B188">
        <v>7</v>
      </c>
      <c r="C188">
        <v>47.300000000000011</v>
      </c>
      <c r="D188">
        <v>30.600000000000009</v>
      </c>
      <c r="E188">
        <v>15.300000000000008</v>
      </c>
      <c r="F188">
        <v>60.600000000000009</v>
      </c>
      <c r="G188">
        <v>2.3000000000000007</v>
      </c>
      <c r="H188">
        <v>109.60000000000002</v>
      </c>
      <c r="I188">
        <v>0</v>
      </c>
      <c r="J188">
        <v>169.3</v>
      </c>
      <c r="K188">
        <v>0</v>
      </c>
      <c r="L188">
        <v>231.3</v>
      </c>
      <c r="M188">
        <v>0</v>
      </c>
      <c r="N188">
        <v>293.29999999999995</v>
      </c>
      <c r="O188">
        <v>0</v>
      </c>
      <c r="P188">
        <v>355.29999999999995</v>
      </c>
      <c r="Q188">
        <v>19.461290322580645</v>
      </c>
      <c r="DP188" s="6">
        <f>'Monthly Data'!F32</f>
        <v>23086879.999604907</v>
      </c>
      <c r="DQ188" s="6">
        <f>'Monthly Data'!J32</f>
        <v>8972779.9475971386</v>
      </c>
      <c r="DR188" s="6">
        <f>'Monthly Data'!N32</f>
        <v>20445599.577143326</v>
      </c>
      <c r="DS188" s="6">
        <f>'Monthly Data'!S32</f>
        <v>11727828.839436704</v>
      </c>
      <c r="DT188" s="6">
        <f>'Monthly Data'!X32</f>
        <v>23324918.981213976</v>
      </c>
    </row>
    <row r="189" spans="1:124">
      <c r="A189">
        <v>2014</v>
      </c>
      <c r="B189">
        <v>8</v>
      </c>
      <c r="C189">
        <v>38.799999999999997</v>
      </c>
      <c r="D189">
        <v>27.5</v>
      </c>
      <c r="E189">
        <v>10.899999999999999</v>
      </c>
      <c r="F189">
        <v>61.599999999999994</v>
      </c>
      <c r="G189">
        <v>0.69999999999999929</v>
      </c>
      <c r="H189">
        <v>113.39999999999999</v>
      </c>
      <c r="I189">
        <v>0</v>
      </c>
      <c r="J189">
        <v>174.69999999999996</v>
      </c>
      <c r="K189">
        <v>0</v>
      </c>
      <c r="L189">
        <v>236.7</v>
      </c>
      <c r="M189">
        <v>0</v>
      </c>
      <c r="N189">
        <v>298.70000000000005</v>
      </c>
      <c r="O189">
        <v>0</v>
      </c>
      <c r="P189">
        <v>360.7</v>
      </c>
      <c r="Q189">
        <v>19.63548387096774</v>
      </c>
      <c r="DP189" s="6">
        <f>'Monthly Data'!F33</f>
        <v>22898517.649519607</v>
      </c>
      <c r="DQ189" s="6">
        <f>'Monthly Data'!J33</f>
        <v>8995970.5378717389</v>
      </c>
      <c r="DR189" s="6">
        <f>'Monthly Data'!N33</f>
        <v>19474507.788008928</v>
      </c>
      <c r="DS189" s="6">
        <f>'Monthly Data'!S33</f>
        <v>12013680.450836707</v>
      </c>
      <c r="DT189" s="6">
        <f>'Monthly Data'!X33</f>
        <v>24336139.992316477</v>
      </c>
    </row>
    <row r="190" spans="1:124">
      <c r="A190">
        <v>2014</v>
      </c>
      <c r="B190">
        <v>9</v>
      </c>
      <c r="C190">
        <v>133.30000000000001</v>
      </c>
      <c r="D190">
        <v>13.900000000000002</v>
      </c>
      <c r="E190">
        <v>87.2</v>
      </c>
      <c r="F190">
        <v>27.8</v>
      </c>
      <c r="G190">
        <v>46.900000000000006</v>
      </c>
      <c r="H190">
        <v>47.5</v>
      </c>
      <c r="I190">
        <v>22.200000000000003</v>
      </c>
      <c r="J190">
        <v>82.8</v>
      </c>
      <c r="K190">
        <v>6.4</v>
      </c>
      <c r="L190">
        <v>126.99999999999999</v>
      </c>
      <c r="M190">
        <v>9.9999999999999645E-2</v>
      </c>
      <c r="N190">
        <v>180.70000000000007</v>
      </c>
      <c r="O190">
        <v>0</v>
      </c>
      <c r="P190">
        <v>240.60000000000005</v>
      </c>
      <c r="Q190">
        <v>16.02</v>
      </c>
      <c r="DP190" s="6">
        <f>'Monthly Data'!F34</f>
        <v>19497729.920137007</v>
      </c>
      <c r="DQ190" s="6">
        <f>'Monthly Data'!J34</f>
        <v>8027835.84851244</v>
      </c>
      <c r="DR190" s="6">
        <f>'Monthly Data'!N34</f>
        <v>18323247.756729726</v>
      </c>
      <c r="DS190" s="6">
        <f>'Monthly Data'!S34</f>
        <v>10309268.427036706</v>
      </c>
      <c r="DT190" s="6">
        <f>'Monthly Data'!X34</f>
        <v>22547663.664271478</v>
      </c>
    </row>
    <row r="191" spans="1:124">
      <c r="A191">
        <v>2014</v>
      </c>
      <c r="B191">
        <v>10</v>
      </c>
      <c r="C191">
        <v>288.29999999999995</v>
      </c>
      <c r="D191">
        <v>0</v>
      </c>
      <c r="E191">
        <v>226.39999999999998</v>
      </c>
      <c r="F191">
        <v>0.10000000000000142</v>
      </c>
      <c r="G191">
        <v>168.5</v>
      </c>
      <c r="H191">
        <v>4.1999999999999993</v>
      </c>
      <c r="I191">
        <v>117.00000000000003</v>
      </c>
      <c r="J191">
        <v>14.7</v>
      </c>
      <c r="K191">
        <v>73.099999999999994</v>
      </c>
      <c r="L191">
        <v>32.799999999999997</v>
      </c>
      <c r="M191">
        <v>35.699999999999996</v>
      </c>
      <c r="N191">
        <v>57.400000000000006</v>
      </c>
      <c r="O191">
        <v>8.4</v>
      </c>
      <c r="P191">
        <v>92.09999999999998</v>
      </c>
      <c r="Q191">
        <v>10.700000000000001</v>
      </c>
      <c r="DP191" s="6">
        <f>'Monthly Data'!F35</f>
        <v>18038933.076452006</v>
      </c>
      <c r="DQ191" s="6">
        <f>'Monthly Data'!J35</f>
        <v>7886120.3539005406</v>
      </c>
      <c r="DR191" s="6">
        <f>'Monthly Data'!N35</f>
        <v>18647344.273645423</v>
      </c>
      <c r="DS191" s="6">
        <f>'Monthly Data'!S35</f>
        <v>10614411.401836708</v>
      </c>
      <c r="DT191" s="6">
        <f>'Monthly Data'!X35</f>
        <v>22511072.692051478</v>
      </c>
    </row>
    <row r="192" spans="1:124">
      <c r="A192">
        <v>2014</v>
      </c>
      <c r="B192">
        <v>11</v>
      </c>
      <c r="C192">
        <v>543.69999999999993</v>
      </c>
      <c r="D192">
        <v>0</v>
      </c>
      <c r="E192">
        <v>483.7</v>
      </c>
      <c r="F192">
        <v>0</v>
      </c>
      <c r="G192">
        <v>423.7</v>
      </c>
      <c r="H192">
        <v>0</v>
      </c>
      <c r="I192">
        <v>363.7</v>
      </c>
      <c r="J192">
        <v>0</v>
      </c>
      <c r="K192">
        <v>303.70000000000005</v>
      </c>
      <c r="L192">
        <v>0</v>
      </c>
      <c r="M192">
        <v>244.10000000000005</v>
      </c>
      <c r="N192">
        <v>0.40000000000000036</v>
      </c>
      <c r="O192">
        <v>189.4</v>
      </c>
      <c r="P192">
        <v>5.6999999999999993</v>
      </c>
      <c r="Q192">
        <v>1.8766666666666667</v>
      </c>
      <c r="DP192" s="6">
        <f>'Monthly Data'!F36</f>
        <v>20219734.067318108</v>
      </c>
      <c r="DQ192" s="6">
        <f>'Monthly Data'!J36</f>
        <v>8807284.4124100395</v>
      </c>
      <c r="DR192" s="6">
        <f>'Monthly Data'!N36</f>
        <v>18747695.454941425</v>
      </c>
      <c r="DS192" s="6">
        <f>'Monthly Data'!S36</f>
        <v>9874923.1360367052</v>
      </c>
      <c r="DT192" s="6">
        <f>'Monthly Data'!X36</f>
        <v>23547116.547848981</v>
      </c>
    </row>
    <row r="193" spans="1:124">
      <c r="A193">
        <v>2014</v>
      </c>
      <c r="B193">
        <v>12</v>
      </c>
      <c r="C193">
        <v>604.5</v>
      </c>
      <c r="D193">
        <v>0</v>
      </c>
      <c r="E193">
        <v>542.5</v>
      </c>
      <c r="F193">
        <v>0</v>
      </c>
      <c r="G193">
        <v>480.49999999999994</v>
      </c>
      <c r="H193">
        <v>0</v>
      </c>
      <c r="I193">
        <v>418.49999999999989</v>
      </c>
      <c r="J193">
        <v>0</v>
      </c>
      <c r="K193">
        <v>356.49999999999994</v>
      </c>
      <c r="L193">
        <v>0</v>
      </c>
      <c r="M193">
        <v>294.49999999999994</v>
      </c>
      <c r="N193">
        <v>0</v>
      </c>
      <c r="O193">
        <v>232.49999999999994</v>
      </c>
      <c r="P193">
        <v>0</v>
      </c>
      <c r="Q193">
        <v>0.49999999999999989</v>
      </c>
      <c r="DP193" s="6">
        <f>'Monthly Data'!F37</f>
        <v>22345974.245960809</v>
      </c>
      <c r="DQ193" s="6">
        <f>'Monthly Data'!J37</f>
        <v>9514629.8967646398</v>
      </c>
      <c r="DR193" s="6">
        <f>'Monthly Data'!N37</f>
        <v>19946857.429488424</v>
      </c>
      <c r="DS193" s="6">
        <f>'Monthly Data'!S37</f>
        <v>10271194.814436708</v>
      </c>
      <c r="DT193" s="6">
        <f>'Monthly Data'!X37</f>
        <v>23381738.097991481</v>
      </c>
    </row>
    <row r="194" spans="1:124">
      <c r="A194">
        <v>2015</v>
      </c>
      <c r="B194">
        <v>1</v>
      </c>
      <c r="C194">
        <v>842.79999999999984</v>
      </c>
      <c r="D194">
        <v>0</v>
      </c>
      <c r="E194">
        <v>780.79999999999984</v>
      </c>
      <c r="F194">
        <v>0</v>
      </c>
      <c r="G194">
        <v>718.79999999999984</v>
      </c>
      <c r="H194">
        <v>0</v>
      </c>
      <c r="I194">
        <v>656.8</v>
      </c>
      <c r="J194">
        <v>0</v>
      </c>
      <c r="K194">
        <v>594.79999999999995</v>
      </c>
      <c r="L194">
        <v>0</v>
      </c>
      <c r="M194">
        <v>532.80000000000007</v>
      </c>
      <c r="N194">
        <v>0</v>
      </c>
      <c r="O194">
        <v>470.80000000000013</v>
      </c>
      <c r="P194">
        <v>0</v>
      </c>
      <c r="Q194">
        <v>-7.1870967741935505</v>
      </c>
      <c r="DP194" s="6">
        <f>'Monthly Data'!F38</f>
        <v>24367178.229805239</v>
      </c>
      <c r="DQ194" s="6">
        <f>'Monthly Data'!J38</f>
        <v>10320708.516808653</v>
      </c>
      <c r="DR194" s="6">
        <f>'Monthly Data'!N38</f>
        <v>22107985.779086575</v>
      </c>
      <c r="DS194" s="6">
        <f>'Monthly Data'!S38</f>
        <v>10703737.427634416</v>
      </c>
      <c r="DT194" s="6">
        <f>'Monthly Data'!X38</f>
        <v>24102538.286907062</v>
      </c>
    </row>
    <row r="195" spans="1:124">
      <c r="A195">
        <v>2015</v>
      </c>
      <c r="B195">
        <v>2</v>
      </c>
      <c r="C195">
        <v>897.09999999999991</v>
      </c>
      <c r="D195">
        <v>0</v>
      </c>
      <c r="E195">
        <v>841.0999999999998</v>
      </c>
      <c r="F195">
        <v>0</v>
      </c>
      <c r="G195">
        <v>785.09999999999991</v>
      </c>
      <c r="H195">
        <v>0</v>
      </c>
      <c r="I195">
        <v>729.1</v>
      </c>
      <c r="J195">
        <v>0</v>
      </c>
      <c r="K195">
        <v>673.1</v>
      </c>
      <c r="L195">
        <v>0</v>
      </c>
      <c r="M195">
        <v>617.1</v>
      </c>
      <c r="N195">
        <v>0</v>
      </c>
      <c r="O195">
        <v>561.1</v>
      </c>
      <c r="P195">
        <v>0</v>
      </c>
      <c r="Q195">
        <v>-12.039285714285715</v>
      </c>
      <c r="DP195" s="6">
        <f>'Monthly Data'!F39</f>
        <v>22466482.311995439</v>
      </c>
      <c r="DQ195" s="6">
        <f>'Monthly Data'!J39</f>
        <v>9866509.5237202533</v>
      </c>
      <c r="DR195" s="6">
        <f>'Monthly Data'!N39</f>
        <v>20769956.780525178</v>
      </c>
      <c r="DS195" s="6">
        <f>'Monthly Data'!S39</f>
        <v>9934619.3988344166</v>
      </c>
      <c r="DT195" s="6">
        <f>'Monthly Data'!X39</f>
        <v>21538838.744382061</v>
      </c>
    </row>
    <row r="196" spans="1:124">
      <c r="A196">
        <v>2015</v>
      </c>
      <c r="B196">
        <v>3</v>
      </c>
      <c r="C196">
        <v>660.70000000000016</v>
      </c>
      <c r="D196">
        <v>0</v>
      </c>
      <c r="E196">
        <v>598.70000000000005</v>
      </c>
      <c r="F196">
        <v>0</v>
      </c>
      <c r="G196">
        <v>536.70000000000005</v>
      </c>
      <c r="H196">
        <v>0</v>
      </c>
      <c r="I196">
        <v>474.69999999999993</v>
      </c>
      <c r="J196">
        <v>0</v>
      </c>
      <c r="K196">
        <v>412.69999999999993</v>
      </c>
      <c r="L196">
        <v>0</v>
      </c>
      <c r="M196">
        <v>350.7</v>
      </c>
      <c r="N196">
        <v>0</v>
      </c>
      <c r="O196">
        <v>289.20000000000005</v>
      </c>
      <c r="P196">
        <v>0.5</v>
      </c>
      <c r="Q196">
        <v>-1.3129032258064521</v>
      </c>
      <c r="DP196" s="6">
        <f>'Monthly Data'!F40</f>
        <v>21013033.88442684</v>
      </c>
      <c r="DQ196" s="6">
        <f>'Monthly Data'!J40</f>
        <v>9609841.243772652</v>
      </c>
      <c r="DR196" s="6">
        <f>'Monthly Data'!N40</f>
        <v>20069088.302363276</v>
      </c>
      <c r="DS196" s="6">
        <f>'Monthly Data'!S40</f>
        <v>10564470.086034419</v>
      </c>
      <c r="DT196" s="6">
        <f>'Monthly Data'!X40</f>
        <v>23142749.785999559</v>
      </c>
    </row>
    <row r="197" spans="1:124">
      <c r="A197">
        <v>2015</v>
      </c>
      <c r="B197">
        <v>4</v>
      </c>
      <c r="C197">
        <v>390.4</v>
      </c>
      <c r="D197">
        <v>0</v>
      </c>
      <c r="E197">
        <v>330.40000000000003</v>
      </c>
      <c r="F197">
        <v>0</v>
      </c>
      <c r="G197">
        <v>270.40000000000003</v>
      </c>
      <c r="H197">
        <v>0</v>
      </c>
      <c r="I197">
        <v>210.70000000000005</v>
      </c>
      <c r="J197">
        <v>0.30000000000000071</v>
      </c>
      <c r="K197">
        <v>155.20000000000002</v>
      </c>
      <c r="L197">
        <v>4.8000000000000007</v>
      </c>
      <c r="M197">
        <v>102.1</v>
      </c>
      <c r="N197">
        <v>11.700000000000001</v>
      </c>
      <c r="O197">
        <v>60.499999999999993</v>
      </c>
      <c r="P197">
        <v>30.100000000000005</v>
      </c>
      <c r="Q197">
        <v>6.9866666666666655</v>
      </c>
      <c r="DP197" s="6">
        <f>'Monthly Data'!F41</f>
        <v>17556188.672437936</v>
      </c>
      <c r="DQ197" s="6">
        <f>'Monthly Data'!J41</f>
        <v>8135771.8970295526</v>
      </c>
      <c r="DR197" s="6">
        <f>'Monthly Data'!N41</f>
        <v>17741254.020058475</v>
      </c>
      <c r="DS197" s="6">
        <f>'Monthly Data'!S41</f>
        <v>10250089.431834416</v>
      </c>
      <c r="DT197" s="6">
        <f>'Monthly Data'!X41</f>
        <v>23822749.551747061</v>
      </c>
    </row>
    <row r="198" spans="1:124">
      <c r="A198">
        <v>2015</v>
      </c>
      <c r="B198">
        <v>5</v>
      </c>
      <c r="C198">
        <v>174.60000000000002</v>
      </c>
      <c r="D198">
        <v>13.700000000000003</v>
      </c>
      <c r="E198">
        <v>126.8</v>
      </c>
      <c r="F198">
        <v>27.900000000000002</v>
      </c>
      <c r="G198">
        <v>90.4</v>
      </c>
      <c r="H198">
        <v>53.500000000000007</v>
      </c>
      <c r="I198">
        <v>60</v>
      </c>
      <c r="J198">
        <v>85.1</v>
      </c>
      <c r="K198">
        <v>35.700000000000003</v>
      </c>
      <c r="L198">
        <v>122.79999999999998</v>
      </c>
      <c r="M198">
        <v>17.7</v>
      </c>
      <c r="N198">
        <v>166.8</v>
      </c>
      <c r="O198">
        <v>5.3999999999999995</v>
      </c>
      <c r="P198">
        <v>216.5</v>
      </c>
      <c r="Q198">
        <v>14.809677419354836</v>
      </c>
      <c r="DP198" s="6">
        <f>'Monthly Data'!F42</f>
        <v>18207057.629658837</v>
      </c>
      <c r="DQ198" s="6">
        <f>'Monthly Data'!J42</f>
        <v>8279127.9417781532</v>
      </c>
      <c r="DR198" s="6">
        <f>'Monthly Data'!N42</f>
        <v>17706825.768221878</v>
      </c>
      <c r="DS198" s="6">
        <f>'Monthly Data'!S42</f>
        <v>11332533.677434418</v>
      </c>
      <c r="DT198" s="6">
        <f>'Monthly Data'!X42</f>
        <v>22533672.550557058</v>
      </c>
    </row>
    <row r="199" spans="1:124">
      <c r="A199">
        <v>2015</v>
      </c>
      <c r="B199">
        <v>6</v>
      </c>
      <c r="C199">
        <v>86.600000000000023</v>
      </c>
      <c r="D199">
        <v>8.4999999999999964</v>
      </c>
      <c r="E199">
        <v>46.900000000000006</v>
      </c>
      <c r="F199">
        <v>28.799999999999997</v>
      </c>
      <c r="G199">
        <v>22.6</v>
      </c>
      <c r="H199">
        <v>64.5</v>
      </c>
      <c r="I199">
        <v>11.9</v>
      </c>
      <c r="J199">
        <v>113.80000000000001</v>
      </c>
      <c r="K199">
        <v>4.7000000000000011</v>
      </c>
      <c r="L199">
        <v>166.60000000000005</v>
      </c>
      <c r="M199">
        <v>0.5</v>
      </c>
      <c r="N199">
        <v>222.39999999999998</v>
      </c>
      <c r="O199">
        <v>0</v>
      </c>
      <c r="P199">
        <v>281.89999999999992</v>
      </c>
      <c r="Q199">
        <v>17.396666666666668</v>
      </c>
      <c r="DP199" s="6">
        <f>'Monthly Data'!F43</f>
        <v>19833723.178718138</v>
      </c>
      <c r="DQ199" s="6">
        <f>'Monthly Data'!J43</f>
        <v>8440161.6741833519</v>
      </c>
      <c r="DR199" s="6">
        <f>'Monthly Data'!N43</f>
        <v>17937111.298871078</v>
      </c>
      <c r="DS199" s="6">
        <f>'Monthly Data'!S43</f>
        <v>10405616.441234417</v>
      </c>
      <c r="DT199" s="6">
        <f>'Monthly Data'!X43</f>
        <v>20527783.264002062</v>
      </c>
    </row>
    <row r="200" spans="1:124">
      <c r="A200">
        <v>2015</v>
      </c>
      <c r="B200">
        <v>7</v>
      </c>
      <c r="C200">
        <v>33.399999999999991</v>
      </c>
      <c r="D200">
        <v>45.6</v>
      </c>
      <c r="E200">
        <v>13.599999999999998</v>
      </c>
      <c r="F200">
        <v>87.800000000000011</v>
      </c>
      <c r="G200">
        <v>1.8999999999999986</v>
      </c>
      <c r="H200">
        <v>138.1</v>
      </c>
      <c r="I200">
        <v>0</v>
      </c>
      <c r="J200">
        <v>198.19999999999996</v>
      </c>
      <c r="K200">
        <v>0</v>
      </c>
      <c r="L200">
        <v>260.2</v>
      </c>
      <c r="M200">
        <v>0</v>
      </c>
      <c r="N200">
        <v>322.2</v>
      </c>
      <c r="O200">
        <v>0</v>
      </c>
      <c r="P200">
        <v>384.2</v>
      </c>
      <c r="Q200">
        <v>20.393548387096775</v>
      </c>
      <c r="DP200" s="6">
        <f>'Monthly Data'!F44</f>
        <v>25552478.788773138</v>
      </c>
      <c r="DQ200" s="6">
        <f>'Monthly Data'!J44</f>
        <v>9819719.7518207524</v>
      </c>
      <c r="DR200" s="6">
        <f>'Monthly Data'!N44</f>
        <v>20524868.937950078</v>
      </c>
      <c r="DS200" s="6">
        <f>'Monthly Data'!S44</f>
        <v>10670202.756834416</v>
      </c>
      <c r="DT200" s="6">
        <f>'Monthly Data'!X44</f>
        <v>23358062.947827064</v>
      </c>
    </row>
    <row r="201" spans="1:124">
      <c r="A201">
        <v>2015</v>
      </c>
      <c r="B201">
        <v>8</v>
      </c>
      <c r="C201">
        <v>33.700000000000003</v>
      </c>
      <c r="D201">
        <v>40.700000000000003</v>
      </c>
      <c r="E201">
        <v>13.3</v>
      </c>
      <c r="F201">
        <v>82.3</v>
      </c>
      <c r="G201">
        <v>1.6000000000000014</v>
      </c>
      <c r="H201">
        <v>132.59999999999997</v>
      </c>
      <c r="I201">
        <v>0</v>
      </c>
      <c r="J201">
        <v>192.99999999999994</v>
      </c>
      <c r="K201">
        <v>0</v>
      </c>
      <c r="L201">
        <v>254.99999999999994</v>
      </c>
      <c r="M201">
        <v>0</v>
      </c>
      <c r="N201">
        <v>317</v>
      </c>
      <c r="O201">
        <v>0</v>
      </c>
      <c r="P201">
        <v>379</v>
      </c>
      <c r="Q201">
        <v>20.225806451612904</v>
      </c>
      <c r="DP201" s="6">
        <f>'Monthly Data'!F45</f>
        <v>24748450.928526238</v>
      </c>
      <c r="DQ201" s="6">
        <f>'Monthly Data'!J45</f>
        <v>9326215.976339452</v>
      </c>
      <c r="DR201" s="6">
        <f>'Monthly Data'!N45</f>
        <v>19671171.254714578</v>
      </c>
      <c r="DS201" s="6">
        <f>'Monthly Data'!S45</f>
        <v>11177484.646834416</v>
      </c>
      <c r="DT201" s="6">
        <f>'Monthly Data'!X45</f>
        <v>23424688.349967062</v>
      </c>
    </row>
    <row r="202" spans="1:124">
      <c r="A202">
        <v>2015</v>
      </c>
      <c r="B202">
        <v>9</v>
      </c>
      <c r="C202">
        <v>54.5</v>
      </c>
      <c r="D202">
        <v>42.900000000000006</v>
      </c>
      <c r="E202">
        <v>25</v>
      </c>
      <c r="F202">
        <v>73.400000000000006</v>
      </c>
      <c r="G202">
        <v>9.3000000000000007</v>
      </c>
      <c r="H202">
        <v>117.69999999999999</v>
      </c>
      <c r="I202">
        <v>1.5999999999999996</v>
      </c>
      <c r="J202">
        <v>169.99999999999997</v>
      </c>
      <c r="K202">
        <v>0</v>
      </c>
      <c r="L202">
        <v>228.39999999999998</v>
      </c>
      <c r="M202">
        <v>0</v>
      </c>
      <c r="N202">
        <v>288.39999999999998</v>
      </c>
      <c r="O202">
        <v>0</v>
      </c>
      <c r="P202">
        <v>348.40000000000003</v>
      </c>
      <c r="Q202">
        <v>19.613333333333333</v>
      </c>
      <c r="DP202" s="6">
        <f>'Monthly Data'!F46</f>
        <v>22156204.349748038</v>
      </c>
      <c r="DQ202" s="6">
        <f>'Monthly Data'!J46</f>
        <v>9088680.2512800526</v>
      </c>
      <c r="DR202" s="6">
        <f>'Monthly Data'!N46</f>
        <v>19122866.463099476</v>
      </c>
      <c r="DS202" s="6">
        <f>'Monthly Data'!S46</f>
        <v>11304598.170634419</v>
      </c>
      <c r="DT202" s="6">
        <f>'Monthly Data'!X46</f>
        <v>21450872.247109562</v>
      </c>
    </row>
    <row r="203" spans="1:124">
      <c r="A203">
        <v>2015</v>
      </c>
      <c r="B203">
        <v>10</v>
      </c>
      <c r="C203">
        <v>279.7</v>
      </c>
      <c r="D203">
        <v>0</v>
      </c>
      <c r="E203">
        <v>217.70000000000002</v>
      </c>
      <c r="F203">
        <v>0</v>
      </c>
      <c r="G203">
        <v>157.39999999999998</v>
      </c>
      <c r="H203">
        <v>1.6999999999999993</v>
      </c>
      <c r="I203">
        <v>102.69999999999999</v>
      </c>
      <c r="J203">
        <v>8.9999999999999982</v>
      </c>
      <c r="K203">
        <v>60.500000000000007</v>
      </c>
      <c r="L203">
        <v>28.799999999999997</v>
      </c>
      <c r="M203">
        <v>30.900000000000006</v>
      </c>
      <c r="N203">
        <v>61.199999999999996</v>
      </c>
      <c r="O203">
        <v>10.4</v>
      </c>
      <c r="P203">
        <v>102.70000000000002</v>
      </c>
      <c r="Q203">
        <v>10.977419354838707</v>
      </c>
      <c r="DP203" s="6">
        <f>'Monthly Data'!F47</f>
        <v>17701333.681162238</v>
      </c>
      <c r="DQ203" s="6">
        <f>'Monthly Data'!J47</f>
        <v>7998052.1049736533</v>
      </c>
      <c r="DR203" s="6">
        <f>'Monthly Data'!N47</f>
        <v>18089215.969800577</v>
      </c>
      <c r="DS203" s="6">
        <f>'Monthly Data'!S47</f>
        <v>10943657.302834416</v>
      </c>
      <c r="DT203" s="6">
        <f>'Monthly Data'!X47</f>
        <v>22318729.746492062</v>
      </c>
    </row>
    <row r="204" spans="1:124">
      <c r="A204">
        <v>2015</v>
      </c>
      <c r="B204">
        <v>11</v>
      </c>
      <c r="C204">
        <v>380.49999999999994</v>
      </c>
      <c r="D204">
        <v>0</v>
      </c>
      <c r="E204">
        <v>320.5</v>
      </c>
      <c r="F204">
        <v>0</v>
      </c>
      <c r="G204">
        <v>261.8</v>
      </c>
      <c r="H204">
        <v>1.3000000000000007</v>
      </c>
      <c r="I204">
        <v>208.1</v>
      </c>
      <c r="J204">
        <v>7.6000000000000014</v>
      </c>
      <c r="K204">
        <v>157.60000000000002</v>
      </c>
      <c r="L204">
        <v>17.100000000000001</v>
      </c>
      <c r="M204">
        <v>110.9</v>
      </c>
      <c r="N204">
        <v>30.400000000000002</v>
      </c>
      <c r="O204">
        <v>76.7</v>
      </c>
      <c r="P204">
        <v>56.2</v>
      </c>
      <c r="Q204">
        <v>7.3166666666666673</v>
      </c>
      <c r="DP204" s="6">
        <f>'Monthly Data'!F48</f>
        <v>18075477.924958337</v>
      </c>
      <c r="DQ204" s="6">
        <f>'Monthly Data'!J48</f>
        <v>8128766.3749836534</v>
      </c>
      <c r="DR204" s="6">
        <f>'Monthly Data'!N48</f>
        <v>17026534.805204477</v>
      </c>
      <c r="DS204" s="6">
        <f>'Monthly Data'!S48</f>
        <v>11055950.328034418</v>
      </c>
      <c r="DT204" s="6">
        <f>'Monthly Data'!X48</f>
        <v>21406122.84180456</v>
      </c>
    </row>
    <row r="205" spans="1:124">
      <c r="A205">
        <v>2015</v>
      </c>
      <c r="B205">
        <v>12</v>
      </c>
      <c r="C205">
        <v>494.4</v>
      </c>
      <c r="D205">
        <v>0</v>
      </c>
      <c r="E205">
        <v>432.4</v>
      </c>
      <c r="F205">
        <v>0</v>
      </c>
      <c r="G205">
        <v>370.4</v>
      </c>
      <c r="H205">
        <v>0</v>
      </c>
      <c r="I205">
        <v>308.40000000000003</v>
      </c>
      <c r="J205">
        <v>0</v>
      </c>
      <c r="K205">
        <v>246.39999999999998</v>
      </c>
      <c r="L205">
        <v>0</v>
      </c>
      <c r="M205">
        <v>187.29999999999998</v>
      </c>
      <c r="N205">
        <v>2.9000000000000004</v>
      </c>
      <c r="O205">
        <v>132.10000000000002</v>
      </c>
      <c r="P205">
        <v>9.7000000000000011</v>
      </c>
      <c r="Q205">
        <v>4.0516129032258066</v>
      </c>
      <c r="DP205" s="6">
        <f>'Monthly Data'!F49</f>
        <v>20795330.447421238</v>
      </c>
      <c r="DQ205" s="6">
        <f>'Monthly Data'!J49</f>
        <v>8942085.5352303516</v>
      </c>
      <c r="DR205" s="6">
        <f>'Monthly Data'!N49</f>
        <v>19197412.819288578</v>
      </c>
      <c r="DS205" s="6">
        <f>'Monthly Data'!S49</f>
        <v>10386598.003834419</v>
      </c>
      <c r="DT205" s="6">
        <f>'Monthly Data'!X49</f>
        <v>25407499.244344562</v>
      </c>
    </row>
    <row r="206" spans="1:124">
      <c r="A206">
        <v>2016</v>
      </c>
      <c r="B206">
        <v>1</v>
      </c>
      <c r="C206">
        <v>713.49999999999989</v>
      </c>
      <c r="D206">
        <v>0</v>
      </c>
      <c r="E206">
        <v>651.49999999999977</v>
      </c>
      <c r="F206">
        <v>0</v>
      </c>
      <c r="G206">
        <v>589.49999999999977</v>
      </c>
      <c r="H206">
        <v>0</v>
      </c>
      <c r="I206">
        <v>527.49999999999989</v>
      </c>
      <c r="J206">
        <v>0</v>
      </c>
      <c r="K206">
        <v>465.49999999999989</v>
      </c>
      <c r="L206">
        <v>0</v>
      </c>
      <c r="M206">
        <v>403.49999999999989</v>
      </c>
      <c r="N206">
        <v>0</v>
      </c>
      <c r="O206">
        <v>341.49999999999994</v>
      </c>
      <c r="P206">
        <v>0</v>
      </c>
      <c r="Q206">
        <v>-3.0161290322580654</v>
      </c>
      <c r="DP206" s="6">
        <f>'Monthly Data'!F50</f>
        <v>22568585.525682587</v>
      </c>
      <c r="DQ206" s="6">
        <f>'Monthly Data'!J50</f>
        <v>9713760.0239987727</v>
      </c>
      <c r="DR206" s="6">
        <f>'Monthly Data'!N50</f>
        <v>20964753.748990208</v>
      </c>
      <c r="DS206" s="6">
        <f>'Monthly Data'!S50</f>
        <v>10928461.398332786</v>
      </c>
      <c r="DT206" s="6">
        <f>'Monthly Data'!X50</f>
        <v>26240783.849797517</v>
      </c>
    </row>
    <row r="207" spans="1:124">
      <c r="A207">
        <v>2016</v>
      </c>
      <c r="B207">
        <v>2</v>
      </c>
      <c r="C207">
        <v>640.29999999999995</v>
      </c>
      <c r="D207">
        <v>0</v>
      </c>
      <c r="E207">
        <v>582.29999999999995</v>
      </c>
      <c r="F207">
        <v>0</v>
      </c>
      <c r="G207">
        <v>524.29999999999995</v>
      </c>
      <c r="H207">
        <v>0</v>
      </c>
      <c r="I207">
        <v>466.3</v>
      </c>
      <c r="J207">
        <v>0</v>
      </c>
      <c r="K207">
        <v>408.3</v>
      </c>
      <c r="L207">
        <v>0</v>
      </c>
      <c r="M207">
        <v>350.3</v>
      </c>
      <c r="N207">
        <v>0</v>
      </c>
      <c r="O207">
        <v>293.79999999999995</v>
      </c>
      <c r="P207">
        <v>1.5</v>
      </c>
      <c r="Q207">
        <v>-2.0793103448275865</v>
      </c>
      <c r="DP207" s="6">
        <f>'Monthly Data'!F51</f>
        <v>20241380.399246987</v>
      </c>
      <c r="DQ207" s="6">
        <f>'Monthly Data'!J51</f>
        <v>9070727.7860055715</v>
      </c>
      <c r="DR207" s="6">
        <f>'Monthly Data'!N51</f>
        <v>19381333.29994791</v>
      </c>
      <c r="DS207" s="6">
        <f>'Monthly Data'!S51</f>
        <v>10208865.756532786</v>
      </c>
      <c r="DT207" s="6">
        <f>'Monthly Data'!X51</f>
        <v>24082032.08889002</v>
      </c>
    </row>
    <row r="208" spans="1:124">
      <c r="A208">
        <v>2016</v>
      </c>
      <c r="B208">
        <v>3</v>
      </c>
      <c r="C208">
        <v>501.10000000000008</v>
      </c>
      <c r="D208">
        <v>0</v>
      </c>
      <c r="E208">
        <v>439.10000000000008</v>
      </c>
      <c r="F208">
        <v>0</v>
      </c>
      <c r="G208">
        <v>377.10000000000008</v>
      </c>
      <c r="H208">
        <v>0</v>
      </c>
      <c r="I208">
        <v>316.90000000000003</v>
      </c>
      <c r="J208">
        <v>1.8000000000000007</v>
      </c>
      <c r="K208">
        <v>260.19999999999993</v>
      </c>
      <c r="L208">
        <v>7.1000000000000014</v>
      </c>
      <c r="M208">
        <v>206.99999999999997</v>
      </c>
      <c r="N208">
        <v>15.900000000000002</v>
      </c>
      <c r="O208">
        <v>155.19999999999993</v>
      </c>
      <c r="P208">
        <v>26.1</v>
      </c>
      <c r="Q208">
        <v>3.8354838709677428</v>
      </c>
      <c r="DP208" s="6">
        <f>'Monthly Data'!F52</f>
        <v>19359371.986764789</v>
      </c>
      <c r="DQ208" s="6">
        <f>'Monthly Data'!J52</f>
        <v>8861048.2157562729</v>
      </c>
      <c r="DR208" s="6">
        <f>'Monthly Data'!N52</f>
        <v>19024870.469088204</v>
      </c>
      <c r="DS208" s="6">
        <f>'Monthly Data'!S52</f>
        <v>11012974.092732787</v>
      </c>
      <c r="DT208" s="6">
        <f>'Monthly Data'!X52</f>
        <v>26062036.087005019</v>
      </c>
    </row>
    <row r="209" spans="1:124">
      <c r="A209">
        <v>2016</v>
      </c>
      <c r="B209">
        <v>4</v>
      </c>
      <c r="C209">
        <v>451.00000000000006</v>
      </c>
      <c r="D209">
        <v>0</v>
      </c>
      <c r="E209">
        <v>391.00000000000011</v>
      </c>
      <c r="F209">
        <v>0</v>
      </c>
      <c r="G209">
        <v>331</v>
      </c>
      <c r="H209">
        <v>0</v>
      </c>
      <c r="I209">
        <v>272.60000000000002</v>
      </c>
      <c r="J209">
        <v>1.5999999999999996</v>
      </c>
      <c r="K209">
        <v>217.89999999999998</v>
      </c>
      <c r="L209">
        <v>6.9</v>
      </c>
      <c r="M209">
        <v>163.89999999999998</v>
      </c>
      <c r="N209">
        <v>12.9</v>
      </c>
      <c r="O209">
        <v>115.39999999999998</v>
      </c>
      <c r="P209">
        <v>24.4</v>
      </c>
      <c r="Q209">
        <v>4.9666666666666668</v>
      </c>
      <c r="DP209" s="6">
        <f>'Monthly Data'!F53</f>
        <v>17973519.346077684</v>
      </c>
      <c r="DQ209" s="6">
        <f>'Monthly Data'!J53</f>
        <v>8183337.5863723708</v>
      </c>
      <c r="DR209" s="6">
        <f>'Monthly Data'!N53</f>
        <v>17881855.054593407</v>
      </c>
      <c r="DS209" s="6">
        <f>'Monthly Data'!S53</f>
        <v>10383710.915132785</v>
      </c>
      <c r="DT209" s="6">
        <f>'Monthly Data'!X53</f>
        <v>25460055.473760016</v>
      </c>
    </row>
    <row r="210" spans="1:124">
      <c r="A210">
        <v>2016</v>
      </c>
      <c r="B210">
        <v>5</v>
      </c>
      <c r="C210">
        <v>221.39999999999998</v>
      </c>
      <c r="D210">
        <v>19.999999999999996</v>
      </c>
      <c r="E210">
        <v>172.49999999999997</v>
      </c>
      <c r="F210">
        <v>33.099999999999994</v>
      </c>
      <c r="G210">
        <v>125.19999999999999</v>
      </c>
      <c r="H210">
        <v>47.8</v>
      </c>
      <c r="I210">
        <v>84.6</v>
      </c>
      <c r="J210">
        <v>69.2</v>
      </c>
      <c r="K210">
        <v>47.200000000000017</v>
      </c>
      <c r="L210">
        <v>93.800000000000011</v>
      </c>
      <c r="M210">
        <v>19.999999999999996</v>
      </c>
      <c r="N210">
        <v>128.60000000000002</v>
      </c>
      <c r="O210">
        <v>5.8999999999999995</v>
      </c>
      <c r="P210">
        <v>176.49999999999994</v>
      </c>
      <c r="Q210">
        <v>13.503225806451612</v>
      </c>
      <c r="DP210" s="6">
        <f>'Monthly Data'!F54</f>
        <v>19047091.269166984</v>
      </c>
      <c r="DQ210" s="6">
        <f>'Monthly Data'!J54</f>
        <v>8312264.3294410715</v>
      </c>
      <c r="DR210" s="6">
        <f>'Monthly Data'!N54</f>
        <v>18761773.513984606</v>
      </c>
      <c r="DS210" s="6">
        <f>'Monthly Data'!S54</f>
        <v>11123234.901132789</v>
      </c>
      <c r="DT210" s="6">
        <f>'Monthly Data'!X54</f>
        <v>25845409.945102524</v>
      </c>
    </row>
    <row r="211" spans="1:124">
      <c r="A211">
        <v>2016</v>
      </c>
      <c r="B211">
        <v>6</v>
      </c>
      <c r="C211">
        <v>67.700000000000017</v>
      </c>
      <c r="D211">
        <v>21.100000000000005</v>
      </c>
      <c r="E211">
        <v>32.299999999999997</v>
      </c>
      <c r="F211">
        <v>45.70000000000001</v>
      </c>
      <c r="G211">
        <v>13.6</v>
      </c>
      <c r="H211">
        <v>87</v>
      </c>
      <c r="I211">
        <v>3.4000000000000004</v>
      </c>
      <c r="J211">
        <v>136.80000000000001</v>
      </c>
      <c r="K211">
        <v>0.40000000000000036</v>
      </c>
      <c r="L211">
        <v>193.8</v>
      </c>
      <c r="M211">
        <v>0</v>
      </c>
      <c r="N211">
        <v>253.4</v>
      </c>
      <c r="O211">
        <v>0</v>
      </c>
      <c r="P211">
        <v>313.40000000000003</v>
      </c>
      <c r="Q211">
        <v>18.446666666666669</v>
      </c>
      <c r="DP211" s="6">
        <f>'Monthly Data'!F55</f>
        <v>22125504.150112487</v>
      </c>
      <c r="DQ211" s="6">
        <f>'Monthly Data'!J55</f>
        <v>8595692.9989207722</v>
      </c>
      <c r="DR211" s="6">
        <f>'Monthly Data'!N55</f>
        <v>19128253.869357608</v>
      </c>
      <c r="DS211" s="6">
        <f>'Monthly Data'!S55</f>
        <v>9791929.087932786</v>
      </c>
      <c r="DT211" s="6">
        <f>'Monthly Data'!X55</f>
        <v>24325056.669645019</v>
      </c>
    </row>
    <row r="212" spans="1:124">
      <c r="A212">
        <v>2016</v>
      </c>
      <c r="B212">
        <v>7</v>
      </c>
      <c r="C212">
        <v>11.100000000000001</v>
      </c>
      <c r="D212">
        <v>83.899999999999977</v>
      </c>
      <c r="E212">
        <v>1.7000000000000028</v>
      </c>
      <c r="F212">
        <v>136.49999999999997</v>
      </c>
      <c r="G212">
        <v>0</v>
      </c>
      <c r="H212">
        <v>196.80000000000004</v>
      </c>
      <c r="I212">
        <v>0</v>
      </c>
      <c r="J212">
        <v>258.8</v>
      </c>
      <c r="K212">
        <v>0</v>
      </c>
      <c r="L212">
        <v>320.8</v>
      </c>
      <c r="M212">
        <v>0</v>
      </c>
      <c r="N212">
        <v>382.79999999999995</v>
      </c>
      <c r="O212">
        <v>0</v>
      </c>
      <c r="P212">
        <v>444.8</v>
      </c>
      <c r="Q212">
        <v>22.348387096774193</v>
      </c>
      <c r="DP212" s="6">
        <f>'Monthly Data'!F56</f>
        <v>29450116.707977187</v>
      </c>
      <c r="DQ212" s="6">
        <f>'Monthly Data'!J56</f>
        <v>10219490.189801874</v>
      </c>
      <c r="DR212" s="6">
        <f>'Monthly Data'!N56</f>
        <v>20805794.785203606</v>
      </c>
      <c r="DS212" s="6">
        <f>'Monthly Data'!S56</f>
        <v>10797079.981132787</v>
      </c>
      <c r="DT212" s="6">
        <f>'Monthly Data'!X56</f>
        <v>25934832.953392521</v>
      </c>
    </row>
    <row r="213" spans="1:124">
      <c r="A213">
        <v>2016</v>
      </c>
      <c r="B213">
        <v>8</v>
      </c>
      <c r="C213">
        <v>2.4000000000000021</v>
      </c>
      <c r="D213">
        <v>101.00000000000001</v>
      </c>
      <c r="E213">
        <v>0</v>
      </c>
      <c r="F213">
        <v>160.59999999999997</v>
      </c>
      <c r="G213">
        <v>0</v>
      </c>
      <c r="H213">
        <v>222.59999999999997</v>
      </c>
      <c r="I213">
        <v>0</v>
      </c>
      <c r="J213">
        <v>284.59999999999991</v>
      </c>
      <c r="K213">
        <v>0</v>
      </c>
      <c r="L213">
        <v>346.59999999999997</v>
      </c>
      <c r="M213">
        <v>0</v>
      </c>
      <c r="N213">
        <v>408.6</v>
      </c>
      <c r="O213">
        <v>0</v>
      </c>
      <c r="P213">
        <v>470.59999999999997</v>
      </c>
      <c r="Q213">
        <v>23.180645161290325</v>
      </c>
      <c r="DP213" s="6">
        <f>'Monthly Data'!F57</f>
        <v>30777988.889747586</v>
      </c>
      <c r="DQ213" s="6">
        <f>'Monthly Data'!J57</f>
        <v>10586850.475766674</v>
      </c>
      <c r="DR213" s="6">
        <f>'Monthly Data'!N57</f>
        <v>22155803.565557607</v>
      </c>
      <c r="DS213" s="6">
        <f>'Monthly Data'!S57</f>
        <v>10973992.038532788</v>
      </c>
      <c r="DT213" s="6">
        <f>'Monthly Data'!X57</f>
        <v>24630219.295627519</v>
      </c>
    </row>
    <row r="214" spans="1:124">
      <c r="A214">
        <v>2016</v>
      </c>
      <c r="B214">
        <v>9</v>
      </c>
      <c r="C214">
        <v>68.699999999999974</v>
      </c>
      <c r="D214">
        <v>28.8</v>
      </c>
      <c r="E214">
        <v>32.299999999999997</v>
      </c>
      <c r="F214">
        <v>52.4</v>
      </c>
      <c r="G214">
        <v>8.3000000000000007</v>
      </c>
      <c r="H214">
        <v>88.399999999999977</v>
      </c>
      <c r="I214">
        <v>0.69999999999999929</v>
      </c>
      <c r="J214">
        <v>140.79999999999995</v>
      </c>
      <c r="K214">
        <v>0</v>
      </c>
      <c r="L214">
        <v>200.1</v>
      </c>
      <c r="M214">
        <v>0</v>
      </c>
      <c r="N214">
        <v>260.09999999999997</v>
      </c>
      <c r="O214">
        <v>0</v>
      </c>
      <c r="P214">
        <v>320.10000000000002</v>
      </c>
      <c r="Q214">
        <v>18.670000000000005</v>
      </c>
      <c r="DP214" s="6">
        <f>'Monthly Data'!F58</f>
        <v>21927063.701074887</v>
      </c>
      <c r="DQ214" s="6">
        <f>'Monthly Data'!J58</f>
        <v>8524200.2556404732</v>
      </c>
      <c r="DR214" s="6">
        <f>'Monthly Data'!N58</f>
        <v>19008676.995803408</v>
      </c>
      <c r="DS214" s="6">
        <f>'Monthly Data'!S58</f>
        <v>10286117.250332788</v>
      </c>
      <c r="DT214" s="6">
        <f>'Monthly Data'!X58</f>
        <v>23513442.137730021</v>
      </c>
    </row>
    <row r="215" spans="1:124">
      <c r="A215">
        <v>2016</v>
      </c>
      <c r="B215">
        <v>10</v>
      </c>
      <c r="C215">
        <v>240.5</v>
      </c>
      <c r="D215">
        <v>2</v>
      </c>
      <c r="E215">
        <v>187.1</v>
      </c>
      <c r="F215">
        <v>10.599999999999998</v>
      </c>
      <c r="G215">
        <v>137.99999999999997</v>
      </c>
      <c r="H215">
        <v>23.499999999999996</v>
      </c>
      <c r="I215">
        <v>97.40000000000002</v>
      </c>
      <c r="J215">
        <v>44.899999999999991</v>
      </c>
      <c r="K215">
        <v>65.8</v>
      </c>
      <c r="L215">
        <v>75.3</v>
      </c>
      <c r="M215">
        <v>38.300000000000004</v>
      </c>
      <c r="N215">
        <v>109.80000000000001</v>
      </c>
      <c r="O215">
        <v>16.400000000000002</v>
      </c>
      <c r="P215">
        <v>149.89999999999998</v>
      </c>
      <c r="Q215">
        <v>12.306451612903224</v>
      </c>
      <c r="DP215" s="6">
        <f>'Monthly Data'!F59</f>
        <v>17955354.765489686</v>
      </c>
      <c r="DQ215" s="6">
        <f>'Monthly Data'!J59</f>
        <v>7901315.6122177718</v>
      </c>
      <c r="DR215" s="6">
        <f>'Monthly Data'!N59</f>
        <v>18392236.257128105</v>
      </c>
      <c r="DS215" s="6">
        <f>'Monthly Data'!S59</f>
        <v>10353933.551132789</v>
      </c>
      <c r="DT215" s="6">
        <f>'Monthly Data'!X59</f>
        <v>24810905.696715023</v>
      </c>
    </row>
    <row r="216" spans="1:124">
      <c r="A216">
        <v>2016</v>
      </c>
      <c r="B216">
        <v>11</v>
      </c>
      <c r="C216">
        <v>390.60000000000008</v>
      </c>
      <c r="D216">
        <v>0</v>
      </c>
      <c r="E216">
        <v>330.6</v>
      </c>
      <c r="F216">
        <v>0</v>
      </c>
      <c r="G216">
        <v>270.59999999999997</v>
      </c>
      <c r="H216">
        <v>0</v>
      </c>
      <c r="I216">
        <v>213.29999999999998</v>
      </c>
      <c r="J216">
        <v>2.6999999999999993</v>
      </c>
      <c r="K216">
        <v>159.29999999999998</v>
      </c>
      <c r="L216">
        <v>8.6999999999999993</v>
      </c>
      <c r="M216">
        <v>108.19999999999997</v>
      </c>
      <c r="N216">
        <v>17.600000000000001</v>
      </c>
      <c r="O216">
        <v>69.5</v>
      </c>
      <c r="P216">
        <v>38.900000000000006</v>
      </c>
      <c r="Q216">
        <v>6.9800000000000013</v>
      </c>
      <c r="DP216" s="6">
        <f>'Monthly Data'!F60</f>
        <v>18188501.195161484</v>
      </c>
      <c r="DQ216" s="6">
        <f>'Monthly Data'!J60</f>
        <v>7994603.2368015721</v>
      </c>
      <c r="DR216" s="6">
        <f>'Monthly Data'!N60</f>
        <v>17676235.196301106</v>
      </c>
      <c r="DS216" s="6">
        <f>'Monthly Data'!S60</f>
        <v>10009720.752132788</v>
      </c>
      <c r="DT216" s="6">
        <f>'Monthly Data'!X60</f>
        <v>24610081.270522524</v>
      </c>
    </row>
    <row r="217" spans="1:124">
      <c r="A217">
        <v>2016</v>
      </c>
      <c r="B217">
        <v>12</v>
      </c>
      <c r="C217">
        <v>686.49999999999989</v>
      </c>
      <c r="D217">
        <v>0</v>
      </c>
      <c r="E217">
        <v>624.49999999999989</v>
      </c>
      <c r="F217">
        <v>0</v>
      </c>
      <c r="G217">
        <v>562.5</v>
      </c>
      <c r="H217">
        <v>0</v>
      </c>
      <c r="I217">
        <v>500.50000000000006</v>
      </c>
      <c r="J217">
        <v>0</v>
      </c>
      <c r="K217">
        <v>438.5</v>
      </c>
      <c r="L217">
        <v>0</v>
      </c>
      <c r="M217">
        <v>376.50000000000006</v>
      </c>
      <c r="N217">
        <v>0</v>
      </c>
      <c r="O217">
        <v>314.50000000000006</v>
      </c>
      <c r="P217">
        <v>0</v>
      </c>
      <c r="Q217">
        <v>-2.1451612903225801</v>
      </c>
      <c r="DP217" s="6">
        <f>'Monthly Data'!F61</f>
        <v>22264829.558209386</v>
      </c>
      <c r="DQ217" s="6">
        <f>'Monthly Data'!J61</f>
        <v>9430061.9246487729</v>
      </c>
      <c r="DR217" s="6">
        <f>'Monthly Data'!N61</f>
        <v>19445977.594531007</v>
      </c>
      <c r="DS217" s="6">
        <f>'Monthly Data'!S61</f>
        <v>9627014.5981327891</v>
      </c>
      <c r="DT217" s="6">
        <f>'Monthly Data'!X61</f>
        <v>24792434.467537519</v>
      </c>
    </row>
    <row r="218" spans="1:124">
      <c r="A218">
        <v>2017</v>
      </c>
      <c r="B218">
        <v>1</v>
      </c>
      <c r="C218">
        <v>660.30000000000007</v>
      </c>
      <c r="D218">
        <v>0</v>
      </c>
      <c r="E218">
        <v>598.29999999999995</v>
      </c>
      <c r="F218">
        <v>0</v>
      </c>
      <c r="G218">
        <v>536.30000000000007</v>
      </c>
      <c r="H218">
        <v>0</v>
      </c>
      <c r="I218">
        <v>474.3</v>
      </c>
      <c r="J218">
        <v>0</v>
      </c>
      <c r="K218">
        <v>412.30000000000007</v>
      </c>
      <c r="L218">
        <v>0</v>
      </c>
      <c r="M218">
        <v>350.30000000000007</v>
      </c>
      <c r="N218">
        <v>0</v>
      </c>
      <c r="O218">
        <v>288.3</v>
      </c>
      <c r="P218">
        <v>0</v>
      </c>
      <c r="Q218">
        <v>-1.3000000000000003</v>
      </c>
      <c r="DP218" s="6">
        <f>'Monthly Data'!F62</f>
        <v>22162065.014167484</v>
      </c>
      <c r="DQ218" s="6">
        <f>'Monthly Data'!J62</f>
        <v>9394536.1409439929</v>
      </c>
      <c r="DR218" s="6">
        <f>'Monthly Data'!N62</f>
        <v>20405050.233825203</v>
      </c>
      <c r="DS218" s="6">
        <f>'Monthly Data'!S62</f>
        <v>9591765.3648723848</v>
      </c>
      <c r="DT218" s="6">
        <f>'Monthly Data'!X62</f>
        <v>24770287.141291514</v>
      </c>
    </row>
    <row r="219" spans="1:124">
      <c r="A219">
        <v>2017</v>
      </c>
      <c r="B219">
        <v>2</v>
      </c>
      <c r="C219">
        <v>520.5</v>
      </c>
      <c r="D219">
        <v>0</v>
      </c>
      <c r="E219">
        <v>464.50000000000006</v>
      </c>
      <c r="F219">
        <v>0</v>
      </c>
      <c r="G219">
        <v>408.5</v>
      </c>
      <c r="H219">
        <v>0</v>
      </c>
      <c r="I219">
        <v>352.5</v>
      </c>
      <c r="J219">
        <v>0</v>
      </c>
      <c r="K219">
        <v>296.49999999999994</v>
      </c>
      <c r="L219">
        <v>0</v>
      </c>
      <c r="M219">
        <v>241.89999999999998</v>
      </c>
      <c r="N219">
        <v>1.4000000000000004</v>
      </c>
      <c r="O219">
        <v>192.80000000000004</v>
      </c>
      <c r="P219">
        <v>8.3000000000000007</v>
      </c>
      <c r="Q219">
        <v>1.410714285714286</v>
      </c>
      <c r="DP219" s="6">
        <f>'Monthly Data'!F63</f>
        <v>18637570.22163086</v>
      </c>
      <c r="DQ219" s="6">
        <f>'Monthly Data'!J63</f>
        <v>8205817.9846679755</v>
      </c>
      <c r="DR219" s="6">
        <f>'Monthly Data'!N63</f>
        <v>18530113.296418317</v>
      </c>
      <c r="DS219" s="6">
        <f>'Monthly Data'!S63</f>
        <v>9108161.2460723836</v>
      </c>
      <c r="DT219" s="6">
        <f>'Monthly Data'!X63</f>
        <v>22961918.206419017</v>
      </c>
    </row>
    <row r="220" spans="1:124">
      <c r="A220">
        <v>2017</v>
      </c>
      <c r="B220">
        <v>3</v>
      </c>
      <c r="C220">
        <v>596.4</v>
      </c>
      <c r="D220">
        <v>0</v>
      </c>
      <c r="E220">
        <v>534.4</v>
      </c>
      <c r="F220">
        <v>0</v>
      </c>
      <c r="G220">
        <v>472.39999999999992</v>
      </c>
      <c r="H220">
        <v>0</v>
      </c>
      <c r="I220">
        <v>410.4</v>
      </c>
      <c r="J220">
        <v>0</v>
      </c>
      <c r="K220">
        <v>348.4</v>
      </c>
      <c r="L220">
        <v>0</v>
      </c>
      <c r="M220">
        <v>288.09999999999997</v>
      </c>
      <c r="N220">
        <v>1.6999999999999993</v>
      </c>
      <c r="O220">
        <v>230.69999999999996</v>
      </c>
      <c r="P220">
        <v>6.2999999999999989</v>
      </c>
      <c r="Q220">
        <v>0.76129032258064533</v>
      </c>
      <c r="DP220" s="6">
        <f>'Monthly Data'!F64</f>
        <v>20024303.984491248</v>
      </c>
      <c r="DQ220" s="6">
        <f>'Monthly Data'!J64</f>
        <v>8991014.4320844971</v>
      </c>
      <c r="DR220" s="6">
        <f>'Monthly Data'!N64</f>
        <v>19458491.460847396</v>
      </c>
      <c r="DS220" s="6">
        <f>'Monthly Data'!S64</f>
        <v>10666257.661872383</v>
      </c>
      <c r="DT220" s="6">
        <f>'Monthly Data'!X64</f>
        <v>26050296.256786522</v>
      </c>
    </row>
    <row r="221" spans="1:124">
      <c r="A221">
        <v>2017</v>
      </c>
      <c r="B221">
        <v>4</v>
      </c>
      <c r="C221">
        <v>314.69999999999993</v>
      </c>
      <c r="D221">
        <v>0</v>
      </c>
      <c r="E221">
        <v>254.6999999999999</v>
      </c>
      <c r="F221">
        <v>0</v>
      </c>
      <c r="G221">
        <v>199.29999999999993</v>
      </c>
      <c r="H221">
        <v>4.6000000000000014</v>
      </c>
      <c r="I221">
        <v>145.69999999999996</v>
      </c>
      <c r="J221">
        <v>11.000000000000002</v>
      </c>
      <c r="K221">
        <v>100.60000000000001</v>
      </c>
      <c r="L221">
        <v>25.900000000000002</v>
      </c>
      <c r="M221">
        <v>58.7</v>
      </c>
      <c r="N221">
        <v>44</v>
      </c>
      <c r="O221">
        <v>28.499999999999996</v>
      </c>
      <c r="P221">
        <v>73.8</v>
      </c>
      <c r="Q221">
        <v>9.5100000000000016</v>
      </c>
      <c r="DP221" s="6">
        <f>'Monthly Data'!F65</f>
        <v>17052034.049426168</v>
      </c>
      <c r="DQ221" s="6">
        <f>'Monthly Data'!J65</f>
        <v>7628637.7486069882</v>
      </c>
      <c r="DR221" s="6">
        <f>'Monthly Data'!N65</f>
        <v>17068111.602635372</v>
      </c>
      <c r="DS221" s="6">
        <f>'Monthly Data'!S65</f>
        <v>9877999.4840723816</v>
      </c>
      <c r="DT221" s="6">
        <f>'Monthly Data'!X65</f>
        <v>24840158.954896517</v>
      </c>
    </row>
    <row r="222" spans="1:124">
      <c r="A222">
        <v>2017</v>
      </c>
      <c r="B222">
        <v>5</v>
      </c>
      <c r="C222">
        <v>234.79999999999993</v>
      </c>
      <c r="D222">
        <v>4.8000000000000007</v>
      </c>
      <c r="E222">
        <v>179.09999999999997</v>
      </c>
      <c r="F222">
        <v>11.100000000000001</v>
      </c>
      <c r="G222">
        <v>131.29999999999998</v>
      </c>
      <c r="H222">
        <v>25.3</v>
      </c>
      <c r="I222">
        <v>92.100000000000023</v>
      </c>
      <c r="J222">
        <v>48.099999999999994</v>
      </c>
      <c r="K222">
        <v>61.100000000000009</v>
      </c>
      <c r="L222">
        <v>79.099999999999994</v>
      </c>
      <c r="M222">
        <v>33.099999999999994</v>
      </c>
      <c r="N222">
        <v>113.1</v>
      </c>
      <c r="O222">
        <v>12.599999999999998</v>
      </c>
      <c r="P222">
        <v>154.6</v>
      </c>
      <c r="Q222">
        <v>12.580645161290324</v>
      </c>
      <c r="DP222" s="6">
        <f>'Monthly Data'!F66</f>
        <v>19096905.725095563</v>
      </c>
      <c r="DQ222" s="6">
        <f>'Monthly Data'!J66</f>
        <v>7802364.6196940765</v>
      </c>
      <c r="DR222" s="6">
        <f>'Monthly Data'!N66</f>
        <v>17303329.619864244</v>
      </c>
      <c r="DS222" s="6">
        <f>'Monthly Data'!S66</f>
        <v>10238197.053872384</v>
      </c>
      <c r="DT222" s="6">
        <f>'Monthly Data'!X66</f>
        <v>26058283.385469019</v>
      </c>
    </row>
    <row r="223" spans="1:124">
      <c r="A223">
        <v>2017</v>
      </c>
      <c r="B223">
        <v>6</v>
      </c>
      <c r="C223">
        <v>51</v>
      </c>
      <c r="D223">
        <v>46.900000000000006</v>
      </c>
      <c r="E223">
        <v>25.6</v>
      </c>
      <c r="F223">
        <v>81.499999999999986</v>
      </c>
      <c r="G223">
        <v>6.9000000000000021</v>
      </c>
      <c r="H223">
        <v>122.8</v>
      </c>
      <c r="I223">
        <v>0.70000000000000107</v>
      </c>
      <c r="J223">
        <v>176.59999999999997</v>
      </c>
      <c r="K223">
        <v>0</v>
      </c>
      <c r="L223">
        <v>235.89999999999998</v>
      </c>
      <c r="M223">
        <v>0</v>
      </c>
      <c r="N223">
        <v>295.89999999999992</v>
      </c>
      <c r="O223">
        <v>0</v>
      </c>
      <c r="P223">
        <v>355.90000000000003</v>
      </c>
      <c r="Q223">
        <v>19.863333333333337</v>
      </c>
      <c r="DP223" s="6">
        <f>'Monthly Data'!F67</f>
        <v>23026861.29899263</v>
      </c>
      <c r="DQ223" s="6">
        <f>'Monthly Data'!J67</f>
        <v>8568018.6844583936</v>
      </c>
      <c r="DR223" s="6">
        <f>'Monthly Data'!N67</f>
        <v>18723157.860614162</v>
      </c>
      <c r="DS223" s="6">
        <f>'Monthly Data'!S67</f>
        <v>10531905.199872384</v>
      </c>
      <c r="DT223" s="6">
        <f>'Monthly Data'!X67</f>
        <v>22007168.552071519</v>
      </c>
    </row>
    <row r="224" spans="1:124">
      <c r="A224">
        <v>2017</v>
      </c>
      <c r="B224">
        <v>7</v>
      </c>
      <c r="C224">
        <v>8.1999999999999993</v>
      </c>
      <c r="D224">
        <v>54.7</v>
      </c>
      <c r="E224">
        <v>0</v>
      </c>
      <c r="F224">
        <v>108.49999999999997</v>
      </c>
      <c r="G224">
        <v>0</v>
      </c>
      <c r="H224">
        <v>170.5</v>
      </c>
      <c r="I224">
        <v>0</v>
      </c>
      <c r="J224">
        <v>232.49999999999997</v>
      </c>
      <c r="K224">
        <v>0</v>
      </c>
      <c r="L224">
        <v>294.49999999999994</v>
      </c>
      <c r="M224">
        <v>0</v>
      </c>
      <c r="N224">
        <v>356.5</v>
      </c>
      <c r="O224">
        <v>0</v>
      </c>
      <c r="P224">
        <v>418.5</v>
      </c>
      <c r="Q224">
        <v>21.5</v>
      </c>
      <c r="DP224" s="6">
        <f>'Monthly Data'!F68</f>
        <v>27674827.997007251</v>
      </c>
      <c r="DQ224" s="6">
        <f>'Monthly Data'!J68</f>
        <v>9396094.8214159403</v>
      </c>
      <c r="DR224" s="6">
        <f>'Monthly Data'!N68</f>
        <v>20650265.274632793</v>
      </c>
      <c r="DS224" s="6">
        <f>'Monthly Data'!S68</f>
        <v>10960999.166472385</v>
      </c>
      <c r="DT224" s="6">
        <f>'Monthly Data'!X68</f>
        <v>25182895.508754019</v>
      </c>
    </row>
    <row r="225" spans="1:124">
      <c r="A225">
        <v>2017</v>
      </c>
      <c r="B225">
        <v>8</v>
      </c>
      <c r="C225">
        <v>39.1</v>
      </c>
      <c r="D225">
        <v>27.800000000000004</v>
      </c>
      <c r="E225">
        <v>15.8</v>
      </c>
      <c r="F225">
        <v>66.500000000000014</v>
      </c>
      <c r="G225">
        <v>5.5</v>
      </c>
      <c r="H225">
        <v>118.19999999999999</v>
      </c>
      <c r="I225">
        <v>0.80000000000000071</v>
      </c>
      <c r="J225">
        <v>175.5</v>
      </c>
      <c r="K225">
        <v>0</v>
      </c>
      <c r="L225">
        <v>236.7</v>
      </c>
      <c r="M225">
        <v>0</v>
      </c>
      <c r="N225">
        <v>298.69999999999993</v>
      </c>
      <c r="O225">
        <v>0</v>
      </c>
      <c r="P225">
        <v>360.69999999999993</v>
      </c>
      <c r="Q225">
        <v>19.63548387096774</v>
      </c>
      <c r="DP225" s="6">
        <f>'Monthly Data'!F69</f>
        <v>25730368.855385121</v>
      </c>
      <c r="DQ225" s="6">
        <f>'Monthly Data'!J69</f>
        <v>9013385.7733225636</v>
      </c>
      <c r="DR225" s="6">
        <f>'Monthly Data'!N69</f>
        <v>19470906.219232164</v>
      </c>
      <c r="DS225" s="6">
        <f>'Monthly Data'!S69</f>
        <v>11556821.517472384</v>
      </c>
      <c r="DT225" s="6">
        <f>'Monthly Data'!X69</f>
        <v>25921413.410716515</v>
      </c>
    </row>
    <row r="226" spans="1:124">
      <c r="A226">
        <v>2017</v>
      </c>
      <c r="B226">
        <v>9</v>
      </c>
      <c r="C226">
        <v>96.90000000000002</v>
      </c>
      <c r="D226">
        <v>30.600000000000005</v>
      </c>
      <c r="E226">
        <v>64.000000000000014</v>
      </c>
      <c r="F226">
        <v>57.7</v>
      </c>
      <c r="G226">
        <v>36.299999999999997</v>
      </c>
      <c r="H226">
        <v>90</v>
      </c>
      <c r="I226">
        <v>13.7</v>
      </c>
      <c r="J226">
        <v>127.39999999999999</v>
      </c>
      <c r="K226">
        <v>3.2000000000000011</v>
      </c>
      <c r="L226">
        <v>176.90000000000003</v>
      </c>
      <c r="M226">
        <v>0</v>
      </c>
      <c r="N226">
        <v>233.70000000000002</v>
      </c>
      <c r="O226">
        <v>0</v>
      </c>
      <c r="P226">
        <v>293.7</v>
      </c>
      <c r="Q226">
        <v>17.790000000000006</v>
      </c>
      <c r="DP226" s="6">
        <f>'Monthly Data'!F70</f>
        <v>21065018.835421018</v>
      </c>
      <c r="DQ226" s="6">
        <f>'Monthly Data'!J70</f>
        <v>8245914.4193014568</v>
      </c>
      <c r="DR226" s="6">
        <f>'Monthly Data'!N70</f>
        <v>18299077.909161326</v>
      </c>
      <c r="DS226" s="6">
        <f>'Monthly Data'!S70</f>
        <v>10202301.272072384</v>
      </c>
      <c r="DT226" s="6">
        <f>'Monthly Data'!X70</f>
        <v>23182666.180404019</v>
      </c>
    </row>
    <row r="227" spans="1:124">
      <c r="A227">
        <v>2017</v>
      </c>
      <c r="B227">
        <v>10</v>
      </c>
      <c r="C227">
        <v>209.50000000000003</v>
      </c>
      <c r="D227">
        <v>2.3999999999999986</v>
      </c>
      <c r="E227">
        <v>154.80000000000001</v>
      </c>
      <c r="F227">
        <v>9.6999999999999957</v>
      </c>
      <c r="G227">
        <v>108.1</v>
      </c>
      <c r="H227">
        <v>24.999999999999996</v>
      </c>
      <c r="I227">
        <v>74.899999999999991</v>
      </c>
      <c r="J227">
        <v>53.800000000000004</v>
      </c>
      <c r="K227">
        <v>48.2</v>
      </c>
      <c r="L227">
        <v>89.1</v>
      </c>
      <c r="M227">
        <v>29.299999999999997</v>
      </c>
      <c r="N227">
        <v>132.19999999999999</v>
      </c>
      <c r="O227">
        <v>15.599999999999998</v>
      </c>
      <c r="P227">
        <v>180.5</v>
      </c>
      <c r="Q227">
        <v>13.319354838709678</v>
      </c>
      <c r="DP227" s="6">
        <f>'Monthly Data'!F71</f>
        <v>18231593.113756634</v>
      </c>
      <c r="DQ227" s="6">
        <f>'Monthly Data'!J71</f>
        <v>7746325.4601202719</v>
      </c>
      <c r="DR227" s="6">
        <f>'Monthly Data'!N71</f>
        <v>17819323.199973162</v>
      </c>
      <c r="DS227" s="6">
        <f>'Monthly Data'!S71</f>
        <v>10935420.474472385</v>
      </c>
      <c r="DT227" s="6">
        <f>'Monthly Data'!X71</f>
        <v>21714170.522626519</v>
      </c>
    </row>
    <row r="228" spans="1:124">
      <c r="A228">
        <v>2017</v>
      </c>
      <c r="B228">
        <v>11</v>
      </c>
      <c r="C228">
        <v>491.79999999999995</v>
      </c>
      <c r="D228">
        <v>0</v>
      </c>
      <c r="E228">
        <v>431.8</v>
      </c>
      <c r="F228">
        <v>0</v>
      </c>
      <c r="G228">
        <v>371.8</v>
      </c>
      <c r="H228">
        <v>0</v>
      </c>
      <c r="I228">
        <v>311.8</v>
      </c>
      <c r="J228">
        <v>0</v>
      </c>
      <c r="K228">
        <v>252.70000000000002</v>
      </c>
      <c r="L228">
        <v>0.90000000000000036</v>
      </c>
      <c r="M228">
        <v>195.2</v>
      </c>
      <c r="N228">
        <v>3.4000000000000004</v>
      </c>
      <c r="O228">
        <v>141.20000000000002</v>
      </c>
      <c r="P228">
        <v>9.4</v>
      </c>
      <c r="Q228">
        <v>3.6066666666666669</v>
      </c>
      <c r="DP228" s="6">
        <f>'Monthly Data'!F72</f>
        <v>19491896.410775527</v>
      </c>
      <c r="DQ228" s="6">
        <f>'Monthly Data'!J72</f>
        <v>8373365.6037009042</v>
      </c>
      <c r="DR228" s="6">
        <f>'Monthly Data'!N72</f>
        <v>18191086.641311783</v>
      </c>
      <c r="DS228" s="6">
        <f>'Monthly Data'!S72</f>
        <v>10844267.199072385</v>
      </c>
      <c r="DT228" s="6">
        <f>'Monthly Data'!X72</f>
        <v>22766018.494636517</v>
      </c>
    </row>
    <row r="229" spans="1:124">
      <c r="A229">
        <v>2017</v>
      </c>
      <c r="B229">
        <v>12</v>
      </c>
      <c r="C229">
        <v>744.90000000000009</v>
      </c>
      <c r="D229">
        <v>0</v>
      </c>
      <c r="E229">
        <v>682.90000000000009</v>
      </c>
      <c r="F229">
        <v>0</v>
      </c>
      <c r="G229">
        <v>620.9</v>
      </c>
      <c r="H229">
        <v>0</v>
      </c>
      <c r="I229">
        <v>558.9</v>
      </c>
      <c r="J229">
        <v>0</v>
      </c>
      <c r="K229">
        <v>496.89999999999992</v>
      </c>
      <c r="L229">
        <v>0</v>
      </c>
      <c r="M229">
        <v>434.9</v>
      </c>
      <c r="N229">
        <v>0</v>
      </c>
      <c r="O229">
        <v>372.89999999999992</v>
      </c>
      <c r="P229">
        <v>0</v>
      </c>
      <c r="Q229">
        <v>-4.0290322580645164</v>
      </c>
      <c r="DP229" s="6">
        <f>'Monthly Data'!F73</f>
        <v>23724231.163749639</v>
      </c>
      <c r="DQ229" s="6">
        <f>'Monthly Data'!J73</f>
        <v>9299039.0866151359</v>
      </c>
      <c r="DR229" s="6">
        <f>'Monthly Data'!N73</f>
        <v>19035131.862352476</v>
      </c>
      <c r="DS229" s="6">
        <f>'Monthly Data'!S73</f>
        <v>10244707.849472385</v>
      </c>
      <c r="DT229" s="6">
        <f>'Monthly Data'!X73</f>
        <v>24333332.109729018</v>
      </c>
    </row>
    <row r="230" spans="1:124">
      <c r="A230">
        <v>2018</v>
      </c>
      <c r="B230">
        <v>1</v>
      </c>
      <c r="C230">
        <v>779.5</v>
      </c>
      <c r="D230">
        <v>0</v>
      </c>
      <c r="E230">
        <v>717.49999999999989</v>
      </c>
      <c r="F230">
        <v>0</v>
      </c>
      <c r="G230">
        <v>655.49999999999989</v>
      </c>
      <c r="H230">
        <v>0</v>
      </c>
      <c r="I230">
        <v>593.49999999999989</v>
      </c>
      <c r="J230">
        <v>0</v>
      </c>
      <c r="K230">
        <v>531.5</v>
      </c>
      <c r="L230">
        <v>0</v>
      </c>
      <c r="M230">
        <v>469.49999999999994</v>
      </c>
      <c r="N230">
        <v>0</v>
      </c>
      <c r="O230">
        <v>407.8</v>
      </c>
      <c r="P230">
        <v>0.30000000000000071</v>
      </c>
      <c r="Q230">
        <v>-5.145161290322581</v>
      </c>
      <c r="DP230" s="6">
        <f>'Monthly Data'!F74</f>
        <v>24073659.566567264</v>
      </c>
      <c r="DQ230" s="6">
        <f>'Monthly Data'!J74</f>
        <v>9887375.4825748149</v>
      </c>
      <c r="DR230" s="6">
        <f>'Monthly Data'!N74</f>
        <v>21215419.540043287</v>
      </c>
      <c r="DS230" s="6">
        <f>'Monthly Data'!S74</f>
        <v>10220507.912220106</v>
      </c>
      <c r="DT230" s="6">
        <f>'Monthly Data'!X74</f>
        <v>24009161.497997802</v>
      </c>
    </row>
    <row r="231" spans="1:124">
      <c r="A231">
        <v>2018</v>
      </c>
      <c r="B231">
        <v>2</v>
      </c>
      <c r="C231">
        <v>624.4</v>
      </c>
      <c r="D231">
        <v>0</v>
      </c>
      <c r="E231">
        <v>568.4</v>
      </c>
      <c r="F231">
        <v>0</v>
      </c>
      <c r="G231">
        <v>512.4</v>
      </c>
      <c r="H231">
        <v>0</v>
      </c>
      <c r="I231">
        <v>456.40000000000003</v>
      </c>
      <c r="J231">
        <v>0</v>
      </c>
      <c r="K231">
        <v>400.40000000000003</v>
      </c>
      <c r="L231">
        <v>0</v>
      </c>
      <c r="M231">
        <v>346.1</v>
      </c>
      <c r="N231">
        <v>1.6999999999999993</v>
      </c>
      <c r="O231">
        <v>292.80000000000007</v>
      </c>
      <c r="P231">
        <v>4.3999999999999986</v>
      </c>
      <c r="Q231">
        <v>-2.2999999999999994</v>
      </c>
      <c r="DP231" s="6">
        <f>'Monthly Data'!F75</f>
        <v>20162044.327167265</v>
      </c>
      <c r="DQ231" s="6">
        <f>'Monthly Data'!J75</f>
        <v>8512331.4271643814</v>
      </c>
      <c r="DR231" s="6">
        <f>'Monthly Data'!N75</f>
        <v>18866164.313090462</v>
      </c>
      <c r="DS231" s="6">
        <f>'Monthly Data'!S75</f>
        <v>9550053.2290201057</v>
      </c>
      <c r="DT231" s="6">
        <f>'Monthly Data'!X75</f>
        <v>23586264.422380298</v>
      </c>
    </row>
    <row r="232" spans="1:124">
      <c r="A232">
        <v>2018</v>
      </c>
      <c r="B232">
        <v>3</v>
      </c>
      <c r="C232">
        <v>637.19999999999993</v>
      </c>
      <c r="D232">
        <v>0</v>
      </c>
      <c r="E232">
        <v>575.19999999999993</v>
      </c>
      <c r="F232">
        <v>0</v>
      </c>
      <c r="G232">
        <v>513.19999999999993</v>
      </c>
      <c r="H232">
        <v>0</v>
      </c>
      <c r="I232">
        <v>451.2</v>
      </c>
      <c r="J232">
        <v>0</v>
      </c>
      <c r="K232">
        <v>389.2</v>
      </c>
      <c r="L232">
        <v>0</v>
      </c>
      <c r="M232">
        <v>327.20000000000005</v>
      </c>
      <c r="N232">
        <v>0</v>
      </c>
      <c r="O232">
        <v>265.20000000000005</v>
      </c>
      <c r="P232">
        <v>0</v>
      </c>
      <c r="Q232">
        <v>-0.55483870967741922</v>
      </c>
      <c r="DP232" s="6">
        <f>'Monthly Data'!F76</f>
        <v>20947649.553467266</v>
      </c>
      <c r="DQ232" s="6">
        <f>'Monthly Data'!J76</f>
        <v>8970271.9821998216</v>
      </c>
      <c r="DR232" s="6">
        <f>'Monthly Data'!N76</f>
        <v>19590305.779881623</v>
      </c>
      <c r="DS232" s="6">
        <f>'Monthly Data'!S76</f>
        <v>10495231.318020105</v>
      </c>
      <c r="DT232" s="6">
        <f>'Monthly Data'!X76</f>
        <v>24162940.202252798</v>
      </c>
    </row>
    <row r="233" spans="1:124">
      <c r="A233">
        <v>2018</v>
      </c>
      <c r="B233">
        <v>4</v>
      </c>
      <c r="C233">
        <v>492</v>
      </c>
      <c r="D233">
        <v>0</v>
      </c>
      <c r="E233">
        <v>432</v>
      </c>
      <c r="F233">
        <v>0</v>
      </c>
      <c r="G233">
        <v>372.00000000000006</v>
      </c>
      <c r="H233">
        <v>0</v>
      </c>
      <c r="I233">
        <v>312.00000000000006</v>
      </c>
      <c r="J233">
        <v>0</v>
      </c>
      <c r="K233">
        <v>254.20000000000002</v>
      </c>
      <c r="L233">
        <v>2.2000000000000011</v>
      </c>
      <c r="M233">
        <v>199.5</v>
      </c>
      <c r="N233">
        <v>7.5</v>
      </c>
      <c r="O233">
        <v>149.6</v>
      </c>
      <c r="P233">
        <v>17.600000000000001</v>
      </c>
      <c r="Q233">
        <v>3.6000000000000005</v>
      </c>
      <c r="DP233" s="6">
        <f>'Monthly Data'!F77</f>
        <v>19139295.462167267</v>
      </c>
      <c r="DQ233" s="6">
        <f>'Monthly Data'!J77</f>
        <v>8297636.6351806959</v>
      </c>
      <c r="DR233" s="6">
        <f>'Monthly Data'!N77</f>
        <v>18011213.958728224</v>
      </c>
      <c r="DS233" s="6">
        <f>'Monthly Data'!S77</f>
        <v>9247887.7546201069</v>
      </c>
      <c r="DT233" s="6">
        <f>'Monthly Data'!X77</f>
        <v>20425443.915497798</v>
      </c>
    </row>
    <row r="234" spans="1:124">
      <c r="A234">
        <v>2018</v>
      </c>
      <c r="B234">
        <v>5</v>
      </c>
      <c r="C234">
        <v>160.89999999999998</v>
      </c>
      <c r="D234">
        <v>24.2</v>
      </c>
      <c r="E234">
        <v>115.69999999999999</v>
      </c>
      <c r="F234">
        <v>41</v>
      </c>
      <c r="G234">
        <v>76.600000000000009</v>
      </c>
      <c r="H234">
        <v>63.900000000000006</v>
      </c>
      <c r="I234">
        <v>47.5</v>
      </c>
      <c r="J234">
        <v>96.8</v>
      </c>
      <c r="K234">
        <v>25.4</v>
      </c>
      <c r="L234">
        <v>136.69999999999999</v>
      </c>
      <c r="M234">
        <v>10.899999999999999</v>
      </c>
      <c r="N234">
        <v>184.2</v>
      </c>
      <c r="O234">
        <v>3.6999999999999993</v>
      </c>
      <c r="P234">
        <v>238.99999999999997</v>
      </c>
      <c r="Q234">
        <v>15.590322580645161</v>
      </c>
      <c r="DP234" s="6">
        <f>'Monthly Data'!F78</f>
        <v>20041747.692667268</v>
      </c>
      <c r="DQ234" s="6">
        <f>'Monthly Data'!J78</f>
        <v>8249231.8735396629</v>
      </c>
      <c r="DR234" s="6">
        <f>'Monthly Data'!N78</f>
        <v>18513560.80069286</v>
      </c>
      <c r="DS234" s="6">
        <f>'Monthly Data'!S78</f>
        <v>9898713.6104201023</v>
      </c>
      <c r="DT234" s="6">
        <f>'Monthly Data'!X78</f>
        <v>20445732.092170302</v>
      </c>
    </row>
    <row r="235" spans="1:124">
      <c r="A235">
        <v>2018</v>
      </c>
      <c r="B235">
        <v>6</v>
      </c>
      <c r="C235">
        <v>75.100000000000023</v>
      </c>
      <c r="D235">
        <v>33.200000000000003</v>
      </c>
      <c r="E235">
        <v>39.499999999999993</v>
      </c>
      <c r="F235">
        <v>57.599999999999994</v>
      </c>
      <c r="G235">
        <v>14.299999999999999</v>
      </c>
      <c r="H235">
        <v>92.40000000000002</v>
      </c>
      <c r="I235">
        <v>5.2999999999999989</v>
      </c>
      <c r="J235">
        <v>143.39999999999995</v>
      </c>
      <c r="K235">
        <v>0.69999999999999929</v>
      </c>
      <c r="L235">
        <v>198.8</v>
      </c>
      <c r="M235">
        <v>0</v>
      </c>
      <c r="N235">
        <v>258.10000000000002</v>
      </c>
      <c r="O235">
        <v>0</v>
      </c>
      <c r="P235">
        <v>318.10000000000002</v>
      </c>
      <c r="Q235">
        <v>18.603333333333339</v>
      </c>
      <c r="DP235" s="6">
        <f>'Monthly Data'!F79</f>
        <v>22588013.119067267</v>
      </c>
      <c r="DQ235" s="6">
        <f>'Monthly Data'!J79</f>
        <v>8373888.3241558662</v>
      </c>
      <c r="DR235" s="6">
        <f>'Monthly Data'!N79</f>
        <v>17879570.687290974</v>
      </c>
      <c r="DS235" s="6">
        <f>'Monthly Data'!S79</f>
        <v>10266712.966820106</v>
      </c>
      <c r="DT235" s="6">
        <f>'Monthly Data'!X79</f>
        <v>23092492.308985304</v>
      </c>
    </row>
    <row r="236" spans="1:124">
      <c r="A236">
        <v>2018</v>
      </c>
      <c r="B236">
        <v>7</v>
      </c>
      <c r="C236">
        <v>10.799999999999997</v>
      </c>
      <c r="D236">
        <v>62.800000000000004</v>
      </c>
      <c r="E236">
        <v>2.3999999999999986</v>
      </c>
      <c r="F236">
        <v>116.4</v>
      </c>
      <c r="G236">
        <v>0</v>
      </c>
      <c r="H236">
        <v>176.00000000000003</v>
      </c>
      <c r="I236">
        <v>0</v>
      </c>
      <c r="J236">
        <v>238.00000000000003</v>
      </c>
      <c r="K236">
        <v>0</v>
      </c>
      <c r="L236">
        <v>300.00000000000006</v>
      </c>
      <c r="M236">
        <v>0</v>
      </c>
      <c r="N236">
        <v>362</v>
      </c>
      <c r="O236">
        <v>0</v>
      </c>
      <c r="P236">
        <v>424.00000000000006</v>
      </c>
      <c r="Q236">
        <v>21.677419354838712</v>
      </c>
      <c r="DP236" s="6">
        <f>'Monthly Data'!F80</f>
        <v>30017017.307167266</v>
      </c>
      <c r="DQ236" s="6">
        <f>'Monthly Data'!J80</f>
        <v>9741782.1239099316</v>
      </c>
      <c r="DR236" s="6">
        <f>'Monthly Data'!N80</f>
        <v>20694832.372938544</v>
      </c>
      <c r="DS236" s="6">
        <f>'Monthly Data'!S80</f>
        <v>10897159.829020105</v>
      </c>
      <c r="DT236" s="6">
        <f>'Monthly Data'!X80</f>
        <v>24107494.645877801</v>
      </c>
    </row>
    <row r="237" spans="1:124">
      <c r="A237">
        <v>2018</v>
      </c>
      <c r="B237">
        <v>8</v>
      </c>
      <c r="C237">
        <v>7.2999999999999972</v>
      </c>
      <c r="D237">
        <v>71.599999999999994</v>
      </c>
      <c r="E237">
        <v>1.3999999999999986</v>
      </c>
      <c r="F237">
        <v>127.70000000000002</v>
      </c>
      <c r="G237">
        <v>0</v>
      </c>
      <c r="H237">
        <v>188.29999999999995</v>
      </c>
      <c r="I237">
        <v>0</v>
      </c>
      <c r="J237">
        <v>250.29999999999995</v>
      </c>
      <c r="K237">
        <v>0</v>
      </c>
      <c r="L237">
        <v>312.3</v>
      </c>
      <c r="M237">
        <v>0</v>
      </c>
      <c r="N237">
        <v>374.30000000000007</v>
      </c>
      <c r="O237">
        <v>0</v>
      </c>
      <c r="P237">
        <v>436.30000000000007</v>
      </c>
      <c r="Q237">
        <v>22.0741935483871</v>
      </c>
      <c r="DP237" s="6">
        <f>'Monthly Data'!F81</f>
        <v>30650726.001667269</v>
      </c>
      <c r="DQ237" s="6">
        <f>'Monthly Data'!J81</f>
        <v>9820589.6786198616</v>
      </c>
      <c r="DR237" s="6">
        <f>'Monthly Data'!N81</f>
        <v>21436002.837038804</v>
      </c>
      <c r="DS237" s="6">
        <f>'Monthly Data'!S81</f>
        <v>11401005.786220107</v>
      </c>
      <c r="DT237" s="6">
        <f>'Monthly Data'!X81</f>
        <v>23092259.140720297</v>
      </c>
    </row>
    <row r="238" spans="1:124">
      <c r="A238">
        <v>2018</v>
      </c>
      <c r="B238">
        <v>9</v>
      </c>
      <c r="C238">
        <v>96.999999999999986</v>
      </c>
      <c r="D238">
        <v>34.5</v>
      </c>
      <c r="E238">
        <v>62.199999999999996</v>
      </c>
      <c r="F238">
        <v>59.7</v>
      </c>
      <c r="G238">
        <v>35.199999999999996</v>
      </c>
      <c r="H238">
        <v>92.7</v>
      </c>
      <c r="I238">
        <v>15.100000000000001</v>
      </c>
      <c r="J238">
        <v>132.60000000000002</v>
      </c>
      <c r="K238">
        <v>3.9000000000000004</v>
      </c>
      <c r="L238">
        <v>181.4</v>
      </c>
      <c r="M238">
        <v>0</v>
      </c>
      <c r="N238">
        <v>237.5</v>
      </c>
      <c r="O238">
        <v>0</v>
      </c>
      <c r="P238">
        <v>297.49999999999994</v>
      </c>
      <c r="Q238">
        <v>17.916666666666664</v>
      </c>
      <c r="DP238" s="6">
        <f>'Monthly Data'!F82</f>
        <v>23280752.545567263</v>
      </c>
      <c r="DQ238" s="6">
        <f>'Monthly Data'!J82</f>
        <v>8296767.5050907237</v>
      </c>
      <c r="DR238" s="6">
        <f>'Monthly Data'!N82</f>
        <v>19085586.756315149</v>
      </c>
      <c r="DS238" s="6">
        <f>'Monthly Data'!S82</f>
        <v>10821083.914820107</v>
      </c>
      <c r="DT238" s="6">
        <f>'Monthly Data'!X82</f>
        <v>25764080.7833203</v>
      </c>
    </row>
    <row r="239" spans="1:124">
      <c r="A239">
        <v>2018</v>
      </c>
      <c r="B239">
        <v>10</v>
      </c>
      <c r="C239">
        <v>317.8</v>
      </c>
      <c r="D239">
        <v>7.8000000000000007</v>
      </c>
      <c r="E239">
        <v>262.7</v>
      </c>
      <c r="F239">
        <v>14.7</v>
      </c>
      <c r="G239">
        <v>210.20000000000002</v>
      </c>
      <c r="H239">
        <v>24.2</v>
      </c>
      <c r="I239">
        <v>160.9</v>
      </c>
      <c r="J239">
        <v>36.9</v>
      </c>
      <c r="K239">
        <v>116.60000000000001</v>
      </c>
      <c r="L239">
        <v>54.6</v>
      </c>
      <c r="M239">
        <v>74</v>
      </c>
      <c r="N239">
        <v>74</v>
      </c>
      <c r="O239">
        <v>35.4</v>
      </c>
      <c r="P239">
        <v>97.4</v>
      </c>
      <c r="Q239">
        <v>10.000000000000002</v>
      </c>
      <c r="DP239" s="6">
        <f>'Monthly Data'!F83</f>
        <v>19430725.728867266</v>
      </c>
      <c r="DQ239" s="6">
        <f>'Monthly Data'!J83</f>
        <v>7823378.1220731037</v>
      </c>
      <c r="DR239" s="6">
        <f>'Monthly Data'!N83</f>
        <v>18365728.767554242</v>
      </c>
      <c r="DS239" s="6">
        <f>'Monthly Data'!S83</f>
        <v>10464975.140420105</v>
      </c>
      <c r="DT239" s="6">
        <f>'Monthly Data'!X83</f>
        <v>26956878.799262796</v>
      </c>
    </row>
    <row r="240" spans="1:124">
      <c r="A240">
        <v>2018</v>
      </c>
      <c r="B240">
        <v>11</v>
      </c>
      <c r="C240">
        <v>553.50000000000011</v>
      </c>
      <c r="D240">
        <v>0</v>
      </c>
      <c r="E240">
        <v>493.50000000000006</v>
      </c>
      <c r="F240">
        <v>0</v>
      </c>
      <c r="G240">
        <v>433.50000000000006</v>
      </c>
      <c r="H240">
        <v>0</v>
      </c>
      <c r="I240">
        <v>373.50000000000011</v>
      </c>
      <c r="J240">
        <v>0</v>
      </c>
      <c r="K240">
        <v>313.5</v>
      </c>
      <c r="L240">
        <v>0</v>
      </c>
      <c r="M240">
        <v>254.49999999999997</v>
      </c>
      <c r="N240">
        <v>1</v>
      </c>
      <c r="O240">
        <v>198.5</v>
      </c>
      <c r="P240">
        <v>5</v>
      </c>
      <c r="Q240">
        <v>1.55</v>
      </c>
      <c r="DP240" s="6">
        <f>'Monthly Data'!F84</f>
        <v>20674343.852967266</v>
      </c>
      <c r="DQ240" s="6">
        <f>'Monthly Data'!J84</f>
        <v>8565433.8271822594</v>
      </c>
      <c r="DR240" s="6">
        <f>'Monthly Data'!N84</f>
        <v>18960748.554049645</v>
      </c>
      <c r="DS240" s="6">
        <f>'Monthly Data'!S84</f>
        <v>10468682.646420106</v>
      </c>
      <c r="DT240" s="6">
        <f>'Monthly Data'!X84</f>
        <v>25481222.583850298</v>
      </c>
    </row>
    <row r="241" spans="1:124">
      <c r="A241">
        <v>2018</v>
      </c>
      <c r="B241">
        <v>12</v>
      </c>
      <c r="C241">
        <v>606.19999999999993</v>
      </c>
      <c r="D241">
        <v>0</v>
      </c>
      <c r="E241">
        <v>544.19999999999993</v>
      </c>
      <c r="F241">
        <v>0</v>
      </c>
      <c r="G241">
        <v>482.19999999999987</v>
      </c>
      <c r="H241">
        <v>0</v>
      </c>
      <c r="I241">
        <v>420.19999999999987</v>
      </c>
      <c r="J241">
        <v>0</v>
      </c>
      <c r="K241">
        <v>358.19999999999993</v>
      </c>
      <c r="L241">
        <v>0</v>
      </c>
      <c r="M241">
        <v>296.2</v>
      </c>
      <c r="N241">
        <v>0</v>
      </c>
      <c r="O241">
        <v>235.70000000000002</v>
      </c>
      <c r="P241">
        <v>1.5</v>
      </c>
      <c r="Q241">
        <v>0.44516129032258073</v>
      </c>
      <c r="DP241" s="6">
        <f>'Monthly Data'!F85</f>
        <v>23150505.742267266</v>
      </c>
      <c r="DQ241" s="6">
        <f>'Monthly Data'!J85</f>
        <v>8828754.4656966105</v>
      </c>
      <c r="DR241" s="6">
        <f>'Monthly Data'!N85</f>
        <v>18373721.475781631</v>
      </c>
      <c r="DS241" s="6">
        <f>'Monthly Data'!S85</f>
        <v>9918059.8559201062</v>
      </c>
      <c r="DT241" s="6">
        <f>'Monthly Data'!X85</f>
        <v>26568385.3872278</v>
      </c>
    </row>
    <row r="242" spans="1:124">
      <c r="A242">
        <f>A230+1</f>
        <v>2019</v>
      </c>
      <c r="B242">
        <f>B230</f>
        <v>1</v>
      </c>
      <c r="C242">
        <v>780.8</v>
      </c>
      <c r="D242">
        <v>0</v>
      </c>
      <c r="E242">
        <v>718.8</v>
      </c>
      <c r="F242">
        <v>0</v>
      </c>
      <c r="G242">
        <v>656.80000000000007</v>
      </c>
      <c r="H242">
        <v>0</v>
      </c>
      <c r="I242">
        <v>594.79999999999995</v>
      </c>
      <c r="J242">
        <v>0</v>
      </c>
      <c r="K242">
        <v>532.79999999999995</v>
      </c>
      <c r="L242">
        <v>0</v>
      </c>
      <c r="M242">
        <v>470.79999999999995</v>
      </c>
      <c r="N242">
        <v>0</v>
      </c>
      <c r="O242">
        <v>408.8</v>
      </c>
      <c r="P242">
        <v>0</v>
      </c>
      <c r="Q242">
        <v>-5.1870967741935488</v>
      </c>
      <c r="DP242" s="6">
        <f>'Monthly Data'!F86</f>
        <v>24270749.622478835</v>
      </c>
      <c r="DQ242" s="6">
        <f>'Monthly Data'!J86</f>
        <v>9605510.1381623745</v>
      </c>
      <c r="DR242" s="6">
        <f>'Monthly Data'!N86</f>
        <v>21388509.732646711</v>
      </c>
      <c r="DS242" s="6">
        <f>'Monthly Data'!S86</f>
        <v>10580549.646441238</v>
      </c>
      <c r="DT242" s="6">
        <f>'Monthly Data'!X86</f>
        <v>27095699.423947453</v>
      </c>
    </row>
    <row r="243" spans="1:124">
      <c r="A243">
        <f t="shared" ref="A243:A253" si="189">A231+1</f>
        <v>2019</v>
      </c>
      <c r="B243">
        <f t="shared" ref="B243:B253" si="190">B231</f>
        <v>2</v>
      </c>
      <c r="C243">
        <v>660.5</v>
      </c>
      <c r="D243">
        <v>0</v>
      </c>
      <c r="E243">
        <v>604.5</v>
      </c>
      <c r="F243">
        <v>0</v>
      </c>
      <c r="G243">
        <v>548.5</v>
      </c>
      <c r="H243">
        <v>0</v>
      </c>
      <c r="I243">
        <v>492.5</v>
      </c>
      <c r="J243">
        <v>0</v>
      </c>
      <c r="K243">
        <v>436.5</v>
      </c>
      <c r="L243">
        <v>0</v>
      </c>
      <c r="M243">
        <v>380.5</v>
      </c>
      <c r="N243">
        <v>0</v>
      </c>
      <c r="O243">
        <v>324.5</v>
      </c>
      <c r="P243">
        <v>0</v>
      </c>
      <c r="Q243">
        <v>-3.5892857142857149</v>
      </c>
      <c r="DP243" s="6">
        <f>'Monthly Data'!F87</f>
        <v>21700393.622478835</v>
      </c>
      <c r="DQ243" s="6">
        <f>'Monthly Data'!J87</f>
        <v>9040925.1381623745</v>
      </c>
      <c r="DR243" s="6">
        <f>'Monthly Data'!N87</f>
        <v>19689054.252646711</v>
      </c>
      <c r="DS243" s="6">
        <f>'Monthly Data'!S87</f>
        <v>9087897.3551412392</v>
      </c>
      <c r="DT243" s="6">
        <f>'Monthly Data'!X87</f>
        <v>23366311.423947453</v>
      </c>
    </row>
    <row r="244" spans="1:124">
      <c r="A244">
        <f t="shared" si="189"/>
        <v>2019</v>
      </c>
      <c r="B244">
        <f t="shared" si="190"/>
        <v>3</v>
      </c>
      <c r="C244">
        <v>636.59999999999991</v>
      </c>
      <c r="D244">
        <v>0</v>
      </c>
      <c r="E244">
        <v>574.6</v>
      </c>
      <c r="F244">
        <v>0</v>
      </c>
      <c r="G244">
        <v>512.60000000000014</v>
      </c>
      <c r="H244">
        <v>0</v>
      </c>
      <c r="I244">
        <v>450.60000000000014</v>
      </c>
      <c r="J244">
        <v>0</v>
      </c>
      <c r="K244">
        <v>388.60000000000008</v>
      </c>
      <c r="L244">
        <v>0</v>
      </c>
      <c r="M244">
        <v>327.2000000000001</v>
      </c>
      <c r="N244">
        <v>0.59999999999999964</v>
      </c>
      <c r="O244">
        <v>268.90000000000003</v>
      </c>
      <c r="P244">
        <v>4.2999999999999989</v>
      </c>
      <c r="Q244">
        <v>-0.53548387096774197</v>
      </c>
      <c r="DP244" s="6">
        <f>'Monthly Data'!F88</f>
        <v>20849772.622478835</v>
      </c>
      <c r="DQ244" s="6">
        <f>'Monthly Data'!J88</f>
        <v>9197067.1381623745</v>
      </c>
      <c r="DR244" s="6">
        <f>'Monthly Data'!N88</f>
        <v>19694014.909946714</v>
      </c>
      <c r="DS244" s="6">
        <f>'Monthly Data'!S88</f>
        <v>10442893.534841239</v>
      </c>
      <c r="DT244" s="6">
        <f>'Monthly Data'!X88</f>
        <v>26433357.423947453</v>
      </c>
    </row>
    <row r="245" spans="1:124">
      <c r="A245">
        <f t="shared" si="189"/>
        <v>2019</v>
      </c>
      <c r="B245">
        <f t="shared" si="190"/>
        <v>4</v>
      </c>
      <c r="C245">
        <v>390.3</v>
      </c>
      <c r="D245">
        <v>0</v>
      </c>
      <c r="E245">
        <v>330.3</v>
      </c>
      <c r="F245">
        <v>0</v>
      </c>
      <c r="G245">
        <v>270.30000000000007</v>
      </c>
      <c r="H245">
        <v>0</v>
      </c>
      <c r="I245">
        <v>210.80000000000007</v>
      </c>
      <c r="J245">
        <v>0.5</v>
      </c>
      <c r="K245">
        <v>155.90000000000003</v>
      </c>
      <c r="L245">
        <v>5.6</v>
      </c>
      <c r="M245">
        <v>109.30000000000001</v>
      </c>
      <c r="N245">
        <v>18.999999999999996</v>
      </c>
      <c r="O245">
        <v>67.799999999999983</v>
      </c>
      <c r="P245">
        <v>37.5</v>
      </c>
      <c r="Q245">
        <v>6.9899999999999975</v>
      </c>
      <c r="DP245" s="6">
        <f>'Monthly Data'!F89</f>
        <v>18417882.622478835</v>
      </c>
      <c r="DQ245" s="6">
        <f>'Monthly Data'!J89</f>
        <v>8127529.1381623745</v>
      </c>
      <c r="DR245" s="6">
        <f>'Monthly Data'!N89</f>
        <v>17847961.116946712</v>
      </c>
      <c r="DS245" s="6">
        <f>'Monthly Data'!S89</f>
        <v>9711950.3278412391</v>
      </c>
      <c r="DT245" s="6">
        <f>'Monthly Data'!X89</f>
        <v>24953186.423947453</v>
      </c>
    </row>
    <row r="246" spans="1:124">
      <c r="A246">
        <f t="shared" si="189"/>
        <v>2019</v>
      </c>
      <c r="B246">
        <f t="shared" si="190"/>
        <v>5</v>
      </c>
      <c r="C246">
        <v>258.19999999999993</v>
      </c>
      <c r="D246">
        <v>0.69999999999999929</v>
      </c>
      <c r="E246">
        <v>199.39999999999995</v>
      </c>
      <c r="F246">
        <v>3.9000000000000021</v>
      </c>
      <c r="G246">
        <v>143.4</v>
      </c>
      <c r="H246">
        <v>9.9000000000000021</v>
      </c>
      <c r="I246">
        <v>95.2</v>
      </c>
      <c r="J246">
        <v>23.700000000000003</v>
      </c>
      <c r="K246">
        <v>56.300000000000004</v>
      </c>
      <c r="L246">
        <v>46.800000000000004</v>
      </c>
      <c r="M246">
        <v>30.4</v>
      </c>
      <c r="N246">
        <v>82.90000000000002</v>
      </c>
      <c r="O246">
        <v>13.5</v>
      </c>
      <c r="P246">
        <v>128</v>
      </c>
      <c r="Q246">
        <v>11.693548387096772</v>
      </c>
      <c r="DP246" s="6">
        <f>'Monthly Data'!F90</f>
        <v>18171409.622478835</v>
      </c>
      <c r="DQ246" s="6">
        <f>'Monthly Data'!J90</f>
        <v>7917097.1381623745</v>
      </c>
      <c r="DR246" s="6">
        <f>'Monthly Data'!N90</f>
        <v>17888743.361746714</v>
      </c>
      <c r="DS246" s="6">
        <f>'Monthly Data'!S90</f>
        <v>10564339.08304124</v>
      </c>
      <c r="DT246" s="6">
        <f>'Monthly Data'!X90</f>
        <v>24792249.423947453</v>
      </c>
    </row>
    <row r="247" spans="1:124">
      <c r="A247">
        <f t="shared" si="189"/>
        <v>2019</v>
      </c>
      <c r="B247">
        <f t="shared" si="190"/>
        <v>6</v>
      </c>
      <c r="C247">
        <v>101.90000000000002</v>
      </c>
      <c r="D247">
        <v>17.400000000000002</v>
      </c>
      <c r="E247">
        <v>58.5</v>
      </c>
      <c r="F247">
        <v>34</v>
      </c>
      <c r="G247">
        <v>27.199999999999996</v>
      </c>
      <c r="H247">
        <v>62.7</v>
      </c>
      <c r="I247">
        <v>9.3000000000000007</v>
      </c>
      <c r="J247">
        <v>104.8</v>
      </c>
      <c r="K247">
        <v>2.8000000000000007</v>
      </c>
      <c r="L247">
        <v>158.29999999999998</v>
      </c>
      <c r="M247">
        <v>0</v>
      </c>
      <c r="N247">
        <v>215.5</v>
      </c>
      <c r="O247">
        <v>0</v>
      </c>
      <c r="P247">
        <v>275.50000000000006</v>
      </c>
      <c r="Q247">
        <v>17.183333333333337</v>
      </c>
      <c r="DP247" s="6">
        <f>'Monthly Data'!F91</f>
        <v>20767283.622478835</v>
      </c>
      <c r="DQ247" s="6">
        <f>'Monthly Data'!J91</f>
        <v>8152023.1381623745</v>
      </c>
      <c r="DR247" s="6">
        <f>'Monthly Data'!N91</f>
        <v>17985271.596546713</v>
      </c>
      <c r="DS247" s="6">
        <f>'Monthly Data'!S91</f>
        <v>10143892.84824124</v>
      </c>
      <c r="DT247" s="6">
        <f>'Monthly Data'!X91</f>
        <v>24746862.423947453</v>
      </c>
    </row>
    <row r="248" spans="1:124">
      <c r="A248">
        <f t="shared" si="189"/>
        <v>2019</v>
      </c>
      <c r="B248">
        <f t="shared" si="190"/>
        <v>7</v>
      </c>
      <c r="C248">
        <v>9.1999999999999993</v>
      </c>
      <c r="D248">
        <v>89.899999999999991</v>
      </c>
      <c r="E248">
        <v>1.3999999999999986</v>
      </c>
      <c r="F248">
        <v>144.10000000000002</v>
      </c>
      <c r="G248">
        <v>0</v>
      </c>
      <c r="H248">
        <v>204.70000000000002</v>
      </c>
      <c r="I248">
        <v>0</v>
      </c>
      <c r="J248">
        <v>266.70000000000005</v>
      </c>
      <c r="K248">
        <v>0</v>
      </c>
      <c r="L248">
        <v>328.70000000000005</v>
      </c>
      <c r="M248">
        <v>0</v>
      </c>
      <c r="N248">
        <v>390.70000000000005</v>
      </c>
      <c r="O248">
        <v>0</v>
      </c>
      <c r="P248">
        <v>452.70000000000005</v>
      </c>
      <c r="Q248">
        <v>22.603225806451611</v>
      </c>
      <c r="DP248" s="6">
        <f>'Monthly Data'!F92</f>
        <v>31342776.622478835</v>
      </c>
      <c r="DQ248" s="6">
        <f>'Monthly Data'!J92</f>
        <v>10489533.138162374</v>
      </c>
      <c r="DR248" s="6">
        <f>'Monthly Data'!N92</f>
        <v>21371687.413446713</v>
      </c>
      <c r="DS248" s="6">
        <f>'Monthly Data'!S92</f>
        <v>11027370.031341238</v>
      </c>
      <c r="DT248" s="6">
        <f>'Monthly Data'!X92</f>
        <v>25636772.423947453</v>
      </c>
    </row>
    <row r="249" spans="1:124">
      <c r="A249">
        <f t="shared" si="189"/>
        <v>2019</v>
      </c>
      <c r="B249">
        <f t="shared" si="190"/>
        <v>8</v>
      </c>
      <c r="C249">
        <v>23.400000000000002</v>
      </c>
      <c r="D249">
        <v>46.500000000000007</v>
      </c>
      <c r="E249">
        <v>5.3000000000000007</v>
      </c>
      <c r="F249">
        <v>90.399999999999991</v>
      </c>
      <c r="G249">
        <v>0</v>
      </c>
      <c r="H249">
        <v>147.10000000000002</v>
      </c>
      <c r="I249">
        <v>0</v>
      </c>
      <c r="J249">
        <v>209.09999999999997</v>
      </c>
      <c r="K249">
        <v>0</v>
      </c>
      <c r="L249">
        <v>271.09999999999997</v>
      </c>
      <c r="M249">
        <v>0</v>
      </c>
      <c r="N249">
        <v>333.09999999999991</v>
      </c>
      <c r="O249">
        <v>0</v>
      </c>
      <c r="P249">
        <v>395.09999999999991</v>
      </c>
      <c r="Q249">
        <v>20.745161290322581</v>
      </c>
      <c r="DP249" s="6">
        <f>'Monthly Data'!F93</f>
        <v>27700006.622478835</v>
      </c>
      <c r="DQ249" s="6">
        <f>'Monthly Data'!J93</f>
        <v>9622269.1381623745</v>
      </c>
      <c r="DR249" s="6">
        <f>'Monthly Data'!N93</f>
        <v>20692910.106446713</v>
      </c>
      <c r="DS249" s="6">
        <f>'Monthly Data'!S93</f>
        <v>11094807.338341238</v>
      </c>
      <c r="DT249" s="6">
        <f>'Monthly Data'!X93</f>
        <v>25778018.423947453</v>
      </c>
    </row>
    <row r="250" spans="1:124">
      <c r="A250">
        <f t="shared" si="189"/>
        <v>2019</v>
      </c>
      <c r="B250">
        <f t="shared" si="190"/>
        <v>9</v>
      </c>
      <c r="C250">
        <v>69.900000000000006</v>
      </c>
      <c r="D250">
        <v>15.600000000000005</v>
      </c>
      <c r="E250">
        <v>32.6</v>
      </c>
      <c r="F250">
        <v>38.300000000000004</v>
      </c>
      <c r="G250">
        <v>10.099999999999998</v>
      </c>
      <c r="H250">
        <v>75.799999999999983</v>
      </c>
      <c r="I250">
        <v>0.59999999999999964</v>
      </c>
      <c r="J250">
        <v>126.30000000000001</v>
      </c>
      <c r="K250">
        <v>0</v>
      </c>
      <c r="L250">
        <v>185.70000000000005</v>
      </c>
      <c r="M250">
        <v>0</v>
      </c>
      <c r="N250">
        <v>245.70000000000002</v>
      </c>
      <c r="O250">
        <v>0</v>
      </c>
      <c r="P250">
        <v>305.70000000000005</v>
      </c>
      <c r="Q250">
        <v>18.189999999999998</v>
      </c>
      <c r="DP250" s="6">
        <f>'Monthly Data'!F94</f>
        <v>21219806.622478835</v>
      </c>
      <c r="DQ250" s="6">
        <f>'Monthly Data'!J94</f>
        <v>8273598.1381623745</v>
      </c>
      <c r="DR250" s="6">
        <f>'Monthly Data'!N94</f>
        <v>18943818.919546712</v>
      </c>
      <c r="DS250" s="6">
        <f>'Monthly Data'!S94</f>
        <v>10437974.525241239</v>
      </c>
      <c r="DT250" s="6">
        <f>'Monthly Data'!X94</f>
        <v>20459553.423947453</v>
      </c>
    </row>
    <row r="251" spans="1:124">
      <c r="A251">
        <f t="shared" si="189"/>
        <v>2019</v>
      </c>
      <c r="B251">
        <f t="shared" si="190"/>
        <v>10</v>
      </c>
      <c r="C251">
        <v>293.8</v>
      </c>
      <c r="D251">
        <v>2.1999999999999993</v>
      </c>
      <c r="E251">
        <v>233.80000000000007</v>
      </c>
      <c r="F251">
        <v>4.1999999999999993</v>
      </c>
      <c r="G251">
        <v>174.10000000000005</v>
      </c>
      <c r="H251">
        <v>6.5</v>
      </c>
      <c r="I251">
        <v>118.5</v>
      </c>
      <c r="J251">
        <v>12.9</v>
      </c>
      <c r="K251">
        <v>71.3</v>
      </c>
      <c r="L251">
        <v>27.7</v>
      </c>
      <c r="M251">
        <v>36.200000000000003</v>
      </c>
      <c r="N251">
        <v>54.600000000000016</v>
      </c>
      <c r="O251">
        <v>14</v>
      </c>
      <c r="P251">
        <v>94.4</v>
      </c>
      <c r="Q251">
        <v>10.593548387096773</v>
      </c>
      <c r="DP251" s="6">
        <f>'Monthly Data'!F95</f>
        <v>18904138.622478835</v>
      </c>
      <c r="DQ251" s="6">
        <f>'Monthly Data'!J95</f>
        <v>7800425.1381623745</v>
      </c>
      <c r="DR251" s="6">
        <f>'Monthly Data'!N95</f>
        <v>18584373.277746715</v>
      </c>
      <c r="DS251" s="6">
        <f>'Monthly Data'!S95</f>
        <v>9493542.1670412384</v>
      </c>
      <c r="DT251" s="6">
        <f>'Monthly Data'!X95</f>
        <v>21248121.423947453</v>
      </c>
    </row>
    <row r="252" spans="1:124">
      <c r="A252">
        <f t="shared" si="189"/>
        <v>2019</v>
      </c>
      <c r="B252">
        <f t="shared" si="190"/>
        <v>11</v>
      </c>
      <c r="C252">
        <v>563</v>
      </c>
      <c r="D252">
        <v>0</v>
      </c>
      <c r="E252">
        <v>503</v>
      </c>
      <c r="F252">
        <v>0</v>
      </c>
      <c r="G252">
        <v>442.99999999999994</v>
      </c>
      <c r="H252">
        <v>0</v>
      </c>
      <c r="I252">
        <v>383</v>
      </c>
      <c r="J252">
        <v>0</v>
      </c>
      <c r="K252">
        <v>323</v>
      </c>
      <c r="L252">
        <v>0</v>
      </c>
      <c r="M252">
        <v>262.99999999999994</v>
      </c>
      <c r="N252">
        <v>0</v>
      </c>
      <c r="O252">
        <v>203.19999999999996</v>
      </c>
      <c r="P252">
        <v>0.19999999999999929</v>
      </c>
      <c r="Q252">
        <v>1.2333333333333334</v>
      </c>
      <c r="DP252" s="6">
        <f>'Monthly Data'!F96</f>
        <v>20808997.622478835</v>
      </c>
      <c r="DQ252" s="6">
        <f>'Monthly Data'!J96</f>
        <v>8616007.1381623745</v>
      </c>
      <c r="DR252" s="6">
        <f>'Monthly Data'!N96</f>
        <v>19294942.186846711</v>
      </c>
      <c r="DS252" s="6">
        <f>'Monthly Data'!S96</f>
        <v>10128962.257941239</v>
      </c>
      <c r="DT252" s="6">
        <f>'Monthly Data'!X96</f>
        <v>22378411.423947453</v>
      </c>
    </row>
    <row r="253" spans="1:124">
      <c r="A253">
        <f t="shared" si="189"/>
        <v>2019</v>
      </c>
      <c r="B253">
        <f t="shared" si="190"/>
        <v>12</v>
      </c>
      <c r="C253">
        <v>595.1</v>
      </c>
      <c r="D253">
        <v>0</v>
      </c>
      <c r="E253">
        <v>533.1</v>
      </c>
      <c r="F253">
        <v>0</v>
      </c>
      <c r="G253">
        <v>471.1</v>
      </c>
      <c r="H253">
        <v>0</v>
      </c>
      <c r="I253">
        <v>409.1</v>
      </c>
      <c r="J253">
        <v>0</v>
      </c>
      <c r="K253">
        <v>347.1</v>
      </c>
      <c r="L253">
        <v>0</v>
      </c>
      <c r="M253">
        <v>285.09999999999997</v>
      </c>
      <c r="N253">
        <v>0</v>
      </c>
      <c r="O253">
        <v>223.5</v>
      </c>
      <c r="P253">
        <v>0.40000000000000036</v>
      </c>
      <c r="Q253">
        <v>0.80322580645161301</v>
      </c>
      <c r="DP253" s="6">
        <f>'Monthly Data'!F97</f>
        <v>22994714.622478835</v>
      </c>
      <c r="DQ253" s="6">
        <f>'Monthly Data'!J97</f>
        <v>9248236.1381623745</v>
      </c>
      <c r="DR253" s="6">
        <f>'Monthly Data'!N97</f>
        <v>19752493.354446713</v>
      </c>
      <c r="DS253" s="6">
        <f>'Monthly Data'!S97</f>
        <v>9547978.0903412383</v>
      </c>
      <c r="DT253" s="6">
        <f>'Monthly Data'!X97</f>
        <v>24769462.423947453</v>
      </c>
    </row>
    <row r="254" spans="1:124">
      <c r="A254">
        <v>2020</v>
      </c>
      <c r="B254">
        <v>1</v>
      </c>
      <c r="C254">
        <v>622.30000000000007</v>
      </c>
      <c r="D254">
        <v>0</v>
      </c>
      <c r="E254">
        <v>560.30000000000007</v>
      </c>
      <c r="F254">
        <v>0</v>
      </c>
      <c r="G254">
        <v>498.29999999999995</v>
      </c>
      <c r="H254">
        <v>0</v>
      </c>
      <c r="I254">
        <v>436.29999999999995</v>
      </c>
      <c r="J254">
        <v>0</v>
      </c>
      <c r="K254">
        <v>374.29999999999995</v>
      </c>
      <c r="L254">
        <v>0</v>
      </c>
      <c r="M254">
        <v>312.29999999999995</v>
      </c>
      <c r="N254">
        <v>0</v>
      </c>
      <c r="O254">
        <v>250.29999999999995</v>
      </c>
      <c r="P254">
        <v>0</v>
      </c>
      <c r="Q254" s="7">
        <v>-7.4193548387096714E-2</v>
      </c>
      <c r="DP254" s="6">
        <f>'Monthly Data'!F98</f>
        <v>22586037.165346839</v>
      </c>
      <c r="DQ254" s="6">
        <f>'Monthly Data'!J98</f>
        <v>9374978.422756426</v>
      </c>
      <c r="DR254" s="6">
        <f>'Monthly Data'!N98</f>
        <v>21003002.009531625</v>
      </c>
      <c r="DS254" s="6">
        <f>'Monthly Data'!S98</f>
        <v>9921631.7113578096</v>
      </c>
      <c r="DT254" s="6">
        <f>'Monthly Data'!X98</f>
        <v>25112841.168255385</v>
      </c>
    </row>
    <row r="255" spans="1:124">
      <c r="A255">
        <v>2020</v>
      </c>
      <c r="B255">
        <v>2</v>
      </c>
      <c r="C255">
        <v>642.40000000000009</v>
      </c>
      <c r="D255">
        <v>0</v>
      </c>
      <c r="E255">
        <v>584.40000000000009</v>
      </c>
      <c r="F255">
        <v>0</v>
      </c>
      <c r="G255">
        <v>526.40000000000009</v>
      </c>
      <c r="H255">
        <v>0</v>
      </c>
      <c r="I255">
        <v>468.4</v>
      </c>
      <c r="J255">
        <v>0</v>
      </c>
      <c r="K255">
        <v>410.4</v>
      </c>
      <c r="L255">
        <v>0</v>
      </c>
      <c r="M255">
        <v>352.39999999999992</v>
      </c>
      <c r="N255">
        <v>0</v>
      </c>
      <c r="O255">
        <v>294.40000000000003</v>
      </c>
      <c r="P255">
        <v>0</v>
      </c>
      <c r="Q255" s="7">
        <v>-2.1517241379310343</v>
      </c>
      <c r="DP255" s="6">
        <f>'Monthly Data'!F99</f>
        <v>21191611.165346839</v>
      </c>
      <c r="DQ255" s="6">
        <f>'Monthly Data'!J99</f>
        <v>8821961.5697564259</v>
      </c>
      <c r="DR255" s="6">
        <f>'Monthly Data'!N99</f>
        <v>20078372.746231623</v>
      </c>
      <c r="DS255" s="6">
        <f>'Monthly Data'!S99</f>
        <v>9277118.9465578087</v>
      </c>
      <c r="DT255" s="6">
        <f>'Monthly Data'!X99</f>
        <v>23530244.275455382</v>
      </c>
    </row>
    <row r="256" spans="1:124">
      <c r="A256">
        <v>2020</v>
      </c>
      <c r="B256">
        <v>3</v>
      </c>
      <c r="C256">
        <v>517.70000000000005</v>
      </c>
      <c r="D256">
        <v>0</v>
      </c>
      <c r="E256">
        <v>455.7000000000001</v>
      </c>
      <c r="F256">
        <v>0</v>
      </c>
      <c r="G256">
        <v>393.70000000000005</v>
      </c>
      <c r="H256">
        <v>0</v>
      </c>
      <c r="I256">
        <v>331.70000000000005</v>
      </c>
      <c r="J256">
        <v>0</v>
      </c>
      <c r="K256">
        <v>270.60000000000002</v>
      </c>
      <c r="L256">
        <v>0.90000000000000036</v>
      </c>
      <c r="M256">
        <v>211.29999999999998</v>
      </c>
      <c r="N256">
        <v>3.5999999999999996</v>
      </c>
      <c r="O256">
        <v>153.29999999999998</v>
      </c>
      <c r="P256">
        <v>7.6</v>
      </c>
      <c r="Q256" s="7">
        <v>3.3000000000000003</v>
      </c>
      <c r="DP256" s="6">
        <f>'Monthly Data'!F100</f>
        <v>21271519.165346839</v>
      </c>
      <c r="DQ256" s="6">
        <f>'Monthly Data'!J100</f>
        <v>8206844.4992564246</v>
      </c>
      <c r="DR256" s="6">
        <f>'Monthly Data'!N100</f>
        <v>19033212.631531626</v>
      </c>
      <c r="DS256" s="6">
        <f>'Monthly Data'!S100</f>
        <v>9069482.4465578087</v>
      </c>
      <c r="DT256" s="6">
        <f>'Monthly Data'!X100</f>
        <v>24237469.844340388</v>
      </c>
    </row>
    <row r="257" spans="1:124">
      <c r="A257">
        <v>2020</v>
      </c>
      <c r="B257">
        <v>4</v>
      </c>
      <c r="C257">
        <v>436.59999999999997</v>
      </c>
      <c r="D257">
        <v>0</v>
      </c>
      <c r="E257">
        <v>376.6</v>
      </c>
      <c r="F257">
        <v>0</v>
      </c>
      <c r="G257">
        <v>316.60000000000002</v>
      </c>
      <c r="H257">
        <v>0</v>
      </c>
      <c r="I257">
        <v>257.10000000000008</v>
      </c>
      <c r="J257">
        <v>0.5</v>
      </c>
      <c r="K257">
        <v>201.10000000000005</v>
      </c>
      <c r="L257">
        <v>4.5</v>
      </c>
      <c r="M257">
        <v>146.90000000000006</v>
      </c>
      <c r="N257">
        <v>10.3</v>
      </c>
      <c r="O257">
        <v>96.499999999999986</v>
      </c>
      <c r="P257">
        <v>19.899999999999999</v>
      </c>
      <c r="Q257" s="7">
        <v>5.4466666666666672</v>
      </c>
      <c r="DP257" s="6">
        <f>'Monthly Data'!F101</f>
        <v>20194288.165346839</v>
      </c>
      <c r="DQ257" s="6">
        <f>'Monthly Data'!J101</f>
        <v>6776050.0758564249</v>
      </c>
      <c r="DR257" s="6">
        <f>'Monthly Data'!N101</f>
        <v>16146825.079031626</v>
      </c>
      <c r="DS257" s="6">
        <f>'Monthly Data'!S101</f>
        <v>6993046.1341578094</v>
      </c>
      <c r="DT257" s="6">
        <f>'Monthly Data'!X101</f>
        <v>22307801.542102885</v>
      </c>
    </row>
    <row r="258" spans="1:124">
      <c r="A258">
        <v>2020</v>
      </c>
      <c r="B258">
        <v>5</v>
      </c>
      <c r="C258">
        <v>263.60000000000002</v>
      </c>
      <c r="D258">
        <v>17.7</v>
      </c>
      <c r="E258">
        <v>212.40000000000003</v>
      </c>
      <c r="F258">
        <v>28.5</v>
      </c>
      <c r="G258">
        <v>164.40000000000003</v>
      </c>
      <c r="H258">
        <v>42.5</v>
      </c>
      <c r="I258">
        <v>121.30000000000003</v>
      </c>
      <c r="J258">
        <v>61.4</v>
      </c>
      <c r="K258">
        <v>87.800000000000026</v>
      </c>
      <c r="L258">
        <v>89.899999999999991</v>
      </c>
      <c r="M258">
        <v>59.899999999999991</v>
      </c>
      <c r="N258">
        <v>124.00000000000001</v>
      </c>
      <c r="O258">
        <v>36.099999999999994</v>
      </c>
      <c r="P258">
        <v>162.19999999999999</v>
      </c>
      <c r="Q258" s="7">
        <v>12.067741935483872</v>
      </c>
      <c r="DP258" s="6">
        <f>'Monthly Data'!F102</f>
        <v>22093692.165346839</v>
      </c>
      <c r="DQ258" s="6">
        <f>'Monthly Data'!J102</f>
        <v>6981050.1180564258</v>
      </c>
      <c r="DR258" s="6">
        <f>'Monthly Data'!N102</f>
        <v>16737509.729731625</v>
      </c>
      <c r="DS258" s="6">
        <f>'Monthly Data'!S102</f>
        <v>7888313.4887578087</v>
      </c>
      <c r="DT258" s="6">
        <f>'Monthly Data'!X102</f>
        <v>24839479.831875384</v>
      </c>
    </row>
    <row r="259" spans="1:124">
      <c r="A259">
        <v>2020</v>
      </c>
      <c r="B259">
        <v>6</v>
      </c>
      <c r="C259">
        <v>59.5</v>
      </c>
      <c r="D259">
        <v>34.399999999999991</v>
      </c>
      <c r="E259">
        <v>33.4</v>
      </c>
      <c r="F259">
        <v>68.3</v>
      </c>
      <c r="G259">
        <v>16.099999999999998</v>
      </c>
      <c r="H259">
        <v>111.00000000000001</v>
      </c>
      <c r="I259">
        <v>6.7999999999999989</v>
      </c>
      <c r="J259">
        <v>161.70000000000002</v>
      </c>
      <c r="K259">
        <v>0.19999999999999929</v>
      </c>
      <c r="L259">
        <v>215.10000000000002</v>
      </c>
      <c r="M259">
        <v>0</v>
      </c>
      <c r="N259">
        <v>274.89999999999998</v>
      </c>
      <c r="O259">
        <v>0</v>
      </c>
      <c r="P259">
        <v>334.90000000000003</v>
      </c>
      <c r="Q259" s="7">
        <v>19.163333333333334</v>
      </c>
      <c r="DP259" s="6">
        <f>'Monthly Data'!F103</f>
        <v>26755921.165346839</v>
      </c>
      <c r="DQ259" s="6">
        <f>'Monthly Data'!J103</f>
        <v>7938603.4933564244</v>
      </c>
      <c r="DR259" s="6">
        <f>'Monthly Data'!N103</f>
        <v>18080324.839931626</v>
      </c>
      <c r="DS259" s="6">
        <f>'Monthly Data'!S103</f>
        <v>9866092.8563578092</v>
      </c>
      <c r="DT259" s="6">
        <f>'Monthly Data'!X103</f>
        <v>21345473.819647886</v>
      </c>
    </row>
    <row r="260" spans="1:124">
      <c r="A260">
        <v>2020</v>
      </c>
      <c r="B260">
        <v>7</v>
      </c>
      <c r="C260">
        <v>1.3000000000000007</v>
      </c>
      <c r="D260">
        <v>98.4</v>
      </c>
      <c r="E260">
        <v>0</v>
      </c>
      <c r="F260">
        <v>159.09999999999997</v>
      </c>
      <c r="G260">
        <v>0</v>
      </c>
      <c r="H260">
        <v>221.09999999999994</v>
      </c>
      <c r="I260">
        <v>0</v>
      </c>
      <c r="J260">
        <v>283.09999999999997</v>
      </c>
      <c r="K260">
        <v>0</v>
      </c>
      <c r="L260">
        <v>345.09999999999997</v>
      </c>
      <c r="M260">
        <v>0</v>
      </c>
      <c r="N260">
        <v>407.09999999999991</v>
      </c>
      <c r="O260">
        <v>0</v>
      </c>
      <c r="P260">
        <v>469.09999999999985</v>
      </c>
      <c r="Q260" s="7">
        <v>23.132258064516133</v>
      </c>
      <c r="DP260" s="6">
        <f>'Monthly Data'!F104</f>
        <v>35902228.165346839</v>
      </c>
      <c r="DQ260" s="6">
        <f>'Monthly Data'!J104</f>
        <v>9807070.2790564243</v>
      </c>
      <c r="DR260" s="6">
        <f>'Monthly Data'!N104</f>
        <v>20778017.208231624</v>
      </c>
      <c r="DS260" s="6">
        <f>'Monthly Data'!S104</f>
        <v>10920252.898157809</v>
      </c>
      <c r="DT260" s="6">
        <f>'Monthly Data'!X104</f>
        <v>24662140.072822884</v>
      </c>
    </row>
    <row r="261" spans="1:124">
      <c r="A261">
        <v>2020</v>
      </c>
      <c r="B261">
        <v>8</v>
      </c>
      <c r="C261">
        <v>16.899999999999999</v>
      </c>
      <c r="D261">
        <v>41.9</v>
      </c>
      <c r="E261">
        <v>2.3999999999999986</v>
      </c>
      <c r="F261">
        <v>89.4</v>
      </c>
      <c r="G261">
        <v>0</v>
      </c>
      <c r="H261">
        <v>149</v>
      </c>
      <c r="I261">
        <v>0</v>
      </c>
      <c r="J261">
        <v>211.00000000000003</v>
      </c>
      <c r="K261">
        <v>0</v>
      </c>
      <c r="L261">
        <v>273.00000000000006</v>
      </c>
      <c r="M261">
        <v>0</v>
      </c>
      <c r="N261">
        <v>335</v>
      </c>
      <c r="O261">
        <v>0</v>
      </c>
      <c r="P261">
        <v>397</v>
      </c>
      <c r="Q261" s="7">
        <v>20.806451612903221</v>
      </c>
      <c r="DP261" s="6">
        <f>'Monthly Data'!F105</f>
        <v>30894493.165346839</v>
      </c>
      <c r="DQ261" s="6">
        <f>'Monthly Data'!J105</f>
        <v>9120086.2182564251</v>
      </c>
      <c r="DR261" s="6">
        <f>'Monthly Data'!N105</f>
        <v>19812423.801231623</v>
      </c>
      <c r="DS261" s="6">
        <f>'Monthly Data'!S105</f>
        <v>11090449.078957809</v>
      </c>
      <c r="DT261" s="6">
        <f>'Monthly Data'!X105</f>
        <v>23715674.524882883</v>
      </c>
    </row>
    <row r="262" spans="1:124">
      <c r="A262">
        <v>2020</v>
      </c>
      <c r="B262">
        <v>9</v>
      </c>
      <c r="C262">
        <v>127.69999999999999</v>
      </c>
      <c r="D262">
        <v>5.6000000000000014</v>
      </c>
      <c r="E262">
        <v>83.399999999999991</v>
      </c>
      <c r="F262">
        <v>21.3</v>
      </c>
      <c r="G262">
        <v>47.600000000000009</v>
      </c>
      <c r="H262">
        <v>45.5</v>
      </c>
      <c r="I262">
        <v>21.7</v>
      </c>
      <c r="J262">
        <v>79.600000000000009</v>
      </c>
      <c r="K262">
        <v>7.1</v>
      </c>
      <c r="L262">
        <v>125.00000000000001</v>
      </c>
      <c r="M262">
        <v>3.0999999999999996</v>
      </c>
      <c r="N262">
        <v>181</v>
      </c>
      <c r="O262">
        <v>9.9999999999999645E-2</v>
      </c>
      <c r="P262">
        <v>238.00000000000003</v>
      </c>
      <c r="Q262" s="7">
        <v>15.929999999999998</v>
      </c>
      <c r="DP262" s="6">
        <f>'Monthly Data'!F106</f>
        <v>21056188.165346839</v>
      </c>
      <c r="DQ262" s="6">
        <f>'Monthly Data'!J106</f>
        <v>7766243.024256425</v>
      </c>
      <c r="DR262" s="6">
        <f>'Monthly Data'!N106</f>
        <v>17720405.453531627</v>
      </c>
      <c r="DS262" s="6">
        <f>'Monthly Data'!S106</f>
        <v>10920681.765957808</v>
      </c>
      <c r="DT262" s="6">
        <f>'Monthly Data'!X106</f>
        <v>23843500.865970384</v>
      </c>
    </row>
    <row r="263" spans="1:124">
      <c r="A263">
        <v>2020</v>
      </c>
      <c r="B263">
        <v>10</v>
      </c>
      <c r="C263">
        <v>319.8</v>
      </c>
      <c r="D263">
        <v>0</v>
      </c>
      <c r="E263">
        <v>257.8</v>
      </c>
      <c r="F263">
        <v>0</v>
      </c>
      <c r="G263">
        <v>196.4</v>
      </c>
      <c r="H263">
        <v>0.60000000000000142</v>
      </c>
      <c r="I263">
        <v>139.79999999999998</v>
      </c>
      <c r="J263">
        <v>6.0000000000000018</v>
      </c>
      <c r="K263">
        <v>90.1</v>
      </c>
      <c r="L263">
        <v>18.300000000000004</v>
      </c>
      <c r="M263">
        <v>54.2</v>
      </c>
      <c r="N263">
        <v>44.400000000000006</v>
      </c>
      <c r="O263">
        <v>27.5</v>
      </c>
      <c r="P263">
        <v>79.700000000000017</v>
      </c>
      <c r="Q263" s="7">
        <v>9.6838709677419335</v>
      </c>
      <c r="DP263" s="6">
        <f>'Monthly Data'!F107</f>
        <v>19613548.165346839</v>
      </c>
      <c r="DQ263" s="6">
        <f>'Monthly Data'!J107</f>
        <v>7704166.380056425</v>
      </c>
      <c r="DR263" s="6">
        <f>'Monthly Data'!N107</f>
        <v>17763399.932731625</v>
      </c>
      <c r="DS263" s="6">
        <f>'Monthly Data'!S107</f>
        <v>9775097.1195578109</v>
      </c>
      <c r="DT263" s="6">
        <f>'Monthly Data'!X107</f>
        <v>22110624.798630383</v>
      </c>
    </row>
    <row r="264" spans="1:124">
      <c r="A264">
        <v>2020</v>
      </c>
      <c r="B264">
        <v>11</v>
      </c>
      <c r="C264">
        <v>386.19999999999993</v>
      </c>
      <c r="D264">
        <v>0</v>
      </c>
      <c r="E264">
        <v>326.99999999999994</v>
      </c>
      <c r="F264">
        <v>0.80000000000000071</v>
      </c>
      <c r="G264">
        <v>269.60000000000002</v>
      </c>
      <c r="H264">
        <v>3.4000000000000021</v>
      </c>
      <c r="I264">
        <v>213.70000000000002</v>
      </c>
      <c r="J264">
        <v>7.5000000000000018</v>
      </c>
      <c r="K264">
        <v>164.70000000000002</v>
      </c>
      <c r="L264">
        <v>18.5</v>
      </c>
      <c r="M264">
        <v>121.00000000000001</v>
      </c>
      <c r="N264">
        <v>34.800000000000004</v>
      </c>
      <c r="O264">
        <v>82.8</v>
      </c>
      <c r="P264">
        <v>56.600000000000009</v>
      </c>
      <c r="Q264" s="7">
        <v>7.126666666666666</v>
      </c>
      <c r="DP264" s="6">
        <f>'Monthly Data'!F108</f>
        <v>20096630.165346839</v>
      </c>
      <c r="DQ264" s="6">
        <f>'Monthly Data'!J108</f>
        <v>8129284.6763564246</v>
      </c>
      <c r="DR264" s="6">
        <f>'Monthly Data'!N108</f>
        <v>18001281.908531625</v>
      </c>
      <c r="DS264" s="6">
        <f>'Monthly Data'!S108</f>
        <v>10268568.615157809</v>
      </c>
      <c r="DT264" s="6">
        <f>'Monthly Data'!X108</f>
        <v>23353852.546837885</v>
      </c>
    </row>
    <row r="265" spans="1:124">
      <c r="A265">
        <v>2020</v>
      </c>
      <c r="B265">
        <v>12</v>
      </c>
      <c r="C265">
        <v>607.40000000000009</v>
      </c>
      <c r="D265">
        <v>0</v>
      </c>
      <c r="E265">
        <v>545.4</v>
      </c>
      <c r="F265">
        <v>0</v>
      </c>
      <c r="G265">
        <v>483.40000000000003</v>
      </c>
      <c r="H265">
        <v>0</v>
      </c>
      <c r="I265">
        <v>421.4</v>
      </c>
      <c r="J265">
        <v>0</v>
      </c>
      <c r="K265">
        <v>359.4</v>
      </c>
      <c r="L265">
        <v>0</v>
      </c>
      <c r="M265">
        <v>297.39999999999998</v>
      </c>
      <c r="N265">
        <v>0</v>
      </c>
      <c r="O265">
        <v>235.39999999999995</v>
      </c>
      <c r="P265">
        <v>0</v>
      </c>
      <c r="Q265" s="7">
        <v>0.40645161290322557</v>
      </c>
      <c r="DP265" s="6">
        <f>'Monthly Data'!F109</f>
        <v>24485595.165346839</v>
      </c>
      <c r="DQ265" s="6">
        <f>'Monthly Data'!J109</f>
        <v>9024138.0849564262</v>
      </c>
      <c r="DR265" s="6">
        <f>'Monthly Data'!N109</f>
        <v>19211884.231731623</v>
      </c>
      <c r="DS265" s="6">
        <f>'Monthly Data'!S109</f>
        <v>9963288.0091578104</v>
      </c>
      <c r="DT265" s="6">
        <f>'Monthly Data'!X109</f>
        <v>23265923.573287886</v>
      </c>
    </row>
    <row r="266" spans="1:124">
      <c r="A266">
        <v>2021</v>
      </c>
      <c r="B266">
        <v>1</v>
      </c>
      <c r="C266">
        <v>679.19999999999982</v>
      </c>
      <c r="D266">
        <v>0</v>
      </c>
      <c r="E266">
        <v>617.19999999999982</v>
      </c>
      <c r="F266">
        <v>0</v>
      </c>
      <c r="G266">
        <v>555.19999999999993</v>
      </c>
      <c r="H266">
        <v>0</v>
      </c>
      <c r="I266">
        <v>493.19999999999993</v>
      </c>
      <c r="J266">
        <v>0</v>
      </c>
      <c r="K266">
        <v>431.2</v>
      </c>
      <c r="L266">
        <v>0</v>
      </c>
      <c r="M266">
        <v>369.2</v>
      </c>
      <c r="N266">
        <v>0</v>
      </c>
      <c r="O266">
        <v>307.2</v>
      </c>
      <c r="P266">
        <v>0</v>
      </c>
      <c r="Q266" s="7">
        <v>-1.9096774193548387</v>
      </c>
      <c r="DP266" s="6">
        <f>'Monthly Data'!F110</f>
        <v>24559547.349920601</v>
      </c>
      <c r="DQ266" s="6">
        <f>'Monthly Data'!J110</f>
        <v>8980228.7675743923</v>
      </c>
      <c r="DR266" s="6">
        <f>'Monthly Data'!N110</f>
        <v>19429062.246832542</v>
      </c>
      <c r="DS266" s="6">
        <f>'Monthly Data'!S110</f>
        <v>10258419.893261282</v>
      </c>
      <c r="DT266" s="6">
        <f>'Monthly Data'!X110</f>
        <v>25384653.183847848</v>
      </c>
    </row>
    <row r="267" spans="1:124">
      <c r="A267">
        <v>2021</v>
      </c>
      <c r="B267">
        <v>2</v>
      </c>
      <c r="C267">
        <v>713.6</v>
      </c>
      <c r="D267">
        <v>0</v>
      </c>
      <c r="E267">
        <v>657.59999999999991</v>
      </c>
      <c r="F267">
        <v>0</v>
      </c>
      <c r="G267">
        <v>601.59999999999991</v>
      </c>
      <c r="H267">
        <v>0</v>
      </c>
      <c r="I267">
        <v>545.5999999999998</v>
      </c>
      <c r="J267">
        <v>0</v>
      </c>
      <c r="K267">
        <v>489.59999999999991</v>
      </c>
      <c r="L267">
        <v>0</v>
      </c>
      <c r="M267">
        <v>433.59999999999991</v>
      </c>
      <c r="N267">
        <v>0</v>
      </c>
      <c r="O267">
        <v>377.59999999999997</v>
      </c>
      <c r="P267">
        <v>0</v>
      </c>
      <c r="Q267" s="7">
        <v>-5.4857142857142867</v>
      </c>
      <c r="DP267" s="6">
        <f>'Monthly Data'!F111</f>
        <v>22858652.194690637</v>
      </c>
      <c r="DQ267" s="6">
        <f>'Monthly Data'!J111</f>
        <v>8656506.8509763945</v>
      </c>
      <c r="DR267" s="6">
        <f>'Monthly Data'!N111</f>
        <v>18800724.077532545</v>
      </c>
      <c r="DS267" s="6">
        <f>'Monthly Data'!S111</f>
        <v>9618403.2892612815</v>
      </c>
      <c r="DT267" s="6">
        <f>'Monthly Data'!X111</f>
        <v>21328249.620217849</v>
      </c>
    </row>
    <row r="268" spans="1:124">
      <c r="A268">
        <v>2021</v>
      </c>
      <c r="B268">
        <v>3</v>
      </c>
      <c r="C268">
        <v>492.5</v>
      </c>
      <c r="D268">
        <v>0</v>
      </c>
      <c r="E268">
        <v>430.5</v>
      </c>
      <c r="F268">
        <v>0</v>
      </c>
      <c r="G268">
        <v>368.7</v>
      </c>
      <c r="H268">
        <v>0.19999999999999929</v>
      </c>
      <c r="I268">
        <v>308.70000000000005</v>
      </c>
      <c r="J268">
        <v>2.1999999999999993</v>
      </c>
      <c r="K268">
        <v>250.30000000000004</v>
      </c>
      <c r="L268">
        <v>5.7999999999999989</v>
      </c>
      <c r="M268">
        <v>198.4</v>
      </c>
      <c r="N268">
        <v>15.899999999999997</v>
      </c>
      <c r="O268">
        <v>150.4</v>
      </c>
      <c r="P268">
        <v>29.9</v>
      </c>
      <c r="Q268" s="7">
        <v>4.112903225806452</v>
      </c>
      <c r="DP268" s="6">
        <f>'Monthly Data'!F112</f>
        <v>21250098.411898531</v>
      </c>
      <c r="DQ268" s="6">
        <f>'Monthly Data'!J112</f>
        <v>8547610.3388163969</v>
      </c>
      <c r="DR268" s="6">
        <f>'Monthly Data'!N112</f>
        <v>18732854.230432551</v>
      </c>
      <c r="DS268" s="6">
        <f>'Monthly Data'!S112</f>
        <v>10859846.942061283</v>
      </c>
      <c r="DT268" s="6">
        <f>'Monthly Data'!X112</f>
        <v>23404918.120717846</v>
      </c>
    </row>
    <row r="269" spans="1:124">
      <c r="A269">
        <v>2021</v>
      </c>
      <c r="B269">
        <v>4</v>
      </c>
      <c r="C269">
        <v>338.09999999999991</v>
      </c>
      <c r="D269">
        <v>0</v>
      </c>
      <c r="E269">
        <v>279.7</v>
      </c>
      <c r="F269">
        <v>1.6000000000000014</v>
      </c>
      <c r="G269">
        <v>223.69999999999996</v>
      </c>
      <c r="H269">
        <v>5.6000000000000014</v>
      </c>
      <c r="I269">
        <v>174.19999999999996</v>
      </c>
      <c r="J269">
        <v>16.100000000000001</v>
      </c>
      <c r="K269">
        <v>130.5</v>
      </c>
      <c r="L269">
        <v>32.400000000000006</v>
      </c>
      <c r="M269">
        <v>91.300000000000011</v>
      </c>
      <c r="N269">
        <v>53.2</v>
      </c>
      <c r="O269">
        <v>56.400000000000006</v>
      </c>
      <c r="P269">
        <v>78.3</v>
      </c>
      <c r="Q269" s="7">
        <v>8.73</v>
      </c>
      <c r="DP269" s="6">
        <f>'Monthly Data'!F113</f>
        <v>19327418.476259552</v>
      </c>
      <c r="DQ269" s="6">
        <f>'Monthly Data'!J113</f>
        <v>7437605.7805074044</v>
      </c>
      <c r="DR269" s="6">
        <f>'Monthly Data'!N113</f>
        <v>16690634.706432544</v>
      </c>
      <c r="DS269" s="6">
        <f>'Monthly Data'!S113</f>
        <v>10749494.304861283</v>
      </c>
      <c r="DT269" s="6">
        <f>'Monthly Data'!X113</f>
        <v>21679455.17684285</v>
      </c>
    </row>
    <row r="270" spans="1:124">
      <c r="A270">
        <v>2021</v>
      </c>
      <c r="B270">
        <v>5</v>
      </c>
      <c r="C270">
        <v>232.9</v>
      </c>
      <c r="D270">
        <v>14.100000000000001</v>
      </c>
      <c r="E270">
        <v>180.70000000000002</v>
      </c>
      <c r="F270">
        <v>23.900000000000002</v>
      </c>
      <c r="G270">
        <v>135.4</v>
      </c>
      <c r="H270">
        <v>40.6</v>
      </c>
      <c r="I270">
        <v>97</v>
      </c>
      <c r="J270">
        <v>64.2</v>
      </c>
      <c r="K270">
        <v>64.999999999999986</v>
      </c>
      <c r="L270">
        <v>94.2</v>
      </c>
      <c r="M270">
        <v>37.4</v>
      </c>
      <c r="N270">
        <v>128.6</v>
      </c>
      <c r="O270">
        <v>16.100000000000001</v>
      </c>
      <c r="P270">
        <v>169.29999999999998</v>
      </c>
      <c r="Q270" s="7">
        <v>12.941935483870967</v>
      </c>
      <c r="DP270" s="6">
        <f>'Monthly Data'!F114</f>
        <v>21731149.293650523</v>
      </c>
      <c r="DQ270" s="6">
        <f>'Monthly Data'!J114</f>
        <v>7624172.4321373999</v>
      </c>
      <c r="DR270" s="6">
        <f>'Monthly Data'!N114</f>
        <v>17249466.064732548</v>
      </c>
      <c r="DS270" s="6">
        <f>'Monthly Data'!S114</f>
        <v>11206373.627261283</v>
      </c>
      <c r="DT270" s="6">
        <f>'Monthly Data'!X114</f>
        <v>22608687.710880347</v>
      </c>
    </row>
    <row r="271" spans="1:124">
      <c r="A271">
        <v>2021</v>
      </c>
      <c r="B271">
        <v>6</v>
      </c>
      <c r="C271">
        <v>31.900000000000006</v>
      </c>
      <c r="D271">
        <v>61.600000000000009</v>
      </c>
      <c r="E271">
        <v>13.400000000000004</v>
      </c>
      <c r="F271">
        <v>103.10000000000001</v>
      </c>
      <c r="G271">
        <v>3.9000000000000004</v>
      </c>
      <c r="H271">
        <v>153.60000000000002</v>
      </c>
      <c r="I271">
        <v>0</v>
      </c>
      <c r="J271">
        <v>209.70000000000002</v>
      </c>
      <c r="K271">
        <v>0</v>
      </c>
      <c r="L271">
        <v>269.7</v>
      </c>
      <c r="M271">
        <v>0</v>
      </c>
      <c r="N271">
        <v>329.7</v>
      </c>
      <c r="O271">
        <v>0</v>
      </c>
      <c r="P271">
        <v>389.7</v>
      </c>
      <c r="Q271" s="7">
        <v>20.99</v>
      </c>
      <c r="DP271" s="6">
        <f>'Monthly Data'!F115</f>
        <v>28777429.346252467</v>
      </c>
      <c r="DQ271" s="6">
        <f>'Monthly Data'!J115</f>
        <v>8939305.3996103965</v>
      </c>
      <c r="DR271" s="6">
        <f>'Monthly Data'!N115</f>
        <v>18880616.946932543</v>
      </c>
      <c r="DS271" s="6">
        <f>'Monthly Data'!S115</f>
        <v>11333835.153261282</v>
      </c>
      <c r="DT271" s="6">
        <f>'Monthly Data'!X115</f>
        <v>21943041.639570348</v>
      </c>
    </row>
    <row r="272" spans="1:124">
      <c r="A272">
        <v>2021</v>
      </c>
      <c r="B272">
        <v>7</v>
      </c>
      <c r="C272">
        <v>25.4</v>
      </c>
      <c r="D272">
        <v>50.7</v>
      </c>
      <c r="E272">
        <v>7.6999999999999993</v>
      </c>
      <c r="F272">
        <v>95</v>
      </c>
      <c r="G272">
        <v>1.1999999999999993</v>
      </c>
      <c r="H272">
        <v>150.49999999999997</v>
      </c>
      <c r="I272">
        <v>0</v>
      </c>
      <c r="J272">
        <v>211.3</v>
      </c>
      <c r="K272">
        <v>0</v>
      </c>
      <c r="L272">
        <v>273.30000000000007</v>
      </c>
      <c r="M272">
        <v>0</v>
      </c>
      <c r="N272">
        <v>335.30000000000007</v>
      </c>
      <c r="O272">
        <v>0</v>
      </c>
      <c r="P272">
        <v>397.30000000000007</v>
      </c>
      <c r="Q272" s="7">
        <v>20.816129032258065</v>
      </c>
      <c r="DP272" s="6">
        <f>'Monthly Data'!F116</f>
        <v>30327543.112256587</v>
      </c>
      <c r="DQ272" s="6">
        <f>'Monthly Data'!J116</f>
        <v>9619348.627058398</v>
      </c>
      <c r="DR272" s="6">
        <f>'Monthly Data'!N116</f>
        <v>19932935.032132547</v>
      </c>
      <c r="DS272" s="6">
        <f>'Monthly Data'!S116</f>
        <v>11110234.05786128</v>
      </c>
      <c r="DT272" s="6">
        <f>'Monthly Data'!X116</f>
        <v>22108287.928387847</v>
      </c>
    </row>
    <row r="273" spans="1:124">
      <c r="A273">
        <v>2021</v>
      </c>
      <c r="B273">
        <v>8</v>
      </c>
      <c r="C273">
        <v>13.299999999999997</v>
      </c>
      <c r="D273">
        <v>79</v>
      </c>
      <c r="E273">
        <v>3.3000000000000007</v>
      </c>
      <c r="F273">
        <v>131.00000000000003</v>
      </c>
      <c r="G273">
        <v>0</v>
      </c>
      <c r="H273">
        <v>189.7</v>
      </c>
      <c r="I273">
        <v>0</v>
      </c>
      <c r="J273">
        <v>251.70000000000002</v>
      </c>
      <c r="K273">
        <v>0</v>
      </c>
      <c r="L273">
        <v>313.7</v>
      </c>
      <c r="M273">
        <v>0</v>
      </c>
      <c r="N273">
        <v>375.7</v>
      </c>
      <c r="O273">
        <v>0</v>
      </c>
      <c r="P273">
        <v>437.69999999999993</v>
      </c>
      <c r="Q273" s="7">
        <v>22.119354838709679</v>
      </c>
      <c r="DP273" s="6">
        <f>'Monthly Data'!F117</f>
        <v>34134162.325425573</v>
      </c>
      <c r="DQ273" s="6">
        <f>'Monthly Data'!J117</f>
        <v>10353279.138714399</v>
      </c>
      <c r="DR273" s="6">
        <f>'Monthly Data'!N117</f>
        <v>20931136.735932548</v>
      </c>
      <c r="DS273" s="6">
        <f>'Monthly Data'!S117</f>
        <v>10734245.950061282</v>
      </c>
      <c r="DT273" s="6">
        <f>'Monthly Data'!X117</f>
        <v>18755250.160005346</v>
      </c>
    </row>
    <row r="274" spans="1:124">
      <c r="A274">
        <v>2021</v>
      </c>
      <c r="B274">
        <v>9</v>
      </c>
      <c r="C274">
        <v>84.5</v>
      </c>
      <c r="D274">
        <v>9.2999999999999936</v>
      </c>
      <c r="E274">
        <v>45.8</v>
      </c>
      <c r="F274">
        <v>30.599999999999994</v>
      </c>
      <c r="G274">
        <v>20.699999999999996</v>
      </c>
      <c r="H274">
        <v>65.5</v>
      </c>
      <c r="I274">
        <v>5.6999999999999975</v>
      </c>
      <c r="J274">
        <v>110.5</v>
      </c>
      <c r="K274">
        <v>0</v>
      </c>
      <c r="L274">
        <v>164.80000000000004</v>
      </c>
      <c r="M274">
        <v>0</v>
      </c>
      <c r="N274">
        <v>224.80000000000004</v>
      </c>
      <c r="O274">
        <v>0</v>
      </c>
      <c r="P274">
        <v>284.80000000000007</v>
      </c>
      <c r="Q274" s="7">
        <v>17.493333333333329</v>
      </c>
      <c r="DP274" s="6">
        <f>'Monthly Data'!F118</f>
        <v>22407620.701135617</v>
      </c>
      <c r="DQ274" s="6">
        <f>'Monthly Data'!J118</f>
        <v>8403763.8862593919</v>
      </c>
      <c r="DR274" s="6">
        <f>'Monthly Data'!N118</f>
        <v>18386871.497632541</v>
      </c>
      <c r="DS274" s="6">
        <f>'Monthly Data'!S118</f>
        <v>9403642.5300612804</v>
      </c>
      <c r="DT274" s="6">
        <f>'Monthly Data'!X118</f>
        <v>21719546.844750348</v>
      </c>
    </row>
    <row r="275" spans="1:124">
      <c r="A275">
        <v>2021</v>
      </c>
      <c r="B275">
        <v>10</v>
      </c>
      <c r="C275">
        <v>177.60000000000002</v>
      </c>
      <c r="D275">
        <v>3.6999999999999993</v>
      </c>
      <c r="E275">
        <v>133.4</v>
      </c>
      <c r="F275">
        <v>21.5</v>
      </c>
      <c r="G275">
        <v>96.199999999999989</v>
      </c>
      <c r="H275">
        <v>46.300000000000004</v>
      </c>
      <c r="I275">
        <v>63.599999999999994</v>
      </c>
      <c r="J275">
        <v>75.7</v>
      </c>
      <c r="K275">
        <v>36.899999999999991</v>
      </c>
      <c r="L275">
        <v>111</v>
      </c>
      <c r="M275">
        <v>16.099999999999998</v>
      </c>
      <c r="N275">
        <v>152.20000000000002</v>
      </c>
      <c r="O275">
        <v>5.3999999999999995</v>
      </c>
      <c r="P275">
        <v>203.50000000000003</v>
      </c>
      <c r="Q275" s="7">
        <v>14.39032258064516</v>
      </c>
      <c r="DP275" s="6">
        <f>'Monthly Data'!F119</f>
        <v>20802749.496813588</v>
      </c>
      <c r="DQ275" s="6">
        <f>'Monthly Data'!J119</f>
        <v>8109369.5811114041</v>
      </c>
      <c r="DR275" s="6">
        <f>'Monthly Data'!N119</f>
        <v>18326695.988232542</v>
      </c>
      <c r="DS275" s="6">
        <f>'Monthly Data'!S119</f>
        <v>10267183.503861282</v>
      </c>
      <c r="DT275" s="6">
        <f>'Monthly Data'!X119</f>
        <v>22961202.968700346</v>
      </c>
    </row>
    <row r="276" spans="1:124">
      <c r="A276">
        <v>2021</v>
      </c>
      <c r="B276">
        <v>11</v>
      </c>
      <c r="C276">
        <v>483.09999999999997</v>
      </c>
      <c r="D276">
        <v>0</v>
      </c>
      <c r="E276">
        <v>423.1</v>
      </c>
      <c r="F276">
        <v>0</v>
      </c>
      <c r="G276">
        <v>363.1</v>
      </c>
      <c r="H276">
        <v>0</v>
      </c>
      <c r="I276">
        <v>303.09999999999997</v>
      </c>
      <c r="J276">
        <v>0</v>
      </c>
      <c r="K276">
        <v>243.09999999999997</v>
      </c>
      <c r="L276">
        <v>0</v>
      </c>
      <c r="M276">
        <v>186.09999999999997</v>
      </c>
      <c r="N276">
        <v>3</v>
      </c>
      <c r="O276">
        <v>135</v>
      </c>
      <c r="P276">
        <v>11.9</v>
      </c>
      <c r="Q276" s="7">
        <v>3.8966666666666674</v>
      </c>
      <c r="DP276" s="6">
        <f>'Monthly Data'!F120</f>
        <v>20937511.631318592</v>
      </c>
      <c r="DQ276" s="6">
        <f>'Monthly Data'!J120</f>
        <v>8522239.7704183962</v>
      </c>
      <c r="DR276" s="6">
        <f>'Monthly Data'!N120</f>
        <v>18313854.593332544</v>
      </c>
      <c r="DS276" s="6">
        <f>'Monthly Data'!S120</f>
        <v>10762440.759261284</v>
      </c>
      <c r="DT276" s="6">
        <f>'Monthly Data'!X120</f>
        <v>23654108.634817846</v>
      </c>
    </row>
    <row r="277" spans="1:124">
      <c r="A277">
        <v>2021</v>
      </c>
      <c r="B277">
        <v>12</v>
      </c>
      <c r="C277">
        <v>559.4</v>
      </c>
      <c r="D277">
        <v>0</v>
      </c>
      <c r="E277">
        <v>497.39999999999992</v>
      </c>
      <c r="F277">
        <v>0</v>
      </c>
      <c r="G277">
        <v>435.39999999999992</v>
      </c>
      <c r="H277">
        <v>0</v>
      </c>
      <c r="I277">
        <v>373.4</v>
      </c>
      <c r="J277">
        <v>0</v>
      </c>
      <c r="K277">
        <v>311.40000000000003</v>
      </c>
      <c r="L277">
        <v>0</v>
      </c>
      <c r="M277">
        <v>249.40000000000009</v>
      </c>
      <c r="N277">
        <v>0</v>
      </c>
      <c r="O277">
        <v>190.50000000000006</v>
      </c>
      <c r="P277">
        <v>3.0999999999999996</v>
      </c>
      <c r="Q277" s="7">
        <v>1.9548387096774196</v>
      </c>
      <c r="DP277" s="6">
        <f>'Monthly Data'!F121</f>
        <v>23749125.435736641</v>
      </c>
      <c r="DQ277" s="6">
        <f>'Monthly Data'!J121</f>
        <v>9116150.4407464005</v>
      </c>
      <c r="DR277" s="6">
        <f>'Monthly Data'!N121</f>
        <v>18843469.397732548</v>
      </c>
      <c r="DS277" s="6">
        <f>'Monthly Data'!S121</f>
        <v>9572434.2618612833</v>
      </c>
      <c r="DT277" s="6">
        <f>'Monthly Data'!X121</f>
        <v>22921700.750257846</v>
      </c>
    </row>
    <row r="278" spans="1:124">
      <c r="A278">
        <f>A266+1</f>
        <v>2022</v>
      </c>
      <c r="B278">
        <f>B266</f>
        <v>1</v>
      </c>
      <c r="C278">
        <v>835.79999999999984</v>
      </c>
      <c r="D278">
        <v>0</v>
      </c>
      <c r="E278">
        <v>773.79999999999984</v>
      </c>
      <c r="F278">
        <v>0</v>
      </c>
      <c r="G278">
        <v>711.8</v>
      </c>
      <c r="H278">
        <v>0</v>
      </c>
      <c r="I278">
        <v>649.79999999999984</v>
      </c>
      <c r="J278">
        <v>0</v>
      </c>
      <c r="K278">
        <v>587.79999999999973</v>
      </c>
      <c r="L278">
        <v>0</v>
      </c>
      <c r="M278">
        <v>525.79999999999995</v>
      </c>
      <c r="N278">
        <v>0</v>
      </c>
      <c r="O278">
        <v>463.79999999999995</v>
      </c>
      <c r="P278">
        <v>0</v>
      </c>
      <c r="Q278" s="7">
        <v>-6.9612903225806457</v>
      </c>
    </row>
    <row r="279" spans="1:124">
      <c r="A279">
        <f t="shared" ref="A279:A289" si="191">A267+1</f>
        <v>2022</v>
      </c>
      <c r="B279">
        <f t="shared" ref="B279:B289" si="192">B267</f>
        <v>2</v>
      </c>
      <c r="C279">
        <v>662.6</v>
      </c>
      <c r="D279">
        <v>0</v>
      </c>
      <c r="E279">
        <v>606.6</v>
      </c>
      <c r="F279">
        <v>0</v>
      </c>
      <c r="G279">
        <v>550.6</v>
      </c>
      <c r="H279">
        <v>0</v>
      </c>
      <c r="I279">
        <v>494.60000000000008</v>
      </c>
      <c r="J279">
        <v>0</v>
      </c>
      <c r="K279">
        <v>438.60000000000008</v>
      </c>
      <c r="L279">
        <v>0</v>
      </c>
      <c r="M279">
        <v>382.6</v>
      </c>
      <c r="N279">
        <v>0</v>
      </c>
      <c r="O279">
        <v>326.60000000000008</v>
      </c>
      <c r="P279">
        <v>0</v>
      </c>
      <c r="Q279" s="7">
        <v>-3.6642857142857137</v>
      </c>
    </row>
    <row r="280" spans="1:124">
      <c r="A280">
        <f t="shared" si="191"/>
        <v>2022</v>
      </c>
      <c r="B280">
        <f t="shared" si="192"/>
        <v>3</v>
      </c>
      <c r="C280">
        <v>568.30000000000007</v>
      </c>
      <c r="D280">
        <v>0</v>
      </c>
      <c r="E280">
        <v>506.3</v>
      </c>
      <c r="F280">
        <v>0</v>
      </c>
      <c r="G280">
        <v>444.30000000000007</v>
      </c>
      <c r="H280">
        <v>0</v>
      </c>
      <c r="I280">
        <v>382.30000000000013</v>
      </c>
      <c r="J280">
        <v>0</v>
      </c>
      <c r="K280">
        <v>320.40000000000009</v>
      </c>
      <c r="L280">
        <v>9.9999999999999645E-2</v>
      </c>
      <c r="M280">
        <v>260.40000000000009</v>
      </c>
      <c r="N280">
        <v>2.0999999999999996</v>
      </c>
      <c r="O280">
        <v>202.10000000000002</v>
      </c>
      <c r="P280">
        <v>5.8000000000000007</v>
      </c>
      <c r="Q280" s="7">
        <v>1.667741935483871</v>
      </c>
    </row>
    <row r="281" spans="1:124">
      <c r="A281">
        <f t="shared" si="191"/>
        <v>2022</v>
      </c>
      <c r="B281">
        <f t="shared" si="192"/>
        <v>4</v>
      </c>
      <c r="C281">
        <v>417.7999999999999</v>
      </c>
      <c r="D281">
        <v>0</v>
      </c>
      <c r="E281">
        <v>358.89999999999986</v>
      </c>
      <c r="F281">
        <v>1.1000000000000014</v>
      </c>
      <c r="G281">
        <v>300.89999999999992</v>
      </c>
      <c r="H281">
        <v>3.1000000000000014</v>
      </c>
      <c r="I281">
        <v>246.29999999999995</v>
      </c>
      <c r="J281">
        <v>8.5000000000000018</v>
      </c>
      <c r="K281">
        <v>192.79999999999998</v>
      </c>
      <c r="L281">
        <v>15.000000000000002</v>
      </c>
      <c r="M281">
        <v>144.79999999999998</v>
      </c>
      <c r="N281">
        <v>27</v>
      </c>
      <c r="O281">
        <v>101.10000000000001</v>
      </c>
      <c r="P281">
        <v>43.300000000000004</v>
      </c>
      <c r="Q281" s="7">
        <v>6.0733333333333341</v>
      </c>
    </row>
    <row r="282" spans="1:124">
      <c r="A282">
        <f t="shared" si="191"/>
        <v>2022</v>
      </c>
      <c r="B282">
        <f t="shared" si="192"/>
        <v>5</v>
      </c>
      <c r="C282">
        <v>176</v>
      </c>
      <c r="D282">
        <v>15.899999999999999</v>
      </c>
      <c r="E282">
        <v>132.80000000000001</v>
      </c>
      <c r="F282">
        <v>34.700000000000003</v>
      </c>
      <c r="G282">
        <v>93.399999999999991</v>
      </c>
      <c r="H282">
        <v>57.3</v>
      </c>
      <c r="I282">
        <v>59.300000000000011</v>
      </c>
      <c r="J282">
        <v>85.200000000000017</v>
      </c>
      <c r="K282">
        <v>35.399999999999991</v>
      </c>
      <c r="L282">
        <v>123.30000000000001</v>
      </c>
      <c r="M282">
        <v>15.6</v>
      </c>
      <c r="N282">
        <v>165.5</v>
      </c>
      <c r="O282">
        <v>4.5</v>
      </c>
      <c r="P282">
        <v>216.4</v>
      </c>
      <c r="Q282" s="7">
        <v>14.835483870967742</v>
      </c>
    </row>
    <row r="283" spans="1:124">
      <c r="A283">
        <f t="shared" si="191"/>
        <v>2022</v>
      </c>
      <c r="B283">
        <f t="shared" si="192"/>
        <v>6</v>
      </c>
      <c r="C283">
        <v>73.2</v>
      </c>
      <c r="D283">
        <v>36</v>
      </c>
      <c r="E283">
        <v>38.299999999999997</v>
      </c>
      <c r="F283">
        <v>61.099999999999994</v>
      </c>
      <c r="G283">
        <v>13.699999999999998</v>
      </c>
      <c r="H283">
        <v>96.5</v>
      </c>
      <c r="I283">
        <v>2.8999999999999986</v>
      </c>
      <c r="J283">
        <v>145.69999999999999</v>
      </c>
      <c r="K283">
        <v>0.19999999999999929</v>
      </c>
      <c r="L283">
        <v>203</v>
      </c>
      <c r="M283">
        <v>0</v>
      </c>
      <c r="N283">
        <v>262.80000000000007</v>
      </c>
      <c r="O283">
        <v>0</v>
      </c>
      <c r="P283">
        <v>322.8</v>
      </c>
      <c r="Q283" s="7">
        <v>18.759999999999998</v>
      </c>
    </row>
    <row r="284" spans="1:124">
      <c r="A284">
        <f t="shared" si="191"/>
        <v>2022</v>
      </c>
      <c r="B284">
        <f t="shared" si="192"/>
        <v>7</v>
      </c>
      <c r="C284">
        <v>12.100000000000001</v>
      </c>
      <c r="D284">
        <v>71.999999999999986</v>
      </c>
      <c r="E284">
        <v>1.1000000000000014</v>
      </c>
      <c r="F284">
        <v>122.99999999999999</v>
      </c>
      <c r="G284">
        <v>0</v>
      </c>
      <c r="H284">
        <v>183.89999999999995</v>
      </c>
      <c r="I284">
        <v>0</v>
      </c>
      <c r="J284">
        <v>245.9</v>
      </c>
      <c r="K284">
        <v>0</v>
      </c>
      <c r="L284">
        <v>307.89999999999998</v>
      </c>
      <c r="M284">
        <v>0</v>
      </c>
      <c r="N284">
        <v>369.90000000000003</v>
      </c>
      <c r="O284">
        <v>0</v>
      </c>
      <c r="P284">
        <v>431.9</v>
      </c>
      <c r="Q284" s="7">
        <v>21.93225806451613</v>
      </c>
    </row>
    <row r="285" spans="1:124">
      <c r="A285">
        <f t="shared" si="191"/>
        <v>2022</v>
      </c>
      <c r="B285">
        <f t="shared" si="192"/>
        <v>8</v>
      </c>
      <c r="C285">
        <v>12.899999999999999</v>
      </c>
      <c r="D285">
        <v>56.900000000000013</v>
      </c>
      <c r="E285">
        <v>2</v>
      </c>
      <c r="F285">
        <v>108</v>
      </c>
      <c r="G285">
        <v>0</v>
      </c>
      <c r="H285">
        <v>167.99999999999997</v>
      </c>
      <c r="I285">
        <v>0</v>
      </c>
      <c r="J285">
        <v>229.99999999999994</v>
      </c>
      <c r="K285">
        <v>0</v>
      </c>
      <c r="L285">
        <v>292</v>
      </c>
      <c r="M285">
        <v>0</v>
      </c>
      <c r="N285">
        <v>354.00000000000006</v>
      </c>
      <c r="O285">
        <v>0</v>
      </c>
      <c r="P285">
        <v>416.00000000000011</v>
      </c>
      <c r="Q285" s="7">
        <v>21.41935483870968</v>
      </c>
    </row>
    <row r="286" spans="1:124">
      <c r="A286">
        <f t="shared" si="191"/>
        <v>2022</v>
      </c>
      <c r="B286">
        <f t="shared" si="192"/>
        <v>9</v>
      </c>
      <c r="C286">
        <v>95.3</v>
      </c>
      <c r="D286">
        <v>19</v>
      </c>
      <c r="E286">
        <v>61.5</v>
      </c>
      <c r="F286">
        <v>45.2</v>
      </c>
      <c r="G286">
        <v>36</v>
      </c>
      <c r="H286">
        <v>79.700000000000017</v>
      </c>
      <c r="I286">
        <v>17.5</v>
      </c>
      <c r="J286">
        <v>121.20000000000002</v>
      </c>
      <c r="K286">
        <v>4.5</v>
      </c>
      <c r="L286">
        <v>168.20000000000002</v>
      </c>
      <c r="M286">
        <v>0.30000000000000071</v>
      </c>
      <c r="N286">
        <v>224.00000000000003</v>
      </c>
      <c r="O286">
        <v>0</v>
      </c>
      <c r="P286">
        <v>283.7</v>
      </c>
      <c r="Q286" s="7">
        <v>17.456666666666667</v>
      </c>
    </row>
    <row r="287" spans="1:124">
      <c r="A287">
        <f t="shared" si="191"/>
        <v>2022</v>
      </c>
      <c r="B287">
        <f t="shared" si="192"/>
        <v>10</v>
      </c>
      <c r="C287">
        <v>291.20000000000005</v>
      </c>
      <c r="D287">
        <v>0</v>
      </c>
      <c r="E287">
        <v>229.29999999999998</v>
      </c>
      <c r="F287">
        <v>0.10000000000000142</v>
      </c>
      <c r="G287">
        <v>174.19999999999996</v>
      </c>
      <c r="H287">
        <v>7.0000000000000036</v>
      </c>
      <c r="I287">
        <v>125.90000000000002</v>
      </c>
      <c r="J287">
        <v>20.700000000000003</v>
      </c>
      <c r="K287">
        <v>81.199999999999989</v>
      </c>
      <c r="L287">
        <v>38.000000000000007</v>
      </c>
      <c r="M287">
        <v>44.7</v>
      </c>
      <c r="N287">
        <v>63.500000000000007</v>
      </c>
      <c r="O287">
        <v>17.899999999999999</v>
      </c>
      <c r="P287">
        <v>98.699999999999989</v>
      </c>
      <c r="Q287" s="7">
        <v>10.606451612903225</v>
      </c>
    </row>
    <row r="288" spans="1:124">
      <c r="A288">
        <f>A276+1</f>
        <v>2022</v>
      </c>
      <c r="B288">
        <f>B276</f>
        <v>11</v>
      </c>
      <c r="C288">
        <v>429.2999999999999</v>
      </c>
      <c r="D288">
        <v>0</v>
      </c>
      <c r="E288">
        <v>370.19999999999993</v>
      </c>
      <c r="F288">
        <v>0.89999999999999858</v>
      </c>
      <c r="G288">
        <v>312.19999999999993</v>
      </c>
      <c r="H288">
        <v>2.8999999999999986</v>
      </c>
      <c r="I288">
        <v>256.90000000000003</v>
      </c>
      <c r="J288">
        <v>7.5999999999999979</v>
      </c>
      <c r="K288">
        <v>204.70000000000002</v>
      </c>
      <c r="L288">
        <v>15.399999999999997</v>
      </c>
      <c r="M288">
        <v>158.9</v>
      </c>
      <c r="N288">
        <v>29.599999999999994</v>
      </c>
      <c r="O288">
        <v>117.90000000000002</v>
      </c>
      <c r="P288">
        <v>48.6</v>
      </c>
      <c r="Q288" s="7">
        <v>5.69</v>
      </c>
    </row>
    <row r="289" spans="1:17">
      <c r="A289">
        <f t="shared" si="191"/>
        <v>2022</v>
      </c>
      <c r="B289">
        <f t="shared" si="192"/>
        <v>12</v>
      </c>
      <c r="C289">
        <v>628.50000000000011</v>
      </c>
      <c r="D289">
        <v>0</v>
      </c>
      <c r="E289">
        <v>566.5</v>
      </c>
      <c r="F289">
        <v>0</v>
      </c>
      <c r="G289">
        <v>504.5</v>
      </c>
      <c r="H289">
        <v>0</v>
      </c>
      <c r="I289">
        <v>442.5</v>
      </c>
      <c r="J289">
        <v>0</v>
      </c>
      <c r="K289">
        <v>380.5</v>
      </c>
      <c r="L289">
        <v>0</v>
      </c>
      <c r="M289">
        <v>318.5</v>
      </c>
      <c r="N289">
        <v>0</v>
      </c>
      <c r="O289">
        <v>258.29999999999995</v>
      </c>
      <c r="P289">
        <v>1.8000000000000007</v>
      </c>
      <c r="Q289" s="7">
        <v>-0.2741935483870967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T265"/>
  <sheetViews>
    <sheetView topLeftCell="L1" workbookViewId="0">
      <selection activeCell="E21" sqref="E21"/>
    </sheetView>
  </sheetViews>
  <sheetFormatPr defaultRowHeight="15"/>
  <cols>
    <col min="1" max="1" width="10.5703125" bestFit="1" customWidth="1"/>
    <col min="2" max="2" width="10.5703125" customWidth="1"/>
    <col min="3" max="3" width="3.42578125" bestFit="1" customWidth="1"/>
    <col min="4" max="4" width="19.42578125" bestFit="1" customWidth="1"/>
    <col min="5" max="5" width="16" bestFit="1" customWidth="1"/>
    <col min="6" max="7" width="13.85546875" customWidth="1"/>
    <col min="8" max="8" width="17" customWidth="1"/>
    <col min="9" max="10" width="9.5703125" bestFit="1" customWidth="1"/>
    <col min="11" max="11" width="9.42578125" bestFit="1" customWidth="1"/>
    <col min="12" max="12" width="9.5703125" bestFit="1" customWidth="1"/>
    <col min="13" max="14" width="9.42578125" bestFit="1" customWidth="1"/>
    <col min="15" max="15" width="11.7109375" bestFit="1" customWidth="1"/>
    <col min="16" max="19" width="10.5703125" customWidth="1"/>
    <col min="23" max="23" width="12.7109375" customWidth="1"/>
    <col min="24" max="30" width="14.85546875" customWidth="1"/>
  </cols>
  <sheetData>
    <row r="1" spans="1:29">
      <c r="D1" s="291" t="s">
        <v>56</v>
      </c>
      <c r="E1" s="291"/>
      <c r="F1" s="291" t="s">
        <v>172</v>
      </c>
      <c r="G1" s="291"/>
      <c r="H1" s="291" t="s">
        <v>262</v>
      </c>
      <c r="I1" s="291"/>
      <c r="J1" s="291"/>
      <c r="K1" s="291"/>
      <c r="L1" s="291"/>
      <c r="M1" s="291"/>
      <c r="N1" s="291"/>
      <c r="O1" s="291"/>
      <c r="P1" s="291" t="s">
        <v>271</v>
      </c>
      <c r="Q1" s="291"/>
      <c r="R1" s="291"/>
      <c r="S1" s="291"/>
    </row>
    <row r="2" spans="1:29">
      <c r="D2" t="s">
        <v>54</v>
      </c>
      <c r="E2" t="s">
        <v>55</v>
      </c>
      <c r="F2" t="s">
        <v>54</v>
      </c>
      <c r="G2" t="s">
        <v>55</v>
      </c>
      <c r="H2" t="s">
        <v>108</v>
      </c>
      <c r="I2" t="s">
        <v>203</v>
      </c>
      <c r="J2" t="s">
        <v>204</v>
      </c>
      <c r="K2" t="s">
        <v>205</v>
      </c>
      <c r="L2" t="s">
        <v>206</v>
      </c>
      <c r="M2" t="s">
        <v>207</v>
      </c>
      <c r="N2" t="s">
        <v>208</v>
      </c>
      <c r="O2" t="s">
        <v>225</v>
      </c>
      <c r="P2" t="s">
        <v>273</v>
      </c>
      <c r="Q2" t="s">
        <v>268</v>
      </c>
      <c r="R2" t="s">
        <v>269</v>
      </c>
      <c r="S2" t="s">
        <v>270</v>
      </c>
      <c r="W2" t="s">
        <v>384</v>
      </c>
    </row>
    <row r="3" spans="1:29" ht="15.75">
      <c r="D3" s="292" t="s">
        <v>261</v>
      </c>
      <c r="E3" s="292"/>
      <c r="F3" s="292"/>
      <c r="G3" s="292"/>
      <c r="H3" s="292" t="s">
        <v>109</v>
      </c>
      <c r="I3" s="292"/>
      <c r="J3" s="292"/>
      <c r="K3" s="292"/>
      <c r="L3" s="292"/>
      <c r="M3" s="292"/>
      <c r="N3" s="292"/>
      <c r="O3" t="s">
        <v>263</v>
      </c>
      <c r="P3" s="291" t="s">
        <v>272</v>
      </c>
      <c r="Q3" s="291"/>
      <c r="R3" s="291"/>
      <c r="S3" s="291"/>
      <c r="AC3" s="231"/>
    </row>
    <row r="4" spans="1:29">
      <c r="A4" s="3">
        <v>37622</v>
      </c>
      <c r="B4">
        <f>YEAR(A4)</f>
        <v>2003</v>
      </c>
      <c r="C4" s="3" t="s">
        <v>264</v>
      </c>
      <c r="D4" s="71">
        <v>6149.9</v>
      </c>
      <c r="E4" s="71">
        <v>6114</v>
      </c>
      <c r="F4" s="71">
        <v>232.6</v>
      </c>
      <c r="G4" s="71">
        <v>231.6</v>
      </c>
      <c r="H4" s="70">
        <v>561879</v>
      </c>
      <c r="I4" s="70">
        <v>5191.2</v>
      </c>
      <c r="J4" s="70">
        <v>3920.9</v>
      </c>
      <c r="K4" s="70">
        <v>352.7</v>
      </c>
      <c r="L4" s="70">
        <v>7557.7</v>
      </c>
      <c r="M4" s="70">
        <v>50.4</v>
      </c>
      <c r="N4" s="70">
        <v>679.9</v>
      </c>
      <c r="O4" s="70">
        <f>L4+I4</f>
        <v>12748.9</v>
      </c>
      <c r="P4" s="70">
        <v>566361</v>
      </c>
      <c r="Q4" s="70">
        <v>5215</v>
      </c>
      <c r="R4" s="70">
        <v>7583</v>
      </c>
      <c r="S4" s="70">
        <v>3395</v>
      </c>
      <c r="W4" s="233" t="s">
        <v>112</v>
      </c>
      <c r="X4" s="88" t="s">
        <v>111</v>
      </c>
      <c r="Y4" s="88" t="s">
        <v>113</v>
      </c>
      <c r="Z4" s="88" t="s">
        <v>114</v>
      </c>
      <c r="AA4" s="234"/>
      <c r="AB4" t="s">
        <v>356</v>
      </c>
      <c r="AC4" s="8" t="s">
        <v>115</v>
      </c>
    </row>
    <row r="5" spans="1:29">
      <c r="A5" s="3">
        <v>37653</v>
      </c>
      <c r="B5">
        <f t="shared" ref="B5:B68" si="0">YEAR(A5)</f>
        <v>2003</v>
      </c>
      <c r="C5" s="3" t="s">
        <v>264</v>
      </c>
      <c r="D5" s="71">
        <v>6169.7</v>
      </c>
      <c r="E5" s="71">
        <v>6100.3</v>
      </c>
      <c r="F5" s="71">
        <v>232.5</v>
      </c>
      <c r="G5" s="71">
        <v>229.1</v>
      </c>
      <c r="H5" s="70">
        <v>561879</v>
      </c>
      <c r="I5" s="70">
        <v>5191.2</v>
      </c>
      <c r="J5" s="70">
        <v>3920.9</v>
      </c>
      <c r="K5" s="70">
        <v>352.7</v>
      </c>
      <c r="L5" s="70">
        <v>7557.7</v>
      </c>
      <c r="M5" s="70">
        <v>50.4</v>
      </c>
      <c r="N5" s="70">
        <v>679.9</v>
      </c>
      <c r="O5" s="70">
        <f t="shared" ref="O5:O68" si="1">L5+I5</f>
        <v>12748.9</v>
      </c>
      <c r="P5" s="70">
        <v>566361</v>
      </c>
      <c r="Q5" s="70">
        <v>5215</v>
      </c>
      <c r="R5" s="70">
        <v>7583</v>
      </c>
      <c r="S5" s="70">
        <v>3395</v>
      </c>
      <c r="W5" s="235">
        <v>44914</v>
      </c>
      <c r="X5" s="235">
        <v>44953</v>
      </c>
      <c r="Y5" s="235">
        <v>44903</v>
      </c>
      <c r="Z5" s="235">
        <v>44909</v>
      </c>
      <c r="AA5" s="232"/>
    </row>
    <row r="6" spans="1:29">
      <c r="A6" s="3">
        <v>37681</v>
      </c>
      <c r="B6">
        <f t="shared" si="0"/>
        <v>2003</v>
      </c>
      <c r="C6" s="3" t="s">
        <v>264</v>
      </c>
      <c r="D6" s="71">
        <v>6192.1</v>
      </c>
      <c r="E6" s="71">
        <v>6096.3</v>
      </c>
      <c r="F6" s="71">
        <v>234.6</v>
      </c>
      <c r="G6" s="71">
        <v>229</v>
      </c>
      <c r="H6" s="70">
        <v>561879</v>
      </c>
      <c r="I6" s="70">
        <v>5191.2</v>
      </c>
      <c r="J6" s="70">
        <v>3920.9</v>
      </c>
      <c r="K6" s="70">
        <v>352.7</v>
      </c>
      <c r="L6" s="70">
        <v>7557.7</v>
      </c>
      <c r="M6" s="70">
        <v>50.4</v>
      </c>
      <c r="N6" s="70">
        <v>679.9</v>
      </c>
      <c r="O6" s="70">
        <f t="shared" si="1"/>
        <v>12748.9</v>
      </c>
      <c r="P6" s="70">
        <v>566361</v>
      </c>
      <c r="Q6" s="70">
        <v>5215</v>
      </c>
      <c r="R6" s="70">
        <v>7583</v>
      </c>
      <c r="S6" s="70">
        <v>3395</v>
      </c>
      <c r="V6">
        <v>2021</v>
      </c>
      <c r="W6" s="281"/>
      <c r="X6" s="281">
        <v>5.1999999999999998E-2</v>
      </c>
      <c r="Y6" s="281">
        <v>5.1999999999999998E-2</v>
      </c>
      <c r="Z6" s="281">
        <v>4.5999999999999999E-2</v>
      </c>
      <c r="AA6" s="16"/>
      <c r="AB6" s="84">
        <f>AVERAGE(W6:Z6)</f>
        <v>4.9999999999999996E-2</v>
      </c>
      <c r="AC6" s="84">
        <f>AVERAGE(W6:Z6)</f>
        <v>4.9999999999999996E-2</v>
      </c>
    </row>
    <row r="7" spans="1:29">
      <c r="A7" s="3">
        <v>37712</v>
      </c>
      <c r="B7">
        <f t="shared" si="0"/>
        <v>2003</v>
      </c>
      <c r="C7" s="3" t="s">
        <v>265</v>
      </c>
      <c r="D7" s="71">
        <v>6199.1</v>
      </c>
      <c r="E7" s="71">
        <v>6116.5</v>
      </c>
      <c r="F7" s="71">
        <v>234.9</v>
      </c>
      <c r="G7" s="71">
        <v>228.9</v>
      </c>
      <c r="H7" s="70">
        <v>561879</v>
      </c>
      <c r="I7" s="70">
        <v>5191.2</v>
      </c>
      <c r="J7" s="70">
        <v>3920.9</v>
      </c>
      <c r="K7" s="70">
        <v>352.7</v>
      </c>
      <c r="L7" s="70">
        <v>7557.7</v>
      </c>
      <c r="M7" s="70">
        <v>50.4</v>
      </c>
      <c r="N7" s="70">
        <v>679.9</v>
      </c>
      <c r="O7" s="70">
        <f t="shared" si="1"/>
        <v>12748.9</v>
      </c>
      <c r="P7" s="70">
        <v>562749</v>
      </c>
      <c r="Q7" s="70">
        <v>5187</v>
      </c>
      <c r="R7" s="70">
        <v>7228</v>
      </c>
      <c r="S7" s="70">
        <v>2942</v>
      </c>
      <c r="U7" s="234" t="s">
        <v>107</v>
      </c>
      <c r="V7">
        <v>2022</v>
      </c>
      <c r="W7" s="281">
        <v>3.3000000000000002E-2</v>
      </c>
      <c r="X7" s="281">
        <v>3.6999999999999998E-2</v>
      </c>
      <c r="Y7" s="281">
        <v>3.5000000000000003E-2</v>
      </c>
      <c r="Z7" s="281">
        <v>4.1000000000000002E-2</v>
      </c>
      <c r="AA7" s="16"/>
      <c r="AB7" s="84">
        <f t="shared" ref="AB7:AB8" si="2">AVERAGE(W7:Z7)</f>
        <v>3.6500000000000005E-2</v>
      </c>
      <c r="AC7" s="84">
        <f t="shared" ref="AC7:AC13" si="3">AVERAGE(W7:Z7)</f>
        <v>3.6500000000000005E-2</v>
      </c>
    </row>
    <row r="8" spans="1:29">
      <c r="A8" s="3">
        <v>37742</v>
      </c>
      <c r="B8">
        <f t="shared" si="0"/>
        <v>2003</v>
      </c>
      <c r="C8" s="3" t="s">
        <v>265</v>
      </c>
      <c r="D8" s="71">
        <v>6194.9</v>
      </c>
      <c r="E8" s="71">
        <v>6159</v>
      </c>
      <c r="F8" s="71">
        <v>235.1</v>
      </c>
      <c r="G8" s="71">
        <v>231.4</v>
      </c>
      <c r="H8" s="70">
        <v>561879</v>
      </c>
      <c r="I8" s="70">
        <v>5191.2</v>
      </c>
      <c r="J8" s="70">
        <v>3920.9</v>
      </c>
      <c r="K8" s="70">
        <v>352.7</v>
      </c>
      <c r="L8" s="70">
        <v>7557.7</v>
      </c>
      <c r="M8" s="70">
        <v>50.4</v>
      </c>
      <c r="N8" s="70">
        <v>679.9</v>
      </c>
      <c r="O8" s="70">
        <f t="shared" si="1"/>
        <v>12748.9</v>
      </c>
      <c r="P8" s="70">
        <v>562749</v>
      </c>
      <c r="Q8" s="70">
        <v>5187</v>
      </c>
      <c r="R8" s="70">
        <v>7228</v>
      </c>
      <c r="S8" s="70">
        <v>2942</v>
      </c>
      <c r="V8" s="236">
        <v>2023</v>
      </c>
      <c r="W8" s="281">
        <v>3.0000000000000001E-3</v>
      </c>
      <c r="X8" s="281">
        <v>1E-3</v>
      </c>
      <c r="Y8" s="281">
        <v>5.0000000000000001E-3</v>
      </c>
      <c r="Z8" s="281">
        <v>1.9E-2</v>
      </c>
      <c r="AA8" s="16"/>
      <c r="AB8" s="84">
        <f t="shared" si="2"/>
        <v>7.0000000000000001E-3</v>
      </c>
      <c r="AC8" s="84">
        <f t="shared" si="3"/>
        <v>7.0000000000000001E-3</v>
      </c>
    </row>
    <row r="9" spans="1:29">
      <c r="A9" s="3">
        <v>37773</v>
      </c>
      <c r="B9">
        <f t="shared" si="0"/>
        <v>2003</v>
      </c>
      <c r="C9" s="3" t="s">
        <v>265</v>
      </c>
      <c r="D9" s="71">
        <v>6188.9</v>
      </c>
      <c r="E9" s="71">
        <v>6217.4</v>
      </c>
      <c r="F9" s="71">
        <v>234.5</v>
      </c>
      <c r="G9" s="71">
        <v>235.1</v>
      </c>
      <c r="H9" s="70">
        <v>561879</v>
      </c>
      <c r="I9" s="70">
        <v>5191.2</v>
      </c>
      <c r="J9" s="70">
        <v>3920.9</v>
      </c>
      <c r="K9" s="70">
        <v>352.7</v>
      </c>
      <c r="L9" s="70">
        <v>7557.7</v>
      </c>
      <c r="M9" s="70">
        <v>50.4</v>
      </c>
      <c r="N9" s="70">
        <v>679.9</v>
      </c>
      <c r="O9" s="70">
        <f t="shared" si="1"/>
        <v>12748.9</v>
      </c>
      <c r="P9" s="70">
        <v>562749</v>
      </c>
      <c r="Q9" s="70">
        <v>5187</v>
      </c>
      <c r="R9" s="70">
        <v>7228</v>
      </c>
      <c r="S9" s="70">
        <v>2942</v>
      </c>
      <c r="W9" s="266"/>
      <c r="X9" s="266"/>
      <c r="Y9" s="266"/>
      <c r="Z9" s="266"/>
      <c r="AC9" s="84"/>
    </row>
    <row r="10" spans="1:29">
      <c r="A10" s="3">
        <v>37803</v>
      </c>
      <c r="B10">
        <f t="shared" si="0"/>
        <v>2003</v>
      </c>
      <c r="C10" s="3" t="s">
        <v>266</v>
      </c>
      <c r="D10" s="71">
        <v>6191.2</v>
      </c>
      <c r="E10" s="71">
        <v>6271.5</v>
      </c>
      <c r="F10" s="71">
        <v>234.6</v>
      </c>
      <c r="G10" s="71">
        <v>238.5</v>
      </c>
      <c r="H10" s="70">
        <v>561879</v>
      </c>
      <c r="I10" s="70">
        <v>5191.2</v>
      </c>
      <c r="J10" s="70">
        <v>3920.9</v>
      </c>
      <c r="K10" s="70">
        <v>352.7</v>
      </c>
      <c r="L10" s="70">
        <v>7557.7</v>
      </c>
      <c r="M10" s="70">
        <v>50.4</v>
      </c>
      <c r="N10" s="70">
        <v>679.9</v>
      </c>
      <c r="O10" s="70">
        <f t="shared" si="1"/>
        <v>12748.9</v>
      </c>
      <c r="P10" s="70">
        <v>557942</v>
      </c>
      <c r="Q10" s="70">
        <v>5100</v>
      </c>
      <c r="R10" s="70">
        <v>7423</v>
      </c>
      <c r="S10" s="70">
        <v>2687</v>
      </c>
      <c r="W10" s="235">
        <v>44914</v>
      </c>
      <c r="X10" s="235">
        <v>44953</v>
      </c>
      <c r="Y10" s="235">
        <v>44903</v>
      </c>
      <c r="Z10" s="235">
        <v>44909</v>
      </c>
      <c r="AA10" s="232"/>
      <c r="AC10" s="84"/>
    </row>
    <row r="11" spans="1:29">
      <c r="A11" s="3">
        <v>37834</v>
      </c>
      <c r="B11">
        <f t="shared" si="0"/>
        <v>2003</v>
      </c>
      <c r="C11" s="3" t="s">
        <v>266</v>
      </c>
      <c r="D11" s="71">
        <v>6199.6</v>
      </c>
      <c r="E11" s="71">
        <v>6300</v>
      </c>
      <c r="F11" s="71">
        <v>235.4</v>
      </c>
      <c r="G11" s="71">
        <v>240.5</v>
      </c>
      <c r="H11" s="70">
        <v>561879</v>
      </c>
      <c r="I11" s="70">
        <v>5191.2</v>
      </c>
      <c r="J11" s="70">
        <v>3920.9</v>
      </c>
      <c r="K11" s="70">
        <v>352.7</v>
      </c>
      <c r="L11" s="70">
        <v>7557.7</v>
      </c>
      <c r="M11" s="70">
        <v>50.4</v>
      </c>
      <c r="N11" s="70">
        <v>679.9</v>
      </c>
      <c r="O11" s="70">
        <f t="shared" si="1"/>
        <v>12748.9</v>
      </c>
      <c r="P11" s="70">
        <v>557942</v>
      </c>
      <c r="Q11" s="70">
        <v>5100</v>
      </c>
      <c r="R11" s="70">
        <v>7423</v>
      </c>
      <c r="S11" s="70">
        <v>2687</v>
      </c>
      <c r="V11">
        <v>2021</v>
      </c>
      <c r="W11" s="281"/>
      <c r="X11" s="281">
        <v>4.9000000000000002E-2</v>
      </c>
      <c r="Y11" s="281">
        <v>4.9000000000000002E-2</v>
      </c>
      <c r="Z11" s="281">
        <v>4.9000000000000002E-2</v>
      </c>
      <c r="AA11" s="16"/>
      <c r="AB11" s="84">
        <f>AVERAGE(W11:Z11)</f>
        <v>4.9000000000000009E-2</v>
      </c>
      <c r="AC11" s="84">
        <f t="shared" si="3"/>
        <v>4.9000000000000009E-2</v>
      </c>
    </row>
    <row r="12" spans="1:29">
      <c r="A12" s="3">
        <v>37865</v>
      </c>
      <c r="B12">
        <f t="shared" si="0"/>
        <v>2003</v>
      </c>
      <c r="C12" s="3" t="s">
        <v>266</v>
      </c>
      <c r="D12" s="71">
        <v>6209.3</v>
      </c>
      <c r="E12" s="71">
        <v>6273.5</v>
      </c>
      <c r="F12" s="71">
        <v>237.3</v>
      </c>
      <c r="G12" s="71">
        <v>241.2</v>
      </c>
      <c r="H12" s="70">
        <v>561879</v>
      </c>
      <c r="I12" s="70">
        <v>5191.2</v>
      </c>
      <c r="J12" s="70">
        <v>3920.9</v>
      </c>
      <c r="K12" s="70">
        <v>352.7</v>
      </c>
      <c r="L12" s="70">
        <v>7557.7</v>
      </c>
      <c r="M12" s="70">
        <v>50.4</v>
      </c>
      <c r="N12" s="70">
        <v>679.9</v>
      </c>
      <c r="O12" s="70">
        <f t="shared" si="1"/>
        <v>12748.9</v>
      </c>
      <c r="P12" s="70">
        <v>557942</v>
      </c>
      <c r="Q12" s="70">
        <v>5100</v>
      </c>
      <c r="R12" s="70">
        <v>7423</v>
      </c>
      <c r="S12" s="70">
        <v>2687</v>
      </c>
      <c r="U12" s="234" t="s">
        <v>110</v>
      </c>
      <c r="V12">
        <v>2022</v>
      </c>
      <c r="W12" s="281">
        <v>4.2000000000000003E-2</v>
      </c>
      <c r="X12" s="281">
        <v>4.2999999999999997E-2</v>
      </c>
      <c r="Y12" s="281">
        <v>3.7999999999999999E-2</v>
      </c>
      <c r="Z12" s="281">
        <v>4.7E-2</v>
      </c>
      <c r="AA12" s="16"/>
      <c r="AB12" s="84">
        <f t="shared" ref="AB12:AB13" si="4">AVERAGE(W12:Z12)</f>
        <v>4.2499999999999996E-2</v>
      </c>
      <c r="AC12" s="84">
        <f t="shared" si="3"/>
        <v>4.2499999999999996E-2</v>
      </c>
    </row>
    <row r="13" spans="1:29">
      <c r="A13" s="3">
        <v>37895</v>
      </c>
      <c r="B13">
        <f t="shared" si="0"/>
        <v>2003</v>
      </c>
      <c r="C13" s="3" t="s">
        <v>267</v>
      </c>
      <c r="D13" s="71">
        <v>6224.3</v>
      </c>
      <c r="E13" s="71">
        <v>6264.3</v>
      </c>
      <c r="F13" s="71">
        <v>239.3</v>
      </c>
      <c r="G13" s="71">
        <v>241.8</v>
      </c>
      <c r="H13" s="70">
        <v>561879</v>
      </c>
      <c r="I13" s="70">
        <v>5191.2</v>
      </c>
      <c r="J13" s="70">
        <v>3920.9</v>
      </c>
      <c r="K13" s="70">
        <v>352.7</v>
      </c>
      <c r="L13" s="70">
        <v>7557.7</v>
      </c>
      <c r="M13" s="70">
        <v>50.4</v>
      </c>
      <c r="N13" s="70">
        <v>679.9</v>
      </c>
      <c r="O13" s="70">
        <f t="shared" si="1"/>
        <v>12748.9</v>
      </c>
      <c r="P13" s="70">
        <v>560464</v>
      </c>
      <c r="Q13" s="70">
        <v>5262</v>
      </c>
      <c r="R13" s="70">
        <v>7997</v>
      </c>
      <c r="S13" s="70">
        <v>2469</v>
      </c>
      <c r="V13" s="236">
        <v>2023</v>
      </c>
      <c r="W13" s="281">
        <v>0</v>
      </c>
      <c r="X13" s="281">
        <v>6.0000000000000001E-3</v>
      </c>
      <c r="Y13" s="281">
        <v>8.9999999999999993E-3</v>
      </c>
      <c r="Z13" s="281">
        <v>1.2E-2</v>
      </c>
      <c r="AA13" s="237"/>
      <c r="AB13" s="84">
        <f t="shared" si="4"/>
        <v>6.7499999999999999E-3</v>
      </c>
      <c r="AC13" s="84">
        <f t="shared" si="3"/>
        <v>6.7499999999999999E-3</v>
      </c>
    </row>
    <row r="14" spans="1:29">
      <c r="A14" s="3">
        <v>37926</v>
      </c>
      <c r="B14">
        <f t="shared" si="0"/>
        <v>2003</v>
      </c>
      <c r="C14" s="3" t="s">
        <v>267</v>
      </c>
      <c r="D14" s="71">
        <v>6238.7</v>
      </c>
      <c r="E14" s="71">
        <v>6245.7</v>
      </c>
      <c r="F14" s="71">
        <v>242.3</v>
      </c>
      <c r="G14" s="71">
        <v>243.5</v>
      </c>
      <c r="H14" s="70">
        <v>561879</v>
      </c>
      <c r="I14" s="70">
        <v>5191.2</v>
      </c>
      <c r="J14" s="70">
        <v>3920.9</v>
      </c>
      <c r="K14" s="70">
        <v>352.7</v>
      </c>
      <c r="L14" s="70">
        <v>7557.7</v>
      </c>
      <c r="M14" s="70">
        <v>50.4</v>
      </c>
      <c r="N14" s="70">
        <v>679.9</v>
      </c>
      <c r="O14" s="70">
        <f t="shared" si="1"/>
        <v>12748.9</v>
      </c>
      <c r="P14" s="70">
        <v>560464</v>
      </c>
      <c r="Q14" s="70">
        <v>5262</v>
      </c>
      <c r="R14" s="70">
        <v>7997</v>
      </c>
      <c r="S14" s="70">
        <v>2469</v>
      </c>
    </row>
    <row r="15" spans="1:29">
      <c r="A15" s="3">
        <v>37956</v>
      </c>
      <c r="B15">
        <f t="shared" si="0"/>
        <v>2003</v>
      </c>
      <c r="C15" s="3" t="s">
        <v>267</v>
      </c>
      <c r="D15" s="71">
        <v>6258.4</v>
      </c>
      <c r="E15" s="71">
        <v>6264.5</v>
      </c>
      <c r="F15" s="71">
        <v>243</v>
      </c>
      <c r="G15" s="71">
        <v>243.5</v>
      </c>
      <c r="H15" s="70">
        <v>561879</v>
      </c>
      <c r="I15" s="70">
        <v>5191.2</v>
      </c>
      <c r="J15" s="70">
        <v>3920.9</v>
      </c>
      <c r="K15" s="70">
        <v>352.7</v>
      </c>
      <c r="L15" s="70">
        <v>7557.7</v>
      </c>
      <c r="M15" s="70">
        <v>50.4</v>
      </c>
      <c r="N15" s="70">
        <v>679.9</v>
      </c>
      <c r="O15" s="70">
        <f t="shared" si="1"/>
        <v>12748.9</v>
      </c>
      <c r="P15" s="70">
        <v>560464</v>
      </c>
      <c r="Q15" s="70">
        <v>5262</v>
      </c>
      <c r="R15" s="70">
        <v>7997</v>
      </c>
      <c r="S15" s="70">
        <v>2469</v>
      </c>
      <c r="U15" s="266" t="s">
        <v>363</v>
      </c>
      <c r="V15" s="266"/>
      <c r="W15" s="266"/>
    </row>
    <row r="16" spans="1:29">
      <c r="A16" s="3">
        <v>37987</v>
      </c>
      <c r="B16">
        <f t="shared" si="0"/>
        <v>2004</v>
      </c>
      <c r="C16" s="3" t="str">
        <f>C4</f>
        <v>Q1</v>
      </c>
      <c r="D16" s="71">
        <v>6277.1</v>
      </c>
      <c r="E16" s="71">
        <v>6241.9</v>
      </c>
      <c r="F16" s="71">
        <v>245.2</v>
      </c>
      <c r="G16" s="71">
        <v>243.9</v>
      </c>
      <c r="H16" s="70">
        <v>577813.69999999995</v>
      </c>
      <c r="I16" s="70">
        <v>5413.5</v>
      </c>
      <c r="J16" s="70">
        <v>4243.3</v>
      </c>
      <c r="K16" s="70">
        <v>348.3</v>
      </c>
      <c r="L16" s="70">
        <v>7824.5</v>
      </c>
      <c r="M16" s="70">
        <v>51.8</v>
      </c>
      <c r="N16" s="70">
        <v>606.1</v>
      </c>
      <c r="O16" s="70">
        <f t="shared" si="1"/>
        <v>13238</v>
      </c>
      <c r="P16" s="70">
        <v>566944</v>
      </c>
      <c r="Q16" s="70">
        <v>5300</v>
      </c>
      <c r="R16" s="70">
        <v>7867</v>
      </c>
      <c r="S16" s="70">
        <v>2663</v>
      </c>
      <c r="U16" s="266"/>
      <c r="V16" s="266" t="s">
        <v>358</v>
      </c>
      <c r="W16" s="266"/>
      <c r="AC16" s="84"/>
    </row>
    <row r="17" spans="1:30">
      <c r="A17" s="3">
        <v>38018</v>
      </c>
      <c r="B17">
        <f t="shared" si="0"/>
        <v>2004</v>
      </c>
      <c r="C17" s="3" t="str">
        <f t="shared" ref="C17:C80" si="5">C5</f>
        <v>Q1</v>
      </c>
      <c r="D17" s="71">
        <v>6295.6</v>
      </c>
      <c r="E17" s="71">
        <v>6226.4</v>
      </c>
      <c r="F17" s="71">
        <v>246.1</v>
      </c>
      <c r="G17" s="71">
        <v>243.7</v>
      </c>
      <c r="H17" s="70">
        <v>577813.69999999995</v>
      </c>
      <c r="I17" s="70">
        <v>5413.5</v>
      </c>
      <c r="J17" s="70">
        <v>4243.3</v>
      </c>
      <c r="K17" s="70">
        <v>348.3</v>
      </c>
      <c r="L17" s="70">
        <v>7824.5</v>
      </c>
      <c r="M17" s="70">
        <v>51.8</v>
      </c>
      <c r="N17" s="70">
        <v>606.1</v>
      </c>
      <c r="O17" s="70">
        <f t="shared" si="1"/>
        <v>13238</v>
      </c>
      <c r="P17" s="70">
        <v>566944</v>
      </c>
      <c r="Q17" s="70">
        <v>5300</v>
      </c>
      <c r="R17" s="70">
        <v>7867</v>
      </c>
      <c r="S17" s="70">
        <v>2663</v>
      </c>
      <c r="U17" s="266"/>
      <c r="V17" s="271" t="s">
        <v>359</v>
      </c>
      <c r="W17" s="272"/>
    </row>
    <row r="18" spans="1:30">
      <c r="A18" s="3">
        <v>38047</v>
      </c>
      <c r="B18">
        <f t="shared" si="0"/>
        <v>2004</v>
      </c>
      <c r="C18" s="3" t="str">
        <f t="shared" si="5"/>
        <v>Q1</v>
      </c>
      <c r="D18" s="71">
        <v>6296.9</v>
      </c>
      <c r="E18" s="71">
        <v>6195.9</v>
      </c>
      <c r="F18" s="71">
        <v>247.5</v>
      </c>
      <c r="G18" s="71">
        <v>244.1</v>
      </c>
      <c r="H18" s="70">
        <v>577813.69999999995</v>
      </c>
      <c r="I18" s="70">
        <v>5413.5</v>
      </c>
      <c r="J18" s="70">
        <v>4243.3</v>
      </c>
      <c r="K18" s="70">
        <v>348.3</v>
      </c>
      <c r="L18" s="70">
        <v>7824.5</v>
      </c>
      <c r="M18" s="70">
        <v>51.8</v>
      </c>
      <c r="N18" s="70">
        <v>606.1</v>
      </c>
      <c r="O18" s="70">
        <f t="shared" si="1"/>
        <v>13238</v>
      </c>
      <c r="P18" s="70">
        <v>566944</v>
      </c>
      <c r="Q18" s="70">
        <v>5300</v>
      </c>
      <c r="R18" s="70">
        <v>7867</v>
      </c>
      <c r="S18" s="70">
        <v>2663</v>
      </c>
      <c r="U18" s="266"/>
      <c r="V18" s="266"/>
      <c r="W18" s="266"/>
    </row>
    <row r="19" spans="1:30">
      <c r="A19" s="3">
        <v>38078</v>
      </c>
      <c r="B19">
        <f t="shared" si="0"/>
        <v>2004</v>
      </c>
      <c r="C19" s="3" t="str">
        <f t="shared" si="5"/>
        <v>Q2</v>
      </c>
      <c r="D19" s="71">
        <v>6299.1</v>
      </c>
      <c r="E19" s="71">
        <v>6211</v>
      </c>
      <c r="F19" s="71">
        <v>248.1</v>
      </c>
      <c r="G19" s="71">
        <v>244.7</v>
      </c>
      <c r="H19" s="70">
        <v>577813.69999999995</v>
      </c>
      <c r="I19" s="70">
        <v>5413.5</v>
      </c>
      <c r="J19" s="70">
        <v>4243.3</v>
      </c>
      <c r="K19" s="70">
        <v>348.3</v>
      </c>
      <c r="L19" s="70">
        <v>7824.5</v>
      </c>
      <c r="M19" s="70">
        <v>51.8</v>
      </c>
      <c r="N19" s="70">
        <v>606.1</v>
      </c>
      <c r="O19" s="70">
        <f t="shared" si="1"/>
        <v>13238</v>
      </c>
      <c r="P19" s="70">
        <v>575955</v>
      </c>
      <c r="Q19" s="70">
        <v>5402</v>
      </c>
      <c r="R19" s="70">
        <v>7951</v>
      </c>
      <c r="S19" s="70">
        <v>2764</v>
      </c>
      <c r="U19" s="266" t="s">
        <v>365</v>
      </c>
      <c r="V19" s="266"/>
      <c r="W19" s="266"/>
      <c r="X19" s="266"/>
      <c r="Y19" s="266"/>
      <c r="Z19" s="266"/>
    </row>
    <row r="20" spans="1:30">
      <c r="A20" s="3">
        <v>38108</v>
      </c>
      <c r="B20">
        <f t="shared" si="0"/>
        <v>2004</v>
      </c>
      <c r="C20" s="3" t="str">
        <f t="shared" si="5"/>
        <v>Q2</v>
      </c>
      <c r="D20" s="71">
        <v>6296.7</v>
      </c>
      <c r="E20" s="71">
        <v>6255.1</v>
      </c>
      <c r="F20" s="71">
        <v>246.6</v>
      </c>
      <c r="G20" s="71">
        <v>243.5</v>
      </c>
      <c r="H20" s="70">
        <v>577813.69999999995</v>
      </c>
      <c r="I20" s="70">
        <v>5413.5</v>
      </c>
      <c r="J20" s="70">
        <v>4243.3</v>
      </c>
      <c r="K20" s="70">
        <v>348.3</v>
      </c>
      <c r="L20" s="70">
        <v>7824.5</v>
      </c>
      <c r="M20" s="70">
        <v>51.8</v>
      </c>
      <c r="N20" s="70">
        <v>606.1</v>
      </c>
      <c r="O20" s="70">
        <f t="shared" si="1"/>
        <v>13238</v>
      </c>
      <c r="P20" s="70">
        <v>575955</v>
      </c>
      <c r="Q20" s="70">
        <v>5402</v>
      </c>
      <c r="R20" s="70">
        <v>7951</v>
      </c>
      <c r="S20" s="70">
        <v>2764</v>
      </c>
      <c r="U20" s="266"/>
      <c r="V20" s="266" t="s">
        <v>366</v>
      </c>
      <c r="W20" s="266"/>
      <c r="X20" s="266"/>
      <c r="Y20" s="266"/>
      <c r="Z20" s="266"/>
    </row>
    <row r="21" spans="1:30" ht="15.75">
      <c r="A21" s="3">
        <v>38139</v>
      </c>
      <c r="B21">
        <f t="shared" si="0"/>
        <v>2004</v>
      </c>
      <c r="C21" s="3" t="str">
        <f t="shared" si="5"/>
        <v>Q2</v>
      </c>
      <c r="D21" s="71">
        <v>6307.2</v>
      </c>
      <c r="E21" s="71">
        <v>6335.7</v>
      </c>
      <c r="F21" s="71">
        <v>248.9</v>
      </c>
      <c r="G21" s="71">
        <v>249</v>
      </c>
      <c r="H21" s="70">
        <v>577813.69999999995</v>
      </c>
      <c r="I21" s="70">
        <v>5413.5</v>
      </c>
      <c r="J21" s="70">
        <v>4243.3</v>
      </c>
      <c r="K21" s="70">
        <v>348.3</v>
      </c>
      <c r="L21" s="70">
        <v>7824.5</v>
      </c>
      <c r="M21" s="70">
        <v>51.8</v>
      </c>
      <c r="N21" s="70">
        <v>606.1</v>
      </c>
      <c r="O21" s="70">
        <f t="shared" si="1"/>
        <v>13238</v>
      </c>
      <c r="P21" s="70">
        <v>575955</v>
      </c>
      <c r="Q21" s="70">
        <v>5402</v>
      </c>
      <c r="R21" s="70">
        <v>7951</v>
      </c>
      <c r="S21" s="70">
        <v>2764</v>
      </c>
      <c r="U21" s="266"/>
      <c r="V21" s="266" t="s">
        <v>367</v>
      </c>
      <c r="W21" s="272"/>
      <c r="X21" s="267"/>
      <c r="Y21" s="268"/>
      <c r="Z21" s="269"/>
      <c r="AA21" s="121"/>
    </row>
    <row r="22" spans="1:30" ht="15.75">
      <c r="A22" s="3">
        <v>38169</v>
      </c>
      <c r="B22">
        <f t="shared" si="0"/>
        <v>2004</v>
      </c>
      <c r="C22" s="3" t="str">
        <f t="shared" si="5"/>
        <v>Q3</v>
      </c>
      <c r="D22" s="71">
        <v>6317.6</v>
      </c>
      <c r="E22" s="71">
        <v>6399.9</v>
      </c>
      <c r="F22" s="71">
        <v>251.7</v>
      </c>
      <c r="G22" s="71">
        <v>254.5</v>
      </c>
      <c r="H22" s="70">
        <v>577813.69999999995</v>
      </c>
      <c r="I22" s="70">
        <v>5413.5</v>
      </c>
      <c r="J22" s="70">
        <v>4243.3</v>
      </c>
      <c r="K22" s="70">
        <v>348.3</v>
      </c>
      <c r="L22" s="70">
        <v>7824.5</v>
      </c>
      <c r="M22" s="70">
        <v>51.8</v>
      </c>
      <c r="N22" s="70">
        <v>606.1</v>
      </c>
      <c r="O22" s="70">
        <f t="shared" si="1"/>
        <v>13238</v>
      </c>
      <c r="P22" s="70">
        <v>583242</v>
      </c>
      <c r="Q22" s="70">
        <v>5322</v>
      </c>
      <c r="R22" s="70">
        <v>7914</v>
      </c>
      <c r="S22" s="70">
        <v>2922</v>
      </c>
      <c r="U22" s="266"/>
      <c r="V22" s="273"/>
      <c r="W22" s="272"/>
      <c r="X22" s="267"/>
      <c r="Y22" s="268"/>
      <c r="Z22" s="268"/>
      <c r="AA22" s="74"/>
    </row>
    <row r="23" spans="1:30">
      <c r="A23" s="3">
        <v>38200</v>
      </c>
      <c r="B23">
        <f t="shared" si="0"/>
        <v>2004</v>
      </c>
      <c r="C23" s="3" t="str">
        <f t="shared" si="5"/>
        <v>Q3</v>
      </c>
      <c r="D23" s="71">
        <v>6319.4</v>
      </c>
      <c r="E23" s="71">
        <v>6421.5</v>
      </c>
      <c r="F23" s="71">
        <v>252.8</v>
      </c>
      <c r="G23" s="71">
        <v>257.10000000000002</v>
      </c>
      <c r="H23" s="70">
        <v>577813.69999999995</v>
      </c>
      <c r="I23" s="70">
        <v>5413.5</v>
      </c>
      <c r="J23" s="70">
        <v>4243.3</v>
      </c>
      <c r="K23" s="70">
        <v>348.3</v>
      </c>
      <c r="L23" s="70">
        <v>7824.5</v>
      </c>
      <c r="M23" s="70">
        <v>51.8</v>
      </c>
      <c r="N23" s="70">
        <v>606.1</v>
      </c>
      <c r="O23" s="70">
        <f t="shared" si="1"/>
        <v>13238</v>
      </c>
      <c r="P23" s="70">
        <v>583242</v>
      </c>
      <c r="Q23" s="70">
        <v>5322</v>
      </c>
      <c r="R23" s="70">
        <v>7914</v>
      </c>
      <c r="S23" s="70">
        <v>2922</v>
      </c>
      <c r="U23" s="266" t="s">
        <v>364</v>
      </c>
      <c r="V23" s="266"/>
      <c r="W23" s="270"/>
      <c r="X23" s="270"/>
      <c r="Y23" s="270"/>
      <c r="Z23" s="266"/>
      <c r="AA23" s="18"/>
    </row>
    <row r="24" spans="1:30">
      <c r="A24" s="3">
        <v>38231</v>
      </c>
      <c r="B24">
        <f t="shared" si="0"/>
        <v>2004</v>
      </c>
      <c r="C24" s="3" t="str">
        <f t="shared" si="5"/>
        <v>Q3</v>
      </c>
      <c r="D24" s="71">
        <v>6318.3</v>
      </c>
      <c r="E24" s="71">
        <v>6380.2</v>
      </c>
      <c r="F24" s="71">
        <v>248.6</v>
      </c>
      <c r="G24" s="71">
        <v>251.8</v>
      </c>
      <c r="H24" s="70">
        <v>577813.69999999995</v>
      </c>
      <c r="I24" s="70">
        <v>5413.5</v>
      </c>
      <c r="J24" s="70">
        <v>4243.3</v>
      </c>
      <c r="K24" s="70">
        <v>348.3</v>
      </c>
      <c r="L24" s="70">
        <v>7824.5</v>
      </c>
      <c r="M24" s="70">
        <v>51.8</v>
      </c>
      <c r="N24" s="70">
        <v>606.1</v>
      </c>
      <c r="O24" s="70">
        <f t="shared" si="1"/>
        <v>13238</v>
      </c>
      <c r="P24" s="70">
        <v>583242</v>
      </c>
      <c r="Q24" s="70">
        <v>5322</v>
      </c>
      <c r="R24" s="70">
        <v>7914</v>
      </c>
      <c r="S24" s="70">
        <v>2922</v>
      </c>
      <c r="U24" s="266"/>
      <c r="V24" s="266" t="s">
        <v>360</v>
      </c>
      <c r="W24" s="270"/>
      <c r="X24" s="270"/>
      <c r="Y24" s="270"/>
      <c r="Z24" s="266"/>
      <c r="AA24" s="18"/>
      <c r="AC24" s="47"/>
      <c r="AD24" s="47"/>
    </row>
    <row r="25" spans="1:30">
      <c r="A25" s="3">
        <v>38261</v>
      </c>
      <c r="B25">
        <f t="shared" si="0"/>
        <v>2004</v>
      </c>
      <c r="C25" s="3" t="str">
        <f t="shared" si="5"/>
        <v>Q4</v>
      </c>
      <c r="D25" s="71">
        <v>6319.4</v>
      </c>
      <c r="E25" s="71">
        <v>6355.5</v>
      </c>
      <c r="F25" s="71">
        <v>244.1</v>
      </c>
      <c r="G25" s="71">
        <v>246.1</v>
      </c>
      <c r="H25" s="70">
        <v>577813.69999999995</v>
      </c>
      <c r="I25" s="70">
        <v>5413.5</v>
      </c>
      <c r="J25" s="70">
        <v>4243.3</v>
      </c>
      <c r="K25" s="70">
        <v>348.3</v>
      </c>
      <c r="L25" s="70">
        <v>7824.5</v>
      </c>
      <c r="M25" s="70">
        <v>51.8</v>
      </c>
      <c r="N25" s="70">
        <v>606.1</v>
      </c>
      <c r="O25" s="70">
        <f t="shared" si="1"/>
        <v>13238</v>
      </c>
      <c r="P25" s="70">
        <v>585115</v>
      </c>
      <c r="Q25" s="70">
        <v>5630</v>
      </c>
      <c r="R25" s="70">
        <v>7566</v>
      </c>
      <c r="S25" s="70">
        <v>3062</v>
      </c>
      <c r="U25" s="266"/>
      <c r="V25" s="271" t="s">
        <v>359</v>
      </c>
      <c r="W25" s="270"/>
      <c r="X25" s="270"/>
      <c r="Y25" s="270"/>
      <c r="Z25" s="266"/>
      <c r="AA25" s="18"/>
    </row>
    <row r="26" spans="1:30">
      <c r="A26" s="3">
        <v>38292</v>
      </c>
      <c r="B26">
        <f t="shared" si="0"/>
        <v>2004</v>
      </c>
      <c r="C26" s="3" t="str">
        <f t="shared" si="5"/>
        <v>Q4</v>
      </c>
      <c r="D26" s="71">
        <v>6330.5</v>
      </c>
      <c r="E26" s="71">
        <v>6334.3</v>
      </c>
      <c r="F26" s="71">
        <v>243.8</v>
      </c>
      <c r="G26" s="71">
        <v>244.6</v>
      </c>
      <c r="H26" s="70">
        <v>577813.69999999995</v>
      </c>
      <c r="I26" s="70">
        <v>5413.5</v>
      </c>
      <c r="J26" s="70">
        <v>4243.3</v>
      </c>
      <c r="K26" s="70">
        <v>348.3</v>
      </c>
      <c r="L26" s="70">
        <v>7824.5</v>
      </c>
      <c r="M26" s="70">
        <v>51.8</v>
      </c>
      <c r="N26" s="70">
        <v>606.1</v>
      </c>
      <c r="O26" s="70">
        <f t="shared" si="1"/>
        <v>13238</v>
      </c>
      <c r="P26" s="70">
        <v>585115</v>
      </c>
      <c r="Q26" s="70">
        <v>5630</v>
      </c>
      <c r="R26" s="70">
        <v>7566</v>
      </c>
      <c r="S26" s="70">
        <v>3062</v>
      </c>
      <c r="U26" s="266"/>
      <c r="V26" s="266"/>
      <c r="W26" s="270"/>
      <c r="X26" s="270"/>
      <c r="Y26" s="270"/>
      <c r="Z26" s="266"/>
      <c r="AA26" s="18"/>
    </row>
    <row r="27" spans="1:30">
      <c r="A27" s="3">
        <v>38322</v>
      </c>
      <c r="B27">
        <f t="shared" si="0"/>
        <v>2004</v>
      </c>
      <c r="C27" s="3" t="str">
        <f t="shared" si="5"/>
        <v>Q4</v>
      </c>
      <c r="D27" s="71">
        <v>6338.8</v>
      </c>
      <c r="E27" s="71">
        <v>6345.2</v>
      </c>
      <c r="F27" s="71">
        <v>246.9</v>
      </c>
      <c r="G27" s="71">
        <v>246.8</v>
      </c>
      <c r="H27" s="70">
        <v>577813.69999999995</v>
      </c>
      <c r="I27" s="70">
        <v>5413.5</v>
      </c>
      <c r="J27" s="70">
        <v>4243.3</v>
      </c>
      <c r="K27" s="70">
        <v>348.3</v>
      </c>
      <c r="L27" s="70">
        <v>7824.5</v>
      </c>
      <c r="M27" s="70">
        <v>51.8</v>
      </c>
      <c r="N27" s="70">
        <v>606.1</v>
      </c>
      <c r="O27" s="70">
        <f t="shared" si="1"/>
        <v>13238</v>
      </c>
      <c r="P27" s="70">
        <v>585115</v>
      </c>
      <c r="Q27" s="70">
        <v>5630</v>
      </c>
      <c r="R27" s="70">
        <v>7566</v>
      </c>
      <c r="S27" s="70">
        <v>3062</v>
      </c>
      <c r="U27" s="266"/>
      <c r="V27" s="266"/>
      <c r="W27" s="270"/>
      <c r="X27" s="18"/>
      <c r="Y27" s="18"/>
      <c r="AA27" s="18"/>
    </row>
    <row r="28" spans="1:30">
      <c r="A28" s="3">
        <v>38353</v>
      </c>
      <c r="B28">
        <f t="shared" si="0"/>
        <v>2005</v>
      </c>
      <c r="C28" s="3" t="str">
        <f t="shared" si="5"/>
        <v>Q1</v>
      </c>
      <c r="D28" s="71">
        <v>6336.8</v>
      </c>
      <c r="E28" s="71">
        <v>6301.2</v>
      </c>
      <c r="F28" s="71">
        <v>248.9</v>
      </c>
      <c r="G28" s="71">
        <v>247</v>
      </c>
      <c r="H28" s="70">
        <v>596629.19999999995</v>
      </c>
      <c r="I28" s="70">
        <v>5954.9</v>
      </c>
      <c r="J28" s="70">
        <v>4696.2</v>
      </c>
      <c r="K28" s="70">
        <v>377.4</v>
      </c>
      <c r="L28" s="70">
        <v>8034.5</v>
      </c>
      <c r="M28" s="70">
        <v>52</v>
      </c>
      <c r="N28" s="70">
        <v>660.5</v>
      </c>
      <c r="O28" s="70">
        <f t="shared" si="1"/>
        <v>13989.4</v>
      </c>
      <c r="P28" s="70">
        <v>588964</v>
      </c>
      <c r="Q28" s="70">
        <v>5721</v>
      </c>
      <c r="R28" s="70">
        <v>7810</v>
      </c>
      <c r="S28" s="70">
        <v>2956</v>
      </c>
      <c r="W28" s="18"/>
      <c r="X28" s="18"/>
      <c r="Y28" s="18"/>
      <c r="AA28" s="18"/>
      <c r="AB28" s="18"/>
    </row>
    <row r="29" spans="1:30">
      <c r="A29" s="3">
        <v>38384</v>
      </c>
      <c r="B29">
        <f t="shared" si="0"/>
        <v>2005</v>
      </c>
      <c r="C29" s="3" t="str">
        <f t="shared" si="5"/>
        <v>Q1</v>
      </c>
      <c r="D29" s="71">
        <v>6339.3</v>
      </c>
      <c r="E29" s="71">
        <v>6270.7</v>
      </c>
      <c r="F29" s="71">
        <v>250.7</v>
      </c>
      <c r="G29" s="71">
        <v>247.9</v>
      </c>
      <c r="H29" s="70">
        <v>596629.19999999995</v>
      </c>
      <c r="I29" s="70">
        <v>5954.9</v>
      </c>
      <c r="J29" s="70">
        <v>4696.2</v>
      </c>
      <c r="K29" s="70">
        <v>377.4</v>
      </c>
      <c r="L29" s="70">
        <v>8034.5</v>
      </c>
      <c r="M29" s="70">
        <v>52</v>
      </c>
      <c r="N29" s="70">
        <v>660.5</v>
      </c>
      <c r="O29" s="70">
        <f t="shared" si="1"/>
        <v>13989.4</v>
      </c>
      <c r="P29" s="70">
        <v>588964</v>
      </c>
      <c r="Q29" s="70">
        <v>5721</v>
      </c>
      <c r="R29" s="70">
        <v>7810</v>
      </c>
      <c r="S29" s="70">
        <v>2956</v>
      </c>
      <c r="W29" s="18"/>
      <c r="X29" s="18"/>
      <c r="Y29" s="18"/>
      <c r="AA29" s="18"/>
    </row>
    <row r="30" spans="1:30">
      <c r="A30" s="3">
        <v>38412</v>
      </c>
      <c r="B30">
        <f t="shared" si="0"/>
        <v>2005</v>
      </c>
      <c r="C30" s="3" t="str">
        <f t="shared" si="5"/>
        <v>Q1</v>
      </c>
      <c r="D30" s="71">
        <v>6341.5</v>
      </c>
      <c r="E30" s="71">
        <v>6241.7</v>
      </c>
      <c r="F30" s="71">
        <v>251.4</v>
      </c>
      <c r="G30" s="71">
        <v>247.4</v>
      </c>
      <c r="H30" s="70">
        <v>596629.19999999995</v>
      </c>
      <c r="I30" s="70">
        <v>5954.9</v>
      </c>
      <c r="J30" s="70">
        <v>4696.2</v>
      </c>
      <c r="K30" s="70">
        <v>377.4</v>
      </c>
      <c r="L30" s="70">
        <v>8034.5</v>
      </c>
      <c r="M30" s="70">
        <v>52</v>
      </c>
      <c r="N30" s="70">
        <v>660.5</v>
      </c>
      <c r="O30" s="70">
        <f t="shared" si="1"/>
        <v>13989.4</v>
      </c>
      <c r="P30" s="70">
        <v>588964</v>
      </c>
      <c r="Q30" s="70">
        <v>5721</v>
      </c>
      <c r="R30" s="70">
        <v>7810</v>
      </c>
      <c r="S30" s="70">
        <v>2956</v>
      </c>
      <c r="W30" s="18"/>
      <c r="X30" s="18"/>
      <c r="Y30" s="18"/>
      <c r="AA30" s="18"/>
      <c r="AB30" s="18"/>
    </row>
    <row r="31" spans="1:30">
      <c r="A31" s="3">
        <v>38443</v>
      </c>
      <c r="B31">
        <f t="shared" si="0"/>
        <v>2005</v>
      </c>
      <c r="C31" s="3" t="str">
        <f t="shared" si="5"/>
        <v>Q2</v>
      </c>
      <c r="D31" s="71">
        <v>6352.9</v>
      </c>
      <c r="E31" s="71">
        <v>6267.8</v>
      </c>
      <c r="F31" s="71">
        <v>251.8</v>
      </c>
      <c r="G31" s="71">
        <v>248.2</v>
      </c>
      <c r="H31" s="70">
        <v>596629.19999999995</v>
      </c>
      <c r="I31" s="70">
        <v>5954.9</v>
      </c>
      <c r="J31" s="70">
        <v>4696.2</v>
      </c>
      <c r="K31" s="70">
        <v>377.4</v>
      </c>
      <c r="L31" s="70">
        <v>8034.5</v>
      </c>
      <c r="M31" s="70">
        <v>52</v>
      </c>
      <c r="N31" s="70">
        <v>660.5</v>
      </c>
      <c r="O31" s="70">
        <f t="shared" si="1"/>
        <v>13989.4</v>
      </c>
      <c r="P31" s="70">
        <v>593835</v>
      </c>
      <c r="Q31" s="70">
        <v>5987</v>
      </c>
      <c r="R31" s="70">
        <v>8121</v>
      </c>
      <c r="S31" s="70">
        <v>2811</v>
      </c>
      <c r="W31" s="18"/>
      <c r="X31" s="18"/>
      <c r="Y31" s="18"/>
      <c r="AA31" s="18"/>
      <c r="AB31" s="18"/>
      <c r="AD31" s="18"/>
    </row>
    <row r="32" spans="1:30">
      <c r="A32" s="3">
        <v>38473</v>
      </c>
      <c r="B32">
        <f t="shared" si="0"/>
        <v>2005</v>
      </c>
      <c r="C32" s="3" t="str">
        <f t="shared" si="5"/>
        <v>Q2</v>
      </c>
      <c r="D32" s="71">
        <v>6366</v>
      </c>
      <c r="E32" s="71">
        <v>6332.3</v>
      </c>
      <c r="F32" s="71">
        <v>251.3</v>
      </c>
      <c r="G32" s="71">
        <v>249.5</v>
      </c>
      <c r="H32" s="70">
        <v>596629.19999999995</v>
      </c>
      <c r="I32" s="70">
        <v>5954.9</v>
      </c>
      <c r="J32" s="70">
        <v>4696.2</v>
      </c>
      <c r="K32" s="70">
        <v>377.4</v>
      </c>
      <c r="L32" s="70">
        <v>8034.5</v>
      </c>
      <c r="M32" s="70">
        <v>52</v>
      </c>
      <c r="N32" s="70">
        <v>660.5</v>
      </c>
      <c r="O32" s="70">
        <f t="shared" si="1"/>
        <v>13989.4</v>
      </c>
      <c r="P32" s="70">
        <v>593835</v>
      </c>
      <c r="Q32" s="70">
        <v>5987</v>
      </c>
      <c r="R32" s="70">
        <v>8121</v>
      </c>
      <c r="S32" s="70">
        <v>2811</v>
      </c>
      <c r="W32" s="18"/>
      <c r="X32" s="18"/>
      <c r="Y32" s="18"/>
      <c r="AA32" s="18"/>
      <c r="AB32" s="18"/>
    </row>
    <row r="33" spans="1:30">
      <c r="A33" s="3">
        <v>38504</v>
      </c>
      <c r="B33">
        <f t="shared" si="0"/>
        <v>2005</v>
      </c>
      <c r="C33" s="3" t="str">
        <f t="shared" si="5"/>
        <v>Q2</v>
      </c>
      <c r="D33" s="71">
        <v>6378.7</v>
      </c>
      <c r="E33" s="71">
        <v>6413.4</v>
      </c>
      <c r="F33" s="71">
        <v>251</v>
      </c>
      <c r="G33" s="71">
        <v>252.3</v>
      </c>
      <c r="H33" s="70">
        <v>596629.19999999995</v>
      </c>
      <c r="I33" s="70">
        <v>5954.9</v>
      </c>
      <c r="J33" s="70">
        <v>4696.2</v>
      </c>
      <c r="K33" s="70">
        <v>377.4</v>
      </c>
      <c r="L33" s="70">
        <v>8034.5</v>
      </c>
      <c r="M33" s="70">
        <v>52</v>
      </c>
      <c r="N33" s="70">
        <v>660.5</v>
      </c>
      <c r="O33" s="70">
        <f t="shared" si="1"/>
        <v>13989.4</v>
      </c>
      <c r="P33" s="70">
        <v>593835</v>
      </c>
      <c r="Q33" s="70">
        <v>5987</v>
      </c>
      <c r="R33" s="70">
        <v>8121</v>
      </c>
      <c r="S33" s="70">
        <v>2811</v>
      </c>
      <c r="W33" s="18"/>
      <c r="X33" s="18"/>
      <c r="Y33" s="18"/>
      <c r="AA33" s="18"/>
      <c r="AB33" s="18"/>
      <c r="AD33" s="18"/>
    </row>
    <row r="34" spans="1:30">
      <c r="A34" s="3">
        <v>38534</v>
      </c>
      <c r="B34">
        <f t="shared" si="0"/>
        <v>2005</v>
      </c>
      <c r="C34" s="3" t="str">
        <f t="shared" si="5"/>
        <v>Q3</v>
      </c>
      <c r="D34" s="71">
        <v>6384.1</v>
      </c>
      <c r="E34" s="71">
        <v>6469.8</v>
      </c>
      <c r="F34" s="71">
        <v>251.4</v>
      </c>
      <c r="G34" s="71">
        <v>254.9</v>
      </c>
      <c r="H34" s="70">
        <v>596629.19999999995</v>
      </c>
      <c r="I34" s="70">
        <v>5954.9</v>
      </c>
      <c r="J34" s="70">
        <v>4696.2</v>
      </c>
      <c r="K34" s="70">
        <v>377.4</v>
      </c>
      <c r="L34" s="70">
        <v>8034.5</v>
      </c>
      <c r="M34" s="70">
        <v>52</v>
      </c>
      <c r="N34" s="70">
        <v>660.5</v>
      </c>
      <c r="O34" s="70">
        <f t="shared" si="1"/>
        <v>13989.4</v>
      </c>
      <c r="P34" s="70">
        <v>600085</v>
      </c>
      <c r="Q34" s="70">
        <v>6096</v>
      </c>
      <c r="R34" s="70">
        <v>8211</v>
      </c>
      <c r="S34" s="70">
        <v>2827</v>
      </c>
      <c r="W34" s="18"/>
      <c r="X34" s="18"/>
      <c r="Y34" s="18"/>
      <c r="AA34" s="18"/>
      <c r="AB34" s="18"/>
      <c r="AD34" s="18"/>
    </row>
    <row r="35" spans="1:30">
      <c r="A35" s="3">
        <v>38565</v>
      </c>
      <c r="B35">
        <f t="shared" si="0"/>
        <v>2005</v>
      </c>
      <c r="C35" s="3" t="str">
        <f t="shared" si="5"/>
        <v>Q3</v>
      </c>
      <c r="D35" s="71">
        <v>6384.6</v>
      </c>
      <c r="E35" s="71">
        <v>6482.5</v>
      </c>
      <c r="F35" s="71">
        <v>251.2</v>
      </c>
      <c r="G35" s="71">
        <v>255.1</v>
      </c>
      <c r="H35" s="70">
        <v>596629.19999999995</v>
      </c>
      <c r="I35" s="70">
        <v>5954.9</v>
      </c>
      <c r="J35" s="70">
        <v>4696.2</v>
      </c>
      <c r="K35" s="70">
        <v>377.4</v>
      </c>
      <c r="L35" s="70">
        <v>8034.5</v>
      </c>
      <c r="M35" s="70">
        <v>52</v>
      </c>
      <c r="N35" s="70">
        <v>660.5</v>
      </c>
      <c r="O35" s="70">
        <f t="shared" si="1"/>
        <v>13989.4</v>
      </c>
      <c r="P35" s="70">
        <v>600085</v>
      </c>
      <c r="Q35" s="70">
        <v>6096</v>
      </c>
      <c r="R35" s="70">
        <v>8211</v>
      </c>
      <c r="S35" s="70">
        <v>2827</v>
      </c>
      <c r="W35" s="18"/>
      <c r="X35" s="18"/>
      <c r="Y35" s="18"/>
      <c r="AA35" s="18"/>
      <c r="AD35" s="18"/>
    </row>
    <row r="36" spans="1:30">
      <c r="A36" s="3">
        <v>38596</v>
      </c>
      <c r="B36">
        <f t="shared" si="0"/>
        <v>2005</v>
      </c>
      <c r="C36" s="3" t="str">
        <f t="shared" si="5"/>
        <v>Q3</v>
      </c>
      <c r="D36" s="71">
        <v>6392.2</v>
      </c>
      <c r="E36" s="71">
        <v>6449.4</v>
      </c>
      <c r="F36" s="71">
        <v>249.8</v>
      </c>
      <c r="G36" s="71">
        <v>252.9</v>
      </c>
      <c r="H36" s="70">
        <v>596629.19999999995</v>
      </c>
      <c r="I36" s="70">
        <v>5954.9</v>
      </c>
      <c r="J36" s="70">
        <v>4696.2</v>
      </c>
      <c r="K36" s="70">
        <v>377.4</v>
      </c>
      <c r="L36" s="70">
        <v>8034.5</v>
      </c>
      <c r="M36" s="70">
        <v>52</v>
      </c>
      <c r="N36" s="70">
        <v>660.5</v>
      </c>
      <c r="O36" s="70">
        <f t="shared" si="1"/>
        <v>13989.4</v>
      </c>
      <c r="P36" s="70">
        <v>600085</v>
      </c>
      <c r="Q36" s="70">
        <v>6096</v>
      </c>
      <c r="R36" s="70">
        <v>8211</v>
      </c>
      <c r="S36" s="70">
        <v>2827</v>
      </c>
      <c r="W36" s="18"/>
      <c r="X36" s="18"/>
      <c r="Y36" s="18"/>
      <c r="AA36" s="18"/>
      <c r="AD36" s="18"/>
    </row>
    <row r="37" spans="1:30">
      <c r="A37" s="3">
        <v>38626</v>
      </c>
      <c r="B37">
        <f t="shared" si="0"/>
        <v>2005</v>
      </c>
      <c r="C37" s="3" t="str">
        <f t="shared" si="5"/>
        <v>Q4</v>
      </c>
      <c r="D37" s="71">
        <v>6406.2</v>
      </c>
      <c r="E37" s="71">
        <v>6440.1</v>
      </c>
      <c r="F37" s="71">
        <v>246.9</v>
      </c>
      <c r="G37" s="71">
        <v>249.2</v>
      </c>
      <c r="H37" s="70">
        <v>596629.19999999995</v>
      </c>
      <c r="I37" s="70">
        <v>5954.9</v>
      </c>
      <c r="J37" s="70">
        <v>4696.2</v>
      </c>
      <c r="K37" s="70">
        <v>377.4</v>
      </c>
      <c r="L37" s="70">
        <v>8034.5</v>
      </c>
      <c r="M37" s="70">
        <v>52</v>
      </c>
      <c r="N37" s="70">
        <v>660.5</v>
      </c>
      <c r="O37" s="70">
        <f t="shared" si="1"/>
        <v>13989.4</v>
      </c>
      <c r="P37" s="70">
        <v>603633</v>
      </c>
      <c r="Q37" s="70">
        <v>6016</v>
      </c>
      <c r="R37" s="70">
        <v>7997</v>
      </c>
      <c r="S37" s="70">
        <v>2688</v>
      </c>
      <c r="W37" s="18"/>
      <c r="X37" s="18"/>
      <c r="Y37" s="18"/>
      <c r="AA37" s="18"/>
      <c r="AD37" s="18"/>
    </row>
    <row r="38" spans="1:30">
      <c r="A38" s="3">
        <v>38657</v>
      </c>
      <c r="B38">
        <f t="shared" si="0"/>
        <v>2005</v>
      </c>
      <c r="C38" s="3" t="str">
        <f t="shared" si="5"/>
        <v>Q4</v>
      </c>
      <c r="D38" s="71">
        <v>6416.4</v>
      </c>
      <c r="E38" s="71">
        <v>6419.7</v>
      </c>
      <c r="F38" s="71">
        <v>245.1</v>
      </c>
      <c r="G38" s="71">
        <v>245.9</v>
      </c>
      <c r="H38" s="70">
        <v>596629.19999999995</v>
      </c>
      <c r="I38" s="70">
        <v>5954.9</v>
      </c>
      <c r="J38" s="70">
        <v>4696.2</v>
      </c>
      <c r="K38" s="70">
        <v>377.4</v>
      </c>
      <c r="L38" s="70">
        <v>8034.5</v>
      </c>
      <c r="M38" s="70">
        <v>52</v>
      </c>
      <c r="N38" s="70">
        <v>660.5</v>
      </c>
      <c r="O38" s="70">
        <f t="shared" si="1"/>
        <v>13989.4</v>
      </c>
      <c r="P38" s="70">
        <v>603633</v>
      </c>
      <c r="Q38" s="70">
        <v>6016</v>
      </c>
      <c r="R38" s="70">
        <v>7997</v>
      </c>
      <c r="S38" s="70">
        <v>2688</v>
      </c>
      <c r="W38" s="18"/>
      <c r="X38" s="18"/>
      <c r="Y38" s="18"/>
      <c r="AA38" s="18"/>
      <c r="AB38" s="18"/>
    </row>
    <row r="39" spans="1:30">
      <c r="A39" s="3">
        <v>38687</v>
      </c>
      <c r="B39">
        <f t="shared" si="0"/>
        <v>2005</v>
      </c>
      <c r="C39" s="3" t="str">
        <f t="shared" si="5"/>
        <v>Q4</v>
      </c>
      <c r="D39" s="71">
        <v>6412.2</v>
      </c>
      <c r="E39" s="71">
        <v>6419.7</v>
      </c>
      <c r="F39" s="71">
        <v>244.8</v>
      </c>
      <c r="G39" s="71">
        <v>244.6</v>
      </c>
      <c r="H39" s="70">
        <v>596629.19999999995</v>
      </c>
      <c r="I39" s="70">
        <v>5954.9</v>
      </c>
      <c r="J39" s="70">
        <v>4696.2</v>
      </c>
      <c r="K39" s="70">
        <v>377.4</v>
      </c>
      <c r="L39" s="70">
        <v>8034.5</v>
      </c>
      <c r="M39" s="70">
        <v>52</v>
      </c>
      <c r="N39" s="70">
        <v>660.5</v>
      </c>
      <c r="O39" s="70">
        <f t="shared" si="1"/>
        <v>13989.4</v>
      </c>
      <c r="P39" s="70">
        <v>603633</v>
      </c>
      <c r="Q39" s="70">
        <v>6016</v>
      </c>
      <c r="R39" s="70">
        <v>7997</v>
      </c>
      <c r="S39" s="70">
        <v>2688</v>
      </c>
      <c r="W39" s="18"/>
      <c r="X39" s="18"/>
      <c r="Y39" s="18"/>
      <c r="AA39" s="18"/>
    </row>
    <row r="40" spans="1:30">
      <c r="A40" s="3">
        <v>38718</v>
      </c>
      <c r="B40">
        <f t="shared" si="0"/>
        <v>2006</v>
      </c>
      <c r="C40" s="3" t="str">
        <f t="shared" si="5"/>
        <v>Q1</v>
      </c>
      <c r="D40" s="71">
        <v>6407.1</v>
      </c>
      <c r="E40" s="71">
        <v>6373.2</v>
      </c>
      <c r="F40" s="71">
        <v>245.7</v>
      </c>
      <c r="G40" s="71">
        <v>244.2</v>
      </c>
      <c r="H40" s="70">
        <v>608043.80000000005</v>
      </c>
      <c r="I40" s="70">
        <v>6065.3</v>
      </c>
      <c r="J40" s="70">
        <v>4945.3</v>
      </c>
      <c r="K40" s="70">
        <v>378</v>
      </c>
      <c r="L40" s="70">
        <v>7350</v>
      </c>
      <c r="M40" s="70">
        <v>52.6</v>
      </c>
      <c r="N40" s="70">
        <v>660.9</v>
      </c>
      <c r="O40" s="70">
        <f t="shared" si="1"/>
        <v>13415.3</v>
      </c>
      <c r="P40" s="70">
        <v>605745</v>
      </c>
      <c r="Q40" s="70">
        <v>6031</v>
      </c>
      <c r="R40" s="70">
        <v>7971</v>
      </c>
      <c r="S40" s="70">
        <v>2718</v>
      </c>
      <c r="W40" s="18"/>
      <c r="X40" s="18"/>
      <c r="Y40" s="18"/>
      <c r="AA40" s="18"/>
    </row>
    <row r="41" spans="1:30">
      <c r="A41" s="3">
        <v>38749</v>
      </c>
      <c r="B41">
        <f t="shared" si="0"/>
        <v>2006</v>
      </c>
      <c r="C41" s="3" t="str">
        <f t="shared" si="5"/>
        <v>Q1</v>
      </c>
      <c r="D41" s="71">
        <v>6397.5</v>
      </c>
      <c r="E41" s="71">
        <v>6330.4</v>
      </c>
      <c r="F41" s="71">
        <v>246</v>
      </c>
      <c r="G41" s="71">
        <v>243.6</v>
      </c>
      <c r="H41" s="70">
        <v>608043.80000000005</v>
      </c>
      <c r="I41" s="70">
        <v>6065.3</v>
      </c>
      <c r="J41" s="70">
        <v>4945.3</v>
      </c>
      <c r="K41" s="70">
        <v>378</v>
      </c>
      <c r="L41" s="70">
        <v>7350</v>
      </c>
      <c r="M41" s="70">
        <v>52.6</v>
      </c>
      <c r="N41" s="70">
        <v>660.9</v>
      </c>
      <c r="O41" s="70">
        <f t="shared" si="1"/>
        <v>13415.3</v>
      </c>
      <c r="P41" s="70">
        <v>605745</v>
      </c>
      <c r="Q41" s="70">
        <v>6031</v>
      </c>
      <c r="R41" s="70">
        <v>7971</v>
      </c>
      <c r="S41" s="70">
        <v>2718</v>
      </c>
      <c r="W41" s="18"/>
      <c r="X41" s="18"/>
      <c r="Y41" s="18"/>
      <c r="AA41" s="18"/>
    </row>
    <row r="42" spans="1:30">
      <c r="A42" s="3">
        <v>38777</v>
      </c>
      <c r="B42">
        <f t="shared" si="0"/>
        <v>2006</v>
      </c>
      <c r="C42" s="3" t="str">
        <f t="shared" si="5"/>
        <v>Q1</v>
      </c>
      <c r="D42" s="138">
        <v>6425.6</v>
      </c>
      <c r="E42" s="138">
        <v>6323</v>
      </c>
      <c r="F42" s="138">
        <v>248</v>
      </c>
      <c r="G42" s="138">
        <v>244.2</v>
      </c>
      <c r="H42" s="70">
        <v>608043.80000000005</v>
      </c>
      <c r="I42" s="70">
        <v>6065.3</v>
      </c>
      <c r="J42" s="70">
        <v>4945.3</v>
      </c>
      <c r="K42" s="70">
        <v>378</v>
      </c>
      <c r="L42" s="70">
        <v>7350</v>
      </c>
      <c r="M42" s="70">
        <v>52.6</v>
      </c>
      <c r="N42" s="70">
        <v>660.9</v>
      </c>
      <c r="O42" s="70">
        <f t="shared" si="1"/>
        <v>13415.3</v>
      </c>
      <c r="P42" s="70">
        <v>605745</v>
      </c>
      <c r="Q42" s="70">
        <v>6031</v>
      </c>
      <c r="R42" s="70">
        <v>7971</v>
      </c>
      <c r="S42" s="70">
        <v>2718</v>
      </c>
      <c r="V42" s="75"/>
      <c r="W42" s="73"/>
      <c r="X42" s="73"/>
      <c r="Y42" s="74"/>
      <c r="Z42" s="74"/>
      <c r="AA42" s="74"/>
    </row>
    <row r="43" spans="1:30">
      <c r="A43" s="3">
        <v>38808</v>
      </c>
      <c r="B43">
        <f t="shared" si="0"/>
        <v>2006</v>
      </c>
      <c r="C43" s="3" t="str">
        <f t="shared" si="5"/>
        <v>Q2</v>
      </c>
      <c r="D43" s="138">
        <v>6443.9</v>
      </c>
      <c r="E43" s="138">
        <v>6354.8</v>
      </c>
      <c r="F43" s="138">
        <v>251.4</v>
      </c>
      <c r="G43" s="138">
        <v>248.1</v>
      </c>
      <c r="H43" s="70">
        <v>608043.80000000005</v>
      </c>
      <c r="I43" s="70">
        <v>6065.3</v>
      </c>
      <c r="J43" s="70">
        <v>4945.3</v>
      </c>
      <c r="K43" s="70">
        <v>378</v>
      </c>
      <c r="L43" s="70">
        <v>7350</v>
      </c>
      <c r="M43" s="70">
        <v>52.6</v>
      </c>
      <c r="N43" s="70">
        <v>660.9</v>
      </c>
      <c r="O43" s="70">
        <f t="shared" si="1"/>
        <v>13415.3</v>
      </c>
      <c r="P43" s="70">
        <v>607770</v>
      </c>
      <c r="Q43" s="70">
        <v>6052</v>
      </c>
      <c r="R43" s="70">
        <v>7449</v>
      </c>
      <c r="S43" s="70">
        <v>2716</v>
      </c>
      <c r="V43" s="75"/>
      <c r="W43" s="73"/>
      <c r="X43" s="73"/>
      <c r="Y43" s="74"/>
      <c r="Z43" s="74"/>
      <c r="AA43" s="74"/>
    </row>
    <row r="44" spans="1:30">
      <c r="A44" s="3">
        <v>38838</v>
      </c>
      <c r="B44">
        <f t="shared" si="0"/>
        <v>2006</v>
      </c>
      <c r="C44" s="3" t="str">
        <f t="shared" si="5"/>
        <v>Q2</v>
      </c>
      <c r="D44" s="138">
        <v>6474.2</v>
      </c>
      <c r="E44" s="138">
        <v>6438.3</v>
      </c>
      <c r="F44" s="138">
        <v>255.1</v>
      </c>
      <c r="G44" s="138">
        <v>253.5</v>
      </c>
      <c r="H44" s="70">
        <v>608043.80000000005</v>
      </c>
      <c r="I44" s="70">
        <v>6065.3</v>
      </c>
      <c r="J44" s="70">
        <v>4945.3</v>
      </c>
      <c r="K44" s="70">
        <v>378</v>
      </c>
      <c r="L44" s="70">
        <v>7350</v>
      </c>
      <c r="M44" s="70">
        <v>52.6</v>
      </c>
      <c r="N44" s="70">
        <v>660.9</v>
      </c>
      <c r="O44" s="70">
        <f t="shared" si="1"/>
        <v>13415.3</v>
      </c>
      <c r="P44" s="70">
        <v>607770</v>
      </c>
      <c r="Q44" s="70">
        <v>6052</v>
      </c>
      <c r="R44" s="70">
        <v>7449</v>
      </c>
      <c r="S44" s="70">
        <v>2716</v>
      </c>
      <c r="V44" s="75"/>
      <c r="W44" s="73"/>
      <c r="X44" s="73"/>
      <c r="Y44" s="74"/>
      <c r="Z44" s="74"/>
      <c r="AA44" s="74"/>
    </row>
    <row r="45" spans="1:30">
      <c r="A45" s="3">
        <v>38869</v>
      </c>
      <c r="B45">
        <f t="shared" si="0"/>
        <v>2006</v>
      </c>
      <c r="C45" s="3" t="str">
        <f t="shared" si="5"/>
        <v>Q2</v>
      </c>
      <c r="D45" s="138">
        <v>6487.5</v>
      </c>
      <c r="E45" s="138">
        <v>6522.6</v>
      </c>
      <c r="F45" s="138">
        <v>255.3</v>
      </c>
      <c r="G45" s="138">
        <v>256.39999999999998</v>
      </c>
      <c r="H45" s="70">
        <v>608043.80000000005</v>
      </c>
      <c r="I45" s="70">
        <v>6065.3</v>
      </c>
      <c r="J45" s="70">
        <v>4945.3</v>
      </c>
      <c r="K45" s="70">
        <v>378</v>
      </c>
      <c r="L45" s="70">
        <v>7350</v>
      </c>
      <c r="M45" s="70">
        <v>52.6</v>
      </c>
      <c r="N45" s="70">
        <v>660.9</v>
      </c>
      <c r="O45" s="70">
        <f t="shared" si="1"/>
        <v>13415.3</v>
      </c>
      <c r="P45" s="70">
        <v>607770</v>
      </c>
      <c r="Q45" s="70">
        <v>6052</v>
      </c>
      <c r="R45" s="70">
        <v>7449</v>
      </c>
      <c r="S45" s="70">
        <v>2716</v>
      </c>
      <c r="V45" s="75"/>
      <c r="W45" s="73"/>
      <c r="X45" s="73"/>
      <c r="Y45" s="74"/>
      <c r="Z45" s="74"/>
      <c r="AA45" s="74"/>
    </row>
    <row r="46" spans="1:30">
      <c r="A46" s="3">
        <v>38899</v>
      </c>
      <c r="B46">
        <f t="shared" si="0"/>
        <v>2006</v>
      </c>
      <c r="C46" s="3" t="str">
        <f t="shared" si="5"/>
        <v>Q3</v>
      </c>
      <c r="D46" s="138">
        <v>6490.5</v>
      </c>
      <c r="E46" s="138">
        <v>6579.9</v>
      </c>
      <c r="F46" s="138">
        <v>251.3</v>
      </c>
      <c r="G46" s="138">
        <v>254.1</v>
      </c>
      <c r="H46" s="70">
        <v>608043.80000000005</v>
      </c>
      <c r="I46" s="70">
        <v>6065.3</v>
      </c>
      <c r="J46" s="70">
        <v>4945.3</v>
      </c>
      <c r="K46" s="70">
        <v>378</v>
      </c>
      <c r="L46" s="70">
        <v>7350</v>
      </c>
      <c r="M46" s="70">
        <v>52.6</v>
      </c>
      <c r="N46" s="70">
        <v>660.9</v>
      </c>
      <c r="O46" s="70">
        <f t="shared" si="1"/>
        <v>13415.3</v>
      </c>
      <c r="P46" s="70">
        <v>607554</v>
      </c>
      <c r="Q46" s="70">
        <v>6061</v>
      </c>
      <c r="R46" s="70">
        <v>7060</v>
      </c>
      <c r="S46" s="70">
        <v>2786</v>
      </c>
      <c r="V46" s="75"/>
      <c r="W46" s="73"/>
      <c r="X46" s="73"/>
      <c r="Y46" s="74"/>
      <c r="Z46" s="74"/>
      <c r="AA46" s="74"/>
    </row>
    <row r="47" spans="1:30">
      <c r="A47" s="3">
        <v>38930</v>
      </c>
      <c r="B47">
        <f t="shared" si="0"/>
        <v>2006</v>
      </c>
      <c r="C47" s="3" t="str">
        <f t="shared" si="5"/>
        <v>Q3</v>
      </c>
      <c r="D47" s="138">
        <v>6479.5</v>
      </c>
      <c r="E47" s="138">
        <v>6578.8</v>
      </c>
      <c r="F47" s="138">
        <v>248.2</v>
      </c>
      <c r="G47" s="138">
        <v>251</v>
      </c>
      <c r="H47" s="70">
        <v>608043.80000000005</v>
      </c>
      <c r="I47" s="70">
        <v>6065.3</v>
      </c>
      <c r="J47" s="70">
        <v>4945.3</v>
      </c>
      <c r="K47" s="70">
        <v>378</v>
      </c>
      <c r="L47" s="70">
        <v>7350</v>
      </c>
      <c r="M47" s="70">
        <v>52.6</v>
      </c>
      <c r="N47" s="70">
        <v>660.9</v>
      </c>
      <c r="O47" s="70">
        <f t="shared" si="1"/>
        <v>13415.3</v>
      </c>
      <c r="P47" s="70">
        <v>607554</v>
      </c>
      <c r="Q47" s="70">
        <v>6061</v>
      </c>
      <c r="R47" s="70">
        <v>7060</v>
      </c>
      <c r="S47" s="70">
        <v>2786</v>
      </c>
      <c r="V47" s="75"/>
      <c r="W47" s="73"/>
      <c r="X47" s="73"/>
      <c r="Y47" s="74"/>
      <c r="Z47" s="74"/>
      <c r="AA47" s="74"/>
    </row>
    <row r="48" spans="1:30">
      <c r="A48" s="3">
        <v>38961</v>
      </c>
      <c r="B48">
        <f t="shared" si="0"/>
        <v>2006</v>
      </c>
      <c r="C48" s="3" t="str">
        <f t="shared" si="5"/>
        <v>Q3</v>
      </c>
      <c r="D48" s="138">
        <v>6465.3</v>
      </c>
      <c r="E48" s="138">
        <v>6521.1</v>
      </c>
      <c r="F48" s="138">
        <v>249.3</v>
      </c>
      <c r="G48" s="138">
        <v>251.6</v>
      </c>
      <c r="H48" s="70">
        <v>608043.80000000005</v>
      </c>
      <c r="I48" s="70">
        <v>6065.3</v>
      </c>
      <c r="J48" s="70">
        <v>4945.3</v>
      </c>
      <c r="K48" s="70">
        <v>378</v>
      </c>
      <c r="L48" s="70">
        <v>7350</v>
      </c>
      <c r="M48" s="70">
        <v>52.6</v>
      </c>
      <c r="N48" s="70">
        <v>660.9</v>
      </c>
      <c r="O48" s="70">
        <f t="shared" si="1"/>
        <v>13415.3</v>
      </c>
      <c r="P48" s="70">
        <v>607554</v>
      </c>
      <c r="Q48" s="70">
        <v>6061</v>
      </c>
      <c r="R48" s="70">
        <v>7060</v>
      </c>
      <c r="S48" s="70">
        <v>2786</v>
      </c>
      <c r="V48" s="75"/>
      <c r="W48" s="73"/>
      <c r="X48" s="73"/>
      <c r="Y48" s="74"/>
      <c r="Z48" s="74"/>
      <c r="AA48" s="74"/>
    </row>
    <row r="49" spans="1:27">
      <c r="A49" s="3">
        <v>38991</v>
      </c>
      <c r="B49">
        <f t="shared" si="0"/>
        <v>2006</v>
      </c>
      <c r="C49" s="3" t="str">
        <f t="shared" si="5"/>
        <v>Q4</v>
      </c>
      <c r="D49" s="138">
        <v>6449.1</v>
      </c>
      <c r="E49" s="138">
        <v>6481.4</v>
      </c>
      <c r="F49" s="138">
        <v>252.2</v>
      </c>
      <c r="G49" s="138">
        <v>254</v>
      </c>
      <c r="H49" s="70">
        <v>608043.80000000005</v>
      </c>
      <c r="I49" s="70">
        <v>6065.3</v>
      </c>
      <c r="J49" s="70">
        <v>4945.3</v>
      </c>
      <c r="K49" s="70">
        <v>378</v>
      </c>
      <c r="L49" s="70">
        <v>7350</v>
      </c>
      <c r="M49" s="70">
        <v>52.6</v>
      </c>
      <c r="N49" s="70">
        <v>660.9</v>
      </c>
      <c r="O49" s="70">
        <f t="shared" si="1"/>
        <v>13415.3</v>
      </c>
      <c r="P49" s="70">
        <v>611107</v>
      </c>
      <c r="Q49" s="70">
        <v>6117</v>
      </c>
      <c r="R49" s="70">
        <v>6919</v>
      </c>
      <c r="S49" s="70">
        <v>2881</v>
      </c>
      <c r="V49" s="75"/>
      <c r="W49" s="73"/>
      <c r="X49" s="73"/>
      <c r="Y49" s="74"/>
      <c r="Z49" s="74"/>
      <c r="AA49" s="74"/>
    </row>
    <row r="50" spans="1:27">
      <c r="A50" s="3">
        <v>39022</v>
      </c>
      <c r="B50">
        <f t="shared" si="0"/>
        <v>2006</v>
      </c>
      <c r="C50" s="3" t="str">
        <f t="shared" si="5"/>
        <v>Q4</v>
      </c>
      <c r="D50" s="138">
        <v>6448.9</v>
      </c>
      <c r="E50" s="138">
        <v>6452.4</v>
      </c>
      <c r="F50" s="138">
        <v>254.8</v>
      </c>
      <c r="G50" s="138">
        <v>255.5</v>
      </c>
      <c r="H50" s="70">
        <v>608043.80000000005</v>
      </c>
      <c r="I50" s="70">
        <v>6065.3</v>
      </c>
      <c r="J50" s="70">
        <v>4945.3</v>
      </c>
      <c r="K50" s="70">
        <v>378</v>
      </c>
      <c r="L50" s="70">
        <v>7350</v>
      </c>
      <c r="M50" s="70">
        <v>52.6</v>
      </c>
      <c r="N50" s="70">
        <v>660.9</v>
      </c>
      <c r="O50" s="70">
        <f t="shared" si="1"/>
        <v>13415.3</v>
      </c>
      <c r="P50" s="70">
        <v>611107</v>
      </c>
      <c r="Q50" s="70">
        <v>6117</v>
      </c>
      <c r="R50" s="70">
        <v>6919</v>
      </c>
      <c r="S50" s="70">
        <v>2881</v>
      </c>
      <c r="V50" s="75"/>
      <c r="W50" s="73"/>
      <c r="X50" s="73"/>
      <c r="Y50" s="74"/>
      <c r="Z50" s="74"/>
      <c r="AA50" s="74"/>
    </row>
    <row r="51" spans="1:27">
      <c r="A51" s="3">
        <v>39052</v>
      </c>
      <c r="B51">
        <f t="shared" si="0"/>
        <v>2006</v>
      </c>
      <c r="C51" s="3" t="str">
        <f t="shared" si="5"/>
        <v>Q4</v>
      </c>
      <c r="D51" s="138">
        <v>6465.7</v>
      </c>
      <c r="E51" s="138">
        <v>6475.3</v>
      </c>
      <c r="F51" s="138">
        <v>255.8</v>
      </c>
      <c r="G51" s="138">
        <v>256</v>
      </c>
      <c r="H51" s="70">
        <v>608043.80000000005</v>
      </c>
      <c r="I51" s="70">
        <v>6065.3</v>
      </c>
      <c r="J51" s="70">
        <v>4945.3</v>
      </c>
      <c r="K51" s="70">
        <v>378</v>
      </c>
      <c r="L51" s="70">
        <v>7350</v>
      </c>
      <c r="M51" s="70">
        <v>52.6</v>
      </c>
      <c r="N51" s="70">
        <v>660.9</v>
      </c>
      <c r="O51" s="70">
        <f t="shared" si="1"/>
        <v>13415.3</v>
      </c>
      <c r="P51" s="70">
        <v>611107</v>
      </c>
      <c r="Q51" s="70">
        <v>6117</v>
      </c>
      <c r="R51" s="70">
        <v>6919</v>
      </c>
      <c r="S51" s="70">
        <v>2881</v>
      </c>
      <c r="V51" s="75"/>
      <c r="W51" s="73"/>
      <c r="X51" s="73"/>
      <c r="Y51" s="74"/>
      <c r="Z51" s="74"/>
      <c r="AA51" s="74"/>
    </row>
    <row r="52" spans="1:27">
      <c r="A52" s="3">
        <v>39083</v>
      </c>
      <c r="B52">
        <f t="shared" si="0"/>
        <v>2007</v>
      </c>
      <c r="C52" s="3" t="str">
        <f t="shared" si="5"/>
        <v>Q1</v>
      </c>
      <c r="D52" s="138">
        <v>6488</v>
      </c>
      <c r="E52" s="138">
        <v>6451.5</v>
      </c>
      <c r="F52" s="138">
        <v>254.9</v>
      </c>
      <c r="G52" s="138">
        <v>253.4</v>
      </c>
      <c r="H52" s="70">
        <v>613525.9</v>
      </c>
      <c r="I52" s="70">
        <v>5896.9</v>
      </c>
      <c r="J52" s="70">
        <v>4861.8</v>
      </c>
      <c r="K52" s="70">
        <v>405.1</v>
      </c>
      <c r="L52" s="70">
        <v>7247.1</v>
      </c>
      <c r="M52" s="70">
        <v>95.8</v>
      </c>
      <c r="N52" s="70">
        <v>904.6</v>
      </c>
      <c r="O52" s="70">
        <f t="shared" si="1"/>
        <v>13144</v>
      </c>
      <c r="P52" s="70">
        <v>612748</v>
      </c>
      <c r="Q52" s="70">
        <v>6068</v>
      </c>
      <c r="R52" s="70">
        <v>6940</v>
      </c>
      <c r="S52" s="70">
        <v>2796</v>
      </c>
      <c r="V52" s="75"/>
      <c r="W52" s="73"/>
      <c r="X52" s="73"/>
      <c r="Y52" s="74"/>
      <c r="Z52" s="74"/>
      <c r="AA52" s="74"/>
    </row>
    <row r="53" spans="1:27">
      <c r="A53" s="3">
        <v>39114</v>
      </c>
      <c r="B53">
        <f t="shared" si="0"/>
        <v>2007</v>
      </c>
      <c r="C53" s="3" t="str">
        <f t="shared" si="5"/>
        <v>Q1</v>
      </c>
      <c r="D53" s="138">
        <v>6505.6</v>
      </c>
      <c r="E53" s="138">
        <v>6433.1</v>
      </c>
      <c r="F53" s="138">
        <v>255</v>
      </c>
      <c r="G53" s="138">
        <v>252.5</v>
      </c>
      <c r="H53" s="70">
        <v>613525.9</v>
      </c>
      <c r="I53" s="70">
        <v>5896.9</v>
      </c>
      <c r="J53" s="70">
        <v>4861.8</v>
      </c>
      <c r="K53" s="70">
        <v>405.1</v>
      </c>
      <c r="L53" s="70">
        <v>7247.1</v>
      </c>
      <c r="M53" s="70">
        <v>95.8</v>
      </c>
      <c r="N53" s="70">
        <v>904.6</v>
      </c>
      <c r="O53" s="70">
        <f t="shared" si="1"/>
        <v>13144</v>
      </c>
      <c r="P53" s="70">
        <v>612748</v>
      </c>
      <c r="Q53" s="70">
        <v>6068</v>
      </c>
      <c r="R53" s="70">
        <v>6940</v>
      </c>
      <c r="S53" s="70">
        <v>2796</v>
      </c>
      <c r="V53" s="75"/>
      <c r="W53" s="73"/>
      <c r="X53" s="73"/>
      <c r="Y53" s="74"/>
      <c r="Z53" s="74"/>
      <c r="AA53" s="74"/>
    </row>
    <row r="54" spans="1:27">
      <c r="A54" s="3">
        <v>39142</v>
      </c>
      <c r="B54">
        <f t="shared" si="0"/>
        <v>2007</v>
      </c>
      <c r="C54" s="3" t="str">
        <f t="shared" si="5"/>
        <v>Q1</v>
      </c>
      <c r="D54" s="138">
        <v>6504.9</v>
      </c>
      <c r="E54" s="138">
        <v>6398.6</v>
      </c>
      <c r="F54" s="138">
        <v>253.8</v>
      </c>
      <c r="G54" s="138">
        <v>249.6</v>
      </c>
      <c r="H54" s="70">
        <v>613525.9</v>
      </c>
      <c r="I54" s="70">
        <v>5896.9</v>
      </c>
      <c r="J54" s="70">
        <v>4861.8</v>
      </c>
      <c r="K54" s="70">
        <v>405.1</v>
      </c>
      <c r="L54" s="70">
        <v>7247.1</v>
      </c>
      <c r="M54" s="70">
        <v>95.8</v>
      </c>
      <c r="N54" s="70">
        <v>904.6</v>
      </c>
      <c r="O54" s="70">
        <f t="shared" si="1"/>
        <v>13144</v>
      </c>
      <c r="P54" s="70">
        <v>612748</v>
      </c>
      <c r="Q54" s="70">
        <v>6068</v>
      </c>
      <c r="R54" s="70">
        <v>6940</v>
      </c>
      <c r="S54" s="70">
        <v>2796</v>
      </c>
      <c r="V54" s="75"/>
      <c r="W54" s="73"/>
      <c r="X54" s="73"/>
      <c r="Y54" s="74"/>
      <c r="Z54" s="74"/>
      <c r="AA54" s="74"/>
    </row>
    <row r="55" spans="1:27">
      <c r="A55" s="3">
        <v>39173</v>
      </c>
      <c r="B55">
        <f t="shared" si="0"/>
        <v>2007</v>
      </c>
      <c r="C55" s="3" t="str">
        <f t="shared" si="5"/>
        <v>Q2</v>
      </c>
      <c r="D55" s="138">
        <v>6502.4</v>
      </c>
      <c r="E55" s="138">
        <v>6413.7</v>
      </c>
      <c r="F55" s="138">
        <v>253</v>
      </c>
      <c r="G55" s="138">
        <v>248.8</v>
      </c>
      <c r="H55" s="70">
        <v>613525.9</v>
      </c>
      <c r="I55" s="70">
        <v>5896.9</v>
      </c>
      <c r="J55" s="70">
        <v>4861.8</v>
      </c>
      <c r="K55" s="70">
        <v>405.1</v>
      </c>
      <c r="L55" s="70">
        <v>7247.1</v>
      </c>
      <c r="M55" s="70">
        <v>95.8</v>
      </c>
      <c r="N55" s="70">
        <v>904.6</v>
      </c>
      <c r="O55" s="70">
        <f t="shared" si="1"/>
        <v>13144</v>
      </c>
      <c r="P55" s="70">
        <v>612779</v>
      </c>
      <c r="Q55" s="70">
        <v>5801</v>
      </c>
      <c r="R55" s="70">
        <v>6935</v>
      </c>
      <c r="S55" s="70">
        <v>2821</v>
      </c>
      <c r="V55" s="75"/>
      <c r="W55" s="73"/>
      <c r="X55" s="73"/>
      <c r="Y55" s="74"/>
      <c r="Z55" s="74"/>
      <c r="AA55" s="74"/>
    </row>
    <row r="56" spans="1:27">
      <c r="A56" s="3">
        <v>39203</v>
      </c>
      <c r="B56">
        <f t="shared" si="0"/>
        <v>2007</v>
      </c>
      <c r="C56" s="3" t="str">
        <f t="shared" si="5"/>
        <v>Q2</v>
      </c>
      <c r="D56" s="138">
        <v>6503.5</v>
      </c>
      <c r="E56" s="138">
        <v>6470.3</v>
      </c>
      <c r="F56" s="138">
        <v>250.8</v>
      </c>
      <c r="G56" s="138">
        <v>248.4</v>
      </c>
      <c r="H56" s="70">
        <v>613525.9</v>
      </c>
      <c r="I56" s="70">
        <v>5896.9</v>
      </c>
      <c r="J56" s="70">
        <v>4861.8</v>
      </c>
      <c r="K56" s="70">
        <v>405.1</v>
      </c>
      <c r="L56" s="70">
        <v>7247.1</v>
      </c>
      <c r="M56" s="70">
        <v>95.8</v>
      </c>
      <c r="N56" s="70">
        <v>904.6</v>
      </c>
      <c r="O56" s="70">
        <f t="shared" si="1"/>
        <v>13144</v>
      </c>
      <c r="P56" s="70">
        <v>612779</v>
      </c>
      <c r="Q56" s="70">
        <v>5801</v>
      </c>
      <c r="R56" s="70">
        <v>6935</v>
      </c>
      <c r="S56" s="70">
        <v>2821</v>
      </c>
      <c r="V56" s="75"/>
      <c r="W56" s="73"/>
      <c r="X56" s="73"/>
      <c r="Y56" s="74"/>
      <c r="Z56" s="74"/>
      <c r="AA56" s="74"/>
    </row>
    <row r="57" spans="1:27">
      <c r="A57" s="3">
        <v>39234</v>
      </c>
      <c r="B57">
        <f t="shared" si="0"/>
        <v>2007</v>
      </c>
      <c r="C57" s="3" t="str">
        <f t="shared" si="5"/>
        <v>Q2</v>
      </c>
      <c r="D57" s="138">
        <v>6511.1</v>
      </c>
      <c r="E57" s="138">
        <v>6548.6</v>
      </c>
      <c r="F57" s="138">
        <v>249.6</v>
      </c>
      <c r="G57" s="138">
        <v>249.9</v>
      </c>
      <c r="H57" s="70">
        <v>613525.9</v>
      </c>
      <c r="I57" s="70">
        <v>5896.9</v>
      </c>
      <c r="J57" s="70">
        <v>4861.8</v>
      </c>
      <c r="K57" s="70">
        <v>405.1</v>
      </c>
      <c r="L57" s="70">
        <v>7247.1</v>
      </c>
      <c r="M57" s="70">
        <v>95.8</v>
      </c>
      <c r="N57" s="70">
        <v>904.6</v>
      </c>
      <c r="O57" s="70">
        <f t="shared" si="1"/>
        <v>13144</v>
      </c>
      <c r="P57" s="70">
        <v>612779</v>
      </c>
      <c r="Q57" s="70">
        <v>5801</v>
      </c>
      <c r="R57" s="70">
        <v>6935</v>
      </c>
      <c r="S57" s="70">
        <v>2821</v>
      </c>
      <c r="V57" s="75"/>
      <c r="W57" s="73"/>
      <c r="X57" s="73"/>
      <c r="Y57" s="74"/>
      <c r="Z57" s="74"/>
      <c r="AA57" s="74"/>
    </row>
    <row r="58" spans="1:27">
      <c r="A58" s="3">
        <v>39264</v>
      </c>
      <c r="B58">
        <f t="shared" si="0"/>
        <v>2007</v>
      </c>
      <c r="C58" s="3" t="str">
        <f t="shared" si="5"/>
        <v>Q3</v>
      </c>
      <c r="D58" s="138">
        <v>6530.5</v>
      </c>
      <c r="E58" s="138">
        <v>6621.8</v>
      </c>
      <c r="F58" s="138">
        <v>251.3</v>
      </c>
      <c r="G58" s="138">
        <v>254.3</v>
      </c>
      <c r="H58" s="70">
        <v>613525.9</v>
      </c>
      <c r="I58" s="70">
        <v>5896.9</v>
      </c>
      <c r="J58" s="70">
        <v>4861.8</v>
      </c>
      <c r="K58" s="70">
        <v>405.1</v>
      </c>
      <c r="L58" s="70">
        <v>7247.1</v>
      </c>
      <c r="M58" s="70">
        <v>95.8</v>
      </c>
      <c r="N58" s="70">
        <v>904.6</v>
      </c>
      <c r="O58" s="70">
        <f t="shared" si="1"/>
        <v>13144</v>
      </c>
      <c r="P58" s="70">
        <v>614163</v>
      </c>
      <c r="Q58" s="70">
        <v>5835</v>
      </c>
      <c r="R58" s="70">
        <v>7519</v>
      </c>
      <c r="S58" s="70">
        <v>2823</v>
      </c>
      <c r="V58" s="75"/>
      <c r="W58" s="73"/>
      <c r="X58" s="73"/>
      <c r="Y58" s="74"/>
      <c r="Z58" s="74"/>
      <c r="AA58" s="74"/>
    </row>
    <row r="59" spans="1:27">
      <c r="A59" s="3">
        <v>39295</v>
      </c>
      <c r="B59">
        <f t="shared" si="0"/>
        <v>2007</v>
      </c>
      <c r="C59" s="3" t="str">
        <f t="shared" si="5"/>
        <v>Q3</v>
      </c>
      <c r="D59" s="138">
        <v>6547.8</v>
      </c>
      <c r="E59" s="138">
        <v>6650.2</v>
      </c>
      <c r="F59" s="138">
        <v>254.4</v>
      </c>
      <c r="G59" s="138">
        <v>257.60000000000002</v>
      </c>
      <c r="H59" s="70">
        <v>613525.9</v>
      </c>
      <c r="I59" s="70">
        <v>5896.9</v>
      </c>
      <c r="J59" s="70">
        <v>4861.8</v>
      </c>
      <c r="K59" s="70">
        <v>405.1</v>
      </c>
      <c r="L59" s="70">
        <v>7247.1</v>
      </c>
      <c r="M59" s="70">
        <v>95.8</v>
      </c>
      <c r="N59" s="70">
        <v>904.6</v>
      </c>
      <c r="O59" s="70">
        <f t="shared" si="1"/>
        <v>13144</v>
      </c>
      <c r="P59" s="70">
        <v>614163</v>
      </c>
      <c r="Q59" s="70">
        <v>5835</v>
      </c>
      <c r="R59" s="70">
        <v>7519</v>
      </c>
      <c r="S59" s="70">
        <v>2823</v>
      </c>
      <c r="V59" s="75"/>
      <c r="W59" s="73"/>
      <c r="X59" s="73"/>
      <c r="Y59" s="74"/>
      <c r="Z59" s="74"/>
      <c r="AA59" s="74"/>
    </row>
    <row r="60" spans="1:27">
      <c r="A60" s="3">
        <v>39326</v>
      </c>
      <c r="B60">
        <f t="shared" si="0"/>
        <v>2007</v>
      </c>
      <c r="C60" s="3" t="str">
        <f t="shared" si="5"/>
        <v>Q3</v>
      </c>
      <c r="D60" s="138">
        <v>6560.4</v>
      </c>
      <c r="E60" s="138">
        <v>6619.3</v>
      </c>
      <c r="F60" s="138">
        <v>257.39999999999998</v>
      </c>
      <c r="G60" s="138">
        <v>260.2</v>
      </c>
      <c r="H60" s="70">
        <v>613525.9</v>
      </c>
      <c r="I60" s="70">
        <v>5896.9</v>
      </c>
      <c r="J60" s="70">
        <v>4861.8</v>
      </c>
      <c r="K60" s="70">
        <v>405.1</v>
      </c>
      <c r="L60" s="70">
        <v>7247.1</v>
      </c>
      <c r="M60" s="70">
        <v>95.8</v>
      </c>
      <c r="N60" s="70">
        <v>904.6</v>
      </c>
      <c r="O60" s="70">
        <f t="shared" si="1"/>
        <v>13144</v>
      </c>
      <c r="P60" s="70">
        <v>614163</v>
      </c>
      <c r="Q60" s="70">
        <v>5835</v>
      </c>
      <c r="R60" s="70">
        <v>7519</v>
      </c>
      <c r="S60" s="70">
        <v>2823</v>
      </c>
      <c r="V60" s="75"/>
      <c r="W60" s="73"/>
      <c r="X60" s="73"/>
      <c r="Y60" s="74"/>
      <c r="Z60" s="74"/>
      <c r="AA60" s="74"/>
    </row>
    <row r="61" spans="1:27">
      <c r="A61" s="3">
        <v>39356</v>
      </c>
      <c r="B61">
        <f t="shared" si="0"/>
        <v>2007</v>
      </c>
      <c r="C61" s="3" t="str">
        <f t="shared" si="5"/>
        <v>Q4</v>
      </c>
      <c r="D61" s="138">
        <v>6572</v>
      </c>
      <c r="E61" s="138">
        <v>6605.5</v>
      </c>
      <c r="F61" s="138">
        <v>257.89999999999998</v>
      </c>
      <c r="G61" s="138">
        <v>259.8</v>
      </c>
      <c r="H61" s="70">
        <v>613525.9</v>
      </c>
      <c r="I61" s="70">
        <v>5896.9</v>
      </c>
      <c r="J61" s="70">
        <v>4861.8</v>
      </c>
      <c r="K61" s="70">
        <v>405.1</v>
      </c>
      <c r="L61" s="70">
        <v>7247.1</v>
      </c>
      <c r="M61" s="70">
        <v>95.8</v>
      </c>
      <c r="N61" s="70">
        <v>904.6</v>
      </c>
      <c r="O61" s="70">
        <f t="shared" si="1"/>
        <v>13144</v>
      </c>
      <c r="P61" s="70">
        <v>614413</v>
      </c>
      <c r="Q61" s="70">
        <v>5884</v>
      </c>
      <c r="R61" s="70">
        <v>7595</v>
      </c>
      <c r="S61" s="70">
        <v>2826</v>
      </c>
      <c r="V61" s="75"/>
      <c r="W61" s="73"/>
      <c r="X61" s="73"/>
      <c r="Y61" s="74"/>
      <c r="Z61" s="74"/>
      <c r="AA61" s="74"/>
    </row>
    <row r="62" spans="1:27">
      <c r="A62" s="3">
        <v>39387</v>
      </c>
      <c r="B62">
        <f t="shared" si="0"/>
        <v>2007</v>
      </c>
      <c r="C62" s="3" t="str">
        <f t="shared" si="5"/>
        <v>Q4</v>
      </c>
      <c r="D62" s="138">
        <v>6573.6</v>
      </c>
      <c r="E62" s="138">
        <v>6576.9</v>
      </c>
      <c r="F62" s="138">
        <v>255.9</v>
      </c>
      <c r="G62" s="138">
        <v>256.8</v>
      </c>
      <c r="H62" s="70">
        <v>613525.9</v>
      </c>
      <c r="I62" s="70">
        <v>5896.9</v>
      </c>
      <c r="J62" s="70">
        <v>4861.8</v>
      </c>
      <c r="K62" s="70">
        <v>405.1</v>
      </c>
      <c r="L62" s="70">
        <v>7247.1</v>
      </c>
      <c r="M62" s="70">
        <v>95.8</v>
      </c>
      <c r="N62" s="70">
        <v>904.6</v>
      </c>
      <c r="O62" s="70">
        <f t="shared" si="1"/>
        <v>13144</v>
      </c>
      <c r="P62" s="70">
        <v>614413</v>
      </c>
      <c r="Q62" s="70">
        <v>5884</v>
      </c>
      <c r="R62" s="70">
        <v>7595</v>
      </c>
      <c r="S62" s="70">
        <v>2826</v>
      </c>
      <c r="V62" s="75"/>
      <c r="W62" s="73"/>
      <c r="X62" s="73"/>
      <c r="Y62" s="74"/>
      <c r="Z62" s="74"/>
      <c r="AA62" s="74"/>
    </row>
    <row r="63" spans="1:27">
      <c r="A63" s="3">
        <v>39417</v>
      </c>
      <c r="B63">
        <f t="shared" si="0"/>
        <v>2007</v>
      </c>
      <c r="C63" s="3" t="str">
        <f t="shared" si="5"/>
        <v>Q4</v>
      </c>
      <c r="D63" s="138">
        <v>6572.9</v>
      </c>
      <c r="E63" s="138">
        <v>6582.9</v>
      </c>
      <c r="F63" s="138">
        <v>252.1</v>
      </c>
      <c r="G63" s="138">
        <v>252.6</v>
      </c>
      <c r="H63" s="70">
        <v>613525.9</v>
      </c>
      <c r="I63" s="70">
        <v>5896.9</v>
      </c>
      <c r="J63" s="70">
        <v>4861.8</v>
      </c>
      <c r="K63" s="70">
        <v>405.1</v>
      </c>
      <c r="L63" s="70">
        <v>7247.1</v>
      </c>
      <c r="M63" s="70">
        <v>95.8</v>
      </c>
      <c r="N63" s="70">
        <v>904.6</v>
      </c>
      <c r="O63" s="70">
        <f t="shared" si="1"/>
        <v>13144</v>
      </c>
      <c r="P63" s="70">
        <v>614413</v>
      </c>
      <c r="Q63" s="70">
        <v>5884</v>
      </c>
      <c r="R63" s="70">
        <v>7595</v>
      </c>
      <c r="S63" s="70">
        <v>2826</v>
      </c>
      <c r="V63" s="75"/>
      <c r="W63" s="73"/>
      <c r="X63" s="73"/>
      <c r="Y63" s="74"/>
      <c r="Z63" s="74"/>
      <c r="AA63" s="74"/>
    </row>
    <row r="64" spans="1:27">
      <c r="A64" s="3">
        <v>39448</v>
      </c>
      <c r="B64">
        <f t="shared" si="0"/>
        <v>2008</v>
      </c>
      <c r="C64" s="3" t="str">
        <f t="shared" si="5"/>
        <v>Q1</v>
      </c>
      <c r="D64" s="138">
        <v>6567.7</v>
      </c>
      <c r="E64" s="138">
        <v>6531.4</v>
      </c>
      <c r="F64" s="138">
        <v>248.6</v>
      </c>
      <c r="G64" s="138">
        <v>247.4</v>
      </c>
      <c r="H64" s="70">
        <v>611784.19999999995</v>
      </c>
      <c r="I64" s="70">
        <v>6082</v>
      </c>
      <c r="J64" s="70">
        <v>5154.1000000000004</v>
      </c>
      <c r="K64" s="70">
        <v>377.4</v>
      </c>
      <c r="L64" s="70">
        <v>7995.8</v>
      </c>
      <c r="M64" s="70">
        <v>65.7</v>
      </c>
      <c r="N64" s="70">
        <v>1121.7</v>
      </c>
      <c r="O64" s="70">
        <f t="shared" si="1"/>
        <v>14077.8</v>
      </c>
      <c r="P64" s="70">
        <v>612996</v>
      </c>
      <c r="Q64" s="70">
        <v>6135</v>
      </c>
      <c r="R64" s="70">
        <v>7715</v>
      </c>
      <c r="S64" s="70">
        <v>2834</v>
      </c>
      <c r="V64" s="75"/>
      <c r="W64" s="73"/>
      <c r="X64" s="73"/>
      <c r="Y64" s="74"/>
      <c r="Z64" s="74"/>
      <c r="AA64" s="74"/>
    </row>
    <row r="65" spans="1:150">
      <c r="A65" s="3">
        <v>39479</v>
      </c>
      <c r="B65">
        <f t="shared" si="0"/>
        <v>2008</v>
      </c>
      <c r="C65" s="3" t="str">
        <f t="shared" si="5"/>
        <v>Q1</v>
      </c>
      <c r="D65" s="138">
        <v>6580.9</v>
      </c>
      <c r="E65" s="138">
        <v>6507.1</v>
      </c>
      <c r="F65" s="138">
        <v>247.1</v>
      </c>
      <c r="G65" s="138">
        <v>244.7</v>
      </c>
      <c r="H65" s="70">
        <v>611784.19999999995</v>
      </c>
      <c r="I65" s="70">
        <v>6082</v>
      </c>
      <c r="J65" s="70">
        <v>5154.1000000000004</v>
      </c>
      <c r="K65" s="70">
        <v>377.4</v>
      </c>
      <c r="L65" s="70">
        <v>7995.8</v>
      </c>
      <c r="M65" s="70">
        <v>65.7</v>
      </c>
      <c r="N65" s="70">
        <v>1121.7</v>
      </c>
      <c r="O65" s="70">
        <f t="shared" si="1"/>
        <v>14077.8</v>
      </c>
      <c r="P65" s="70">
        <v>612996</v>
      </c>
      <c r="Q65" s="70">
        <v>6135</v>
      </c>
      <c r="R65" s="70">
        <v>7715</v>
      </c>
      <c r="S65" s="70">
        <v>2834</v>
      </c>
      <c r="V65" s="75"/>
      <c r="W65" s="73"/>
      <c r="X65" s="73"/>
      <c r="Y65" s="74"/>
      <c r="Z65" s="74"/>
      <c r="AA65" s="74"/>
    </row>
    <row r="66" spans="1:150">
      <c r="A66" s="3">
        <v>39508</v>
      </c>
      <c r="B66">
        <f t="shared" si="0"/>
        <v>2008</v>
      </c>
      <c r="C66" s="3" t="str">
        <f t="shared" si="5"/>
        <v>Q1</v>
      </c>
      <c r="D66" s="138">
        <v>6591.4</v>
      </c>
      <c r="E66" s="138">
        <v>6484.6</v>
      </c>
      <c r="F66" s="138">
        <v>248.4</v>
      </c>
      <c r="G66" s="138">
        <v>243.8</v>
      </c>
      <c r="H66" s="70">
        <v>611784.19999999995</v>
      </c>
      <c r="I66" s="70">
        <v>6082</v>
      </c>
      <c r="J66" s="70">
        <v>5154.1000000000004</v>
      </c>
      <c r="K66" s="70">
        <v>377.4</v>
      </c>
      <c r="L66" s="70">
        <v>7995.8</v>
      </c>
      <c r="M66" s="70">
        <v>65.7</v>
      </c>
      <c r="N66" s="70">
        <v>1121.7</v>
      </c>
      <c r="O66" s="70">
        <f t="shared" si="1"/>
        <v>14077.8</v>
      </c>
      <c r="P66" s="70">
        <v>612996</v>
      </c>
      <c r="Q66" s="70">
        <v>6135</v>
      </c>
      <c r="R66" s="70">
        <v>7715</v>
      </c>
      <c r="S66" s="70">
        <v>2834</v>
      </c>
      <c r="V66" s="75"/>
      <c r="W66" s="73"/>
      <c r="X66" s="73"/>
      <c r="Y66" s="74"/>
      <c r="Z66" s="74"/>
      <c r="AA66" s="74"/>
    </row>
    <row r="67" spans="1:150">
      <c r="A67" s="3">
        <v>39539</v>
      </c>
      <c r="B67">
        <f t="shared" si="0"/>
        <v>2008</v>
      </c>
      <c r="C67" s="3" t="str">
        <f t="shared" si="5"/>
        <v>Q2</v>
      </c>
      <c r="D67" s="138">
        <v>6602.7</v>
      </c>
      <c r="E67" s="138">
        <v>6513.4</v>
      </c>
      <c r="F67" s="138">
        <v>247.6</v>
      </c>
      <c r="G67" s="138">
        <v>243.1</v>
      </c>
      <c r="H67" s="70">
        <v>611784.19999999995</v>
      </c>
      <c r="I67" s="70">
        <v>6082</v>
      </c>
      <c r="J67" s="70">
        <v>5154.1000000000004</v>
      </c>
      <c r="K67" s="70">
        <v>377.4</v>
      </c>
      <c r="L67" s="70">
        <v>7995.8</v>
      </c>
      <c r="M67" s="70">
        <v>65.7</v>
      </c>
      <c r="N67" s="70">
        <v>1121.7</v>
      </c>
      <c r="O67" s="70">
        <f t="shared" si="1"/>
        <v>14077.8</v>
      </c>
      <c r="P67" s="70">
        <v>615190</v>
      </c>
      <c r="Q67" s="70">
        <v>6105</v>
      </c>
      <c r="R67" s="70">
        <v>8095</v>
      </c>
      <c r="S67" s="70">
        <v>2685</v>
      </c>
      <c r="V67" s="75"/>
      <c r="W67" s="73"/>
      <c r="X67" s="73"/>
      <c r="Y67" s="74"/>
      <c r="Z67" s="74"/>
      <c r="AA67" s="74"/>
    </row>
    <row r="68" spans="1:150">
      <c r="A68" s="3">
        <v>39569</v>
      </c>
      <c r="B68">
        <f t="shared" si="0"/>
        <v>2008</v>
      </c>
      <c r="C68" s="3" t="str">
        <f t="shared" si="5"/>
        <v>Q2</v>
      </c>
      <c r="D68" s="138">
        <v>6604.7</v>
      </c>
      <c r="E68" s="138">
        <v>6569.8</v>
      </c>
      <c r="F68" s="138">
        <v>246.6</v>
      </c>
      <c r="G68" s="138">
        <v>243.6</v>
      </c>
      <c r="H68" s="70">
        <v>611784.19999999995</v>
      </c>
      <c r="I68" s="70">
        <v>6082</v>
      </c>
      <c r="J68" s="70">
        <v>5154.1000000000004</v>
      </c>
      <c r="K68" s="70">
        <v>377.4</v>
      </c>
      <c r="L68" s="70">
        <v>7995.8</v>
      </c>
      <c r="M68" s="70">
        <v>65.7</v>
      </c>
      <c r="N68" s="70">
        <v>1121.7</v>
      </c>
      <c r="O68" s="70">
        <f t="shared" si="1"/>
        <v>14077.8</v>
      </c>
      <c r="P68" s="70">
        <v>615190</v>
      </c>
      <c r="Q68" s="70">
        <v>6105</v>
      </c>
      <c r="R68" s="70">
        <v>8095</v>
      </c>
      <c r="S68" s="70">
        <v>2685</v>
      </c>
      <c r="V68" s="75"/>
      <c r="W68" s="73"/>
      <c r="X68" s="73"/>
      <c r="Y68" s="74"/>
      <c r="Z68" s="74"/>
      <c r="AA68" s="74"/>
    </row>
    <row r="69" spans="1:150">
      <c r="A69" s="3">
        <v>39600</v>
      </c>
      <c r="B69">
        <f t="shared" ref="B69:B132" si="6">YEAR(A69)</f>
        <v>2008</v>
      </c>
      <c r="C69" s="3" t="str">
        <f t="shared" si="5"/>
        <v>Q2</v>
      </c>
      <c r="D69" s="138">
        <v>6605.2</v>
      </c>
      <c r="E69" s="138">
        <v>6646.2</v>
      </c>
      <c r="F69" s="138">
        <v>246.2</v>
      </c>
      <c r="G69" s="138">
        <v>246.5</v>
      </c>
      <c r="H69" s="70">
        <v>611784.19999999995</v>
      </c>
      <c r="I69" s="70">
        <v>6082</v>
      </c>
      <c r="J69" s="70">
        <v>5154.1000000000004</v>
      </c>
      <c r="K69" s="70">
        <v>377.4</v>
      </c>
      <c r="L69" s="70">
        <v>7995.8</v>
      </c>
      <c r="M69" s="70">
        <v>65.7</v>
      </c>
      <c r="N69" s="70">
        <v>1121.7</v>
      </c>
      <c r="O69" s="70">
        <f t="shared" ref="O69:O132" si="7">L69+I69</f>
        <v>14077.8</v>
      </c>
      <c r="P69" s="70">
        <v>615190</v>
      </c>
      <c r="Q69" s="70">
        <v>6105</v>
      </c>
      <c r="R69" s="70">
        <v>8095</v>
      </c>
      <c r="S69" s="70">
        <v>2685</v>
      </c>
      <c r="V69" s="75"/>
      <c r="W69" s="73"/>
      <c r="X69" s="73"/>
      <c r="Y69" s="74"/>
      <c r="Z69" s="74"/>
      <c r="AA69" s="74"/>
    </row>
    <row r="70" spans="1:150">
      <c r="A70" s="3">
        <v>39630</v>
      </c>
      <c r="B70">
        <f t="shared" si="6"/>
        <v>2008</v>
      </c>
      <c r="C70" s="3" t="str">
        <f t="shared" si="5"/>
        <v>Q3</v>
      </c>
      <c r="D70" s="138">
        <v>6596.3</v>
      </c>
      <c r="E70" s="138">
        <v>6688.6</v>
      </c>
      <c r="F70" s="138">
        <v>248</v>
      </c>
      <c r="G70" s="138">
        <v>250.3</v>
      </c>
      <c r="H70" s="70">
        <v>611784.19999999995</v>
      </c>
      <c r="I70" s="70">
        <v>6082</v>
      </c>
      <c r="J70" s="70">
        <v>5154.1000000000004</v>
      </c>
      <c r="K70" s="70">
        <v>377.4</v>
      </c>
      <c r="L70" s="70">
        <v>7995.8</v>
      </c>
      <c r="M70" s="70">
        <v>65.7</v>
      </c>
      <c r="N70" s="70">
        <v>1121.7</v>
      </c>
      <c r="O70" s="70">
        <f t="shared" si="7"/>
        <v>14077.8</v>
      </c>
      <c r="P70" s="70">
        <v>614588</v>
      </c>
      <c r="Q70" s="70">
        <v>6140</v>
      </c>
      <c r="R70" s="70">
        <v>8381</v>
      </c>
      <c r="S70" s="70">
        <v>2650</v>
      </c>
      <c r="V70" s="75"/>
      <c r="W70" s="73"/>
      <c r="X70" s="73"/>
      <c r="Y70" s="74"/>
      <c r="Z70" s="74"/>
      <c r="AA70" s="74"/>
    </row>
    <row r="71" spans="1:150">
      <c r="A71" s="3">
        <v>39661</v>
      </c>
      <c r="B71">
        <f t="shared" si="6"/>
        <v>2008</v>
      </c>
      <c r="C71" s="3" t="str">
        <f t="shared" si="5"/>
        <v>Q3</v>
      </c>
      <c r="D71" s="138">
        <v>6592</v>
      </c>
      <c r="E71" s="138">
        <v>6699.3</v>
      </c>
      <c r="F71" s="138">
        <v>249.5</v>
      </c>
      <c r="G71" s="138">
        <v>252.7</v>
      </c>
      <c r="H71" s="70">
        <v>611784.19999999995</v>
      </c>
      <c r="I71" s="70">
        <v>6082</v>
      </c>
      <c r="J71" s="70">
        <v>5154.1000000000004</v>
      </c>
      <c r="K71" s="70">
        <v>377.4</v>
      </c>
      <c r="L71" s="70">
        <v>7995.8</v>
      </c>
      <c r="M71" s="70">
        <v>65.7</v>
      </c>
      <c r="N71" s="70">
        <v>1121.7</v>
      </c>
      <c r="O71" s="70">
        <f t="shared" si="7"/>
        <v>14077.8</v>
      </c>
      <c r="P71" s="70">
        <v>614588</v>
      </c>
      <c r="Q71" s="70">
        <v>6140</v>
      </c>
      <c r="R71" s="70">
        <v>8381</v>
      </c>
      <c r="S71" s="70">
        <v>2650</v>
      </c>
      <c r="V71" s="75"/>
      <c r="W71" s="73"/>
      <c r="X71" s="73"/>
      <c r="Y71" s="74"/>
      <c r="Z71" s="74"/>
      <c r="AA71" s="74"/>
    </row>
    <row r="72" spans="1:150">
      <c r="A72" s="3">
        <v>39692</v>
      </c>
      <c r="B72">
        <f t="shared" si="6"/>
        <v>2008</v>
      </c>
      <c r="C72" s="3" t="str">
        <f t="shared" si="5"/>
        <v>Q3</v>
      </c>
      <c r="D72" s="138">
        <v>6600</v>
      </c>
      <c r="E72" s="138">
        <v>6670</v>
      </c>
      <c r="F72" s="138">
        <v>249.8</v>
      </c>
      <c r="G72" s="138">
        <v>252.3</v>
      </c>
      <c r="H72" s="70">
        <v>611784.19999999995</v>
      </c>
      <c r="I72" s="70">
        <v>6082</v>
      </c>
      <c r="J72" s="70">
        <v>5154.1000000000004</v>
      </c>
      <c r="K72" s="70">
        <v>377.4</v>
      </c>
      <c r="L72" s="70">
        <v>7995.8</v>
      </c>
      <c r="M72" s="70">
        <v>65.7</v>
      </c>
      <c r="N72" s="70">
        <v>1121.7</v>
      </c>
      <c r="O72" s="70">
        <f t="shared" si="7"/>
        <v>14077.8</v>
      </c>
      <c r="P72" s="70">
        <v>614588</v>
      </c>
      <c r="Q72" s="70">
        <v>6140</v>
      </c>
      <c r="R72" s="70">
        <v>8381</v>
      </c>
      <c r="S72" s="70">
        <v>2650</v>
      </c>
      <c r="V72" s="75"/>
      <c r="W72" s="73"/>
      <c r="X72" s="73"/>
      <c r="Y72" s="74"/>
      <c r="Z72" s="74"/>
      <c r="AA72" s="74"/>
    </row>
    <row r="73" spans="1:150">
      <c r="A73" s="3">
        <v>39722</v>
      </c>
      <c r="B73">
        <f t="shared" si="6"/>
        <v>2008</v>
      </c>
      <c r="C73" s="3" t="str">
        <f t="shared" si="5"/>
        <v>Q4</v>
      </c>
      <c r="D73" s="138">
        <v>6615.8</v>
      </c>
      <c r="E73" s="138">
        <v>6665.7</v>
      </c>
      <c r="F73" s="138">
        <v>249.1</v>
      </c>
      <c r="G73" s="138">
        <v>251.7</v>
      </c>
      <c r="H73" s="70">
        <v>611784.19999999995</v>
      </c>
      <c r="I73" s="70">
        <v>6082</v>
      </c>
      <c r="J73" s="70">
        <v>5154.1000000000004</v>
      </c>
      <c r="K73" s="70">
        <v>377.4</v>
      </c>
      <c r="L73" s="70">
        <v>7995.8</v>
      </c>
      <c r="M73" s="70">
        <v>65.7</v>
      </c>
      <c r="N73" s="70">
        <v>1121.7</v>
      </c>
      <c r="O73" s="70">
        <f t="shared" si="7"/>
        <v>14077.8</v>
      </c>
      <c r="P73" s="70">
        <v>604363</v>
      </c>
      <c r="Q73" s="70">
        <v>5949</v>
      </c>
      <c r="R73" s="70">
        <v>7793</v>
      </c>
      <c r="S73" s="70">
        <v>2664</v>
      </c>
      <c r="V73" s="75"/>
      <c r="W73" s="73"/>
      <c r="X73" s="73"/>
      <c r="Y73" s="74"/>
      <c r="Z73" s="74"/>
      <c r="AA73" s="74"/>
    </row>
    <row r="74" spans="1:150">
      <c r="A74" s="3">
        <v>39753</v>
      </c>
      <c r="B74">
        <f t="shared" si="6"/>
        <v>2008</v>
      </c>
      <c r="C74" s="3" t="str">
        <f t="shared" si="5"/>
        <v>Q4</v>
      </c>
      <c r="D74" s="138">
        <v>6606.6</v>
      </c>
      <c r="E74" s="138">
        <v>6624.1</v>
      </c>
      <c r="F74" s="138">
        <v>247.1</v>
      </c>
      <c r="G74" s="138">
        <v>249.9</v>
      </c>
      <c r="H74" s="70">
        <v>611784.19999999995</v>
      </c>
      <c r="I74" s="70">
        <v>6082</v>
      </c>
      <c r="J74" s="70">
        <v>5154.1000000000004</v>
      </c>
      <c r="K74" s="70">
        <v>377.4</v>
      </c>
      <c r="L74" s="70">
        <v>7995.8</v>
      </c>
      <c r="M74" s="70">
        <v>65.7</v>
      </c>
      <c r="N74" s="70">
        <v>1121.7</v>
      </c>
      <c r="O74" s="70">
        <f t="shared" si="7"/>
        <v>14077.8</v>
      </c>
      <c r="P74" s="70">
        <v>604363</v>
      </c>
      <c r="Q74" s="70">
        <v>5949</v>
      </c>
      <c r="R74" s="70">
        <v>7793</v>
      </c>
      <c r="S74" s="70">
        <v>2664</v>
      </c>
      <c r="V74" s="75"/>
      <c r="W74" s="73"/>
      <c r="X74" s="73"/>
      <c r="Y74" s="74"/>
      <c r="Z74" s="74"/>
      <c r="AA74" s="74"/>
    </row>
    <row r="75" spans="1:150">
      <c r="A75" s="3">
        <v>39783</v>
      </c>
      <c r="B75">
        <f t="shared" si="6"/>
        <v>2008</v>
      </c>
      <c r="C75" s="3" t="str">
        <f t="shared" si="5"/>
        <v>Q4</v>
      </c>
      <c r="D75" s="138">
        <v>6595.8</v>
      </c>
      <c r="E75" s="138">
        <v>6601.9</v>
      </c>
      <c r="F75" s="138">
        <v>245.6</v>
      </c>
      <c r="G75" s="138">
        <v>247.6</v>
      </c>
      <c r="H75" s="70">
        <v>611784.19999999995</v>
      </c>
      <c r="I75" s="70">
        <v>6082</v>
      </c>
      <c r="J75" s="70">
        <v>5154.1000000000004</v>
      </c>
      <c r="K75" s="70">
        <v>377.4</v>
      </c>
      <c r="L75" s="70">
        <v>7995.8</v>
      </c>
      <c r="M75" s="70">
        <v>65.7</v>
      </c>
      <c r="N75" s="70">
        <v>1121.7</v>
      </c>
      <c r="O75" s="70">
        <f t="shared" si="7"/>
        <v>14077.8</v>
      </c>
      <c r="P75" s="70">
        <v>604363</v>
      </c>
      <c r="Q75" s="70">
        <v>5949</v>
      </c>
      <c r="R75" s="70">
        <v>7793</v>
      </c>
      <c r="S75" s="70">
        <v>2664</v>
      </c>
      <c r="V75" s="75"/>
      <c r="W75" s="73"/>
      <c r="X75" s="73"/>
      <c r="Y75" s="74"/>
      <c r="Z75" s="74"/>
      <c r="AA75" s="74"/>
    </row>
    <row r="76" spans="1:150">
      <c r="A76" s="3">
        <v>39814</v>
      </c>
      <c r="B76">
        <f t="shared" si="6"/>
        <v>2009</v>
      </c>
      <c r="C76" s="3" t="str">
        <f t="shared" si="5"/>
        <v>Q1</v>
      </c>
      <c r="D76" s="138">
        <v>6549.8</v>
      </c>
      <c r="E76" s="138">
        <v>6508.3</v>
      </c>
      <c r="F76" s="138">
        <v>246</v>
      </c>
      <c r="G76" s="138">
        <v>245.8</v>
      </c>
      <c r="H76" s="70">
        <v>591636.5</v>
      </c>
      <c r="I76" s="70">
        <v>5915.3</v>
      </c>
      <c r="J76" s="70">
        <v>5150.7</v>
      </c>
      <c r="K76" s="70">
        <v>375.9</v>
      </c>
      <c r="L76" s="70">
        <v>5294.5</v>
      </c>
      <c r="M76" s="70">
        <v>52.6</v>
      </c>
      <c r="N76" s="70">
        <v>743.4</v>
      </c>
      <c r="O76" s="70">
        <f t="shared" si="7"/>
        <v>11209.8</v>
      </c>
      <c r="P76" s="70">
        <v>591700</v>
      </c>
      <c r="Q76" s="70">
        <v>5847</v>
      </c>
      <c r="R76" s="70">
        <v>6942</v>
      </c>
      <c r="S76" s="70">
        <v>2888</v>
      </c>
      <c r="V76" s="75"/>
      <c r="W76" s="73"/>
      <c r="X76" s="73"/>
      <c r="Y76" s="74"/>
      <c r="Z76" s="74"/>
      <c r="AA76" s="74"/>
    </row>
    <row r="77" spans="1:150">
      <c r="A77" s="3">
        <v>39845</v>
      </c>
      <c r="B77">
        <f t="shared" si="6"/>
        <v>2009</v>
      </c>
      <c r="C77" s="3" t="str">
        <f t="shared" si="5"/>
        <v>Q1</v>
      </c>
      <c r="D77" s="138">
        <v>6518.6</v>
      </c>
      <c r="E77" s="138">
        <v>6440.5</v>
      </c>
      <c r="F77" s="138">
        <v>245.4</v>
      </c>
      <c r="G77" s="138">
        <v>242.7</v>
      </c>
      <c r="H77" s="70">
        <v>591636.5</v>
      </c>
      <c r="I77" s="70">
        <v>5915.3</v>
      </c>
      <c r="J77" s="70">
        <v>5150.7</v>
      </c>
      <c r="K77" s="70">
        <v>375.9</v>
      </c>
      <c r="L77" s="70">
        <v>5294.5</v>
      </c>
      <c r="M77" s="70">
        <v>52.6</v>
      </c>
      <c r="N77" s="70">
        <v>743.4</v>
      </c>
      <c r="O77" s="70">
        <f t="shared" si="7"/>
        <v>11209.8</v>
      </c>
      <c r="P77" s="70">
        <v>591700</v>
      </c>
      <c r="Q77" s="70">
        <v>5847</v>
      </c>
      <c r="R77" s="70">
        <v>6942</v>
      </c>
      <c r="S77" s="70">
        <v>2888</v>
      </c>
      <c r="V77" s="75"/>
      <c r="W77" s="73"/>
      <c r="X77" s="73"/>
      <c r="Y77" s="74"/>
      <c r="Z77" s="74"/>
      <c r="AA77" s="74"/>
    </row>
    <row r="78" spans="1:150">
      <c r="A78" s="3">
        <v>39873</v>
      </c>
      <c r="B78">
        <f t="shared" si="6"/>
        <v>2009</v>
      </c>
      <c r="C78" s="3" t="str">
        <f t="shared" si="5"/>
        <v>Q1</v>
      </c>
      <c r="D78" s="138">
        <v>6477.9</v>
      </c>
      <c r="E78" s="138">
        <v>6369.7</v>
      </c>
      <c r="F78" s="138">
        <v>242.2</v>
      </c>
      <c r="G78" s="138">
        <v>238.7</v>
      </c>
      <c r="H78" s="70">
        <v>591636.5</v>
      </c>
      <c r="I78" s="70">
        <v>5915.3</v>
      </c>
      <c r="J78" s="70">
        <v>5150.7</v>
      </c>
      <c r="K78" s="70">
        <v>375.9</v>
      </c>
      <c r="L78" s="70">
        <v>5294.5</v>
      </c>
      <c r="M78" s="70">
        <v>52.6</v>
      </c>
      <c r="N78" s="70">
        <v>743.4</v>
      </c>
      <c r="O78" s="70">
        <f t="shared" si="7"/>
        <v>11209.8</v>
      </c>
      <c r="P78" s="70">
        <v>591700</v>
      </c>
      <c r="Q78" s="70">
        <v>5847</v>
      </c>
      <c r="R78" s="70">
        <v>6942</v>
      </c>
      <c r="S78" s="70">
        <v>2888</v>
      </c>
      <c r="V78" s="75"/>
      <c r="W78" s="73"/>
      <c r="X78" s="73"/>
      <c r="Y78" s="74"/>
      <c r="Z78" s="74"/>
      <c r="AA78" s="74"/>
    </row>
    <row r="79" spans="1:150">
      <c r="A79" s="3">
        <v>39904</v>
      </c>
      <c r="B79">
        <f t="shared" si="6"/>
        <v>2009</v>
      </c>
      <c r="C79" s="3" t="str">
        <f t="shared" si="5"/>
        <v>Q2</v>
      </c>
      <c r="D79" s="138">
        <v>6456.7</v>
      </c>
      <c r="E79" s="138">
        <v>6367.3</v>
      </c>
      <c r="F79" s="138">
        <v>237.7</v>
      </c>
      <c r="G79" s="138">
        <v>234.5</v>
      </c>
      <c r="H79" s="70">
        <v>591636.5</v>
      </c>
      <c r="I79" s="70">
        <v>5915.3</v>
      </c>
      <c r="J79" s="70">
        <v>5150.7</v>
      </c>
      <c r="K79" s="70">
        <v>375.9</v>
      </c>
      <c r="L79" s="70">
        <v>5294.5</v>
      </c>
      <c r="M79" s="70">
        <v>52.6</v>
      </c>
      <c r="N79" s="70">
        <v>743.4</v>
      </c>
      <c r="O79" s="70">
        <f t="shared" si="7"/>
        <v>11209.8</v>
      </c>
      <c r="P79" s="70">
        <v>585808</v>
      </c>
      <c r="Q79" s="70">
        <v>5735</v>
      </c>
      <c r="R79" s="70">
        <v>5875</v>
      </c>
      <c r="S79" s="70">
        <v>3047</v>
      </c>
      <c r="V79" s="75"/>
      <c r="W79" s="73"/>
      <c r="X79" s="73"/>
      <c r="Y79" s="74"/>
      <c r="Z79" s="74"/>
      <c r="AA79" s="74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</row>
    <row r="80" spans="1:150">
      <c r="A80" s="3">
        <v>39934</v>
      </c>
      <c r="B80">
        <f t="shared" si="6"/>
        <v>2009</v>
      </c>
      <c r="C80" s="3" t="str">
        <f t="shared" si="5"/>
        <v>Q2</v>
      </c>
      <c r="D80" s="138">
        <v>6430.9</v>
      </c>
      <c r="E80" s="138">
        <v>6393.3</v>
      </c>
      <c r="F80" s="138">
        <v>236.8</v>
      </c>
      <c r="G80" s="138">
        <v>234.7</v>
      </c>
      <c r="H80" s="70">
        <v>591636.5</v>
      </c>
      <c r="I80" s="70">
        <v>5915.3</v>
      </c>
      <c r="J80" s="70">
        <v>5150.7</v>
      </c>
      <c r="K80" s="70">
        <v>375.9</v>
      </c>
      <c r="L80" s="70">
        <v>5294.5</v>
      </c>
      <c r="M80" s="70">
        <v>52.6</v>
      </c>
      <c r="N80" s="70">
        <v>743.4</v>
      </c>
      <c r="O80" s="70">
        <f t="shared" si="7"/>
        <v>11209.8</v>
      </c>
      <c r="P80" s="70">
        <v>585808</v>
      </c>
      <c r="Q80" s="70">
        <v>5735</v>
      </c>
      <c r="R80" s="70">
        <v>5875</v>
      </c>
      <c r="S80" s="70">
        <v>3047</v>
      </c>
      <c r="V80" s="75"/>
      <c r="W80" s="73"/>
      <c r="X80" s="73"/>
      <c r="Y80" s="74"/>
      <c r="Z80" s="74"/>
      <c r="AA80" s="74"/>
    </row>
    <row r="81" spans="1:35">
      <c r="A81" s="3">
        <v>39965</v>
      </c>
      <c r="B81">
        <f t="shared" si="6"/>
        <v>2009</v>
      </c>
      <c r="C81" s="3" t="str">
        <f t="shared" ref="C81:C144" si="8">C69</f>
        <v>Q2</v>
      </c>
      <c r="D81" s="138">
        <v>6408.5</v>
      </c>
      <c r="E81" s="138">
        <v>6447.1</v>
      </c>
      <c r="F81" s="138">
        <v>237</v>
      </c>
      <c r="G81" s="138">
        <v>237.2</v>
      </c>
      <c r="H81" s="70">
        <v>591636.5</v>
      </c>
      <c r="I81" s="70">
        <v>5915.3</v>
      </c>
      <c r="J81" s="70">
        <v>5150.7</v>
      </c>
      <c r="K81" s="70">
        <v>375.9</v>
      </c>
      <c r="L81" s="70">
        <v>5294.5</v>
      </c>
      <c r="M81" s="70">
        <v>52.6</v>
      </c>
      <c r="N81" s="70">
        <v>743.4</v>
      </c>
      <c r="O81" s="70">
        <f t="shared" si="7"/>
        <v>11209.8</v>
      </c>
      <c r="P81" s="70">
        <v>585808</v>
      </c>
      <c r="Q81" s="70">
        <v>5735</v>
      </c>
      <c r="R81" s="70">
        <v>5875</v>
      </c>
      <c r="S81" s="70">
        <v>3047</v>
      </c>
      <c r="V81" s="75"/>
      <c r="W81" s="73"/>
      <c r="X81" s="73"/>
      <c r="Y81" s="74"/>
      <c r="Z81" s="74"/>
      <c r="AA81" s="74"/>
    </row>
    <row r="82" spans="1:35">
      <c r="A82" s="3">
        <v>39995</v>
      </c>
      <c r="B82">
        <f t="shared" si="6"/>
        <v>2009</v>
      </c>
      <c r="C82" s="3" t="str">
        <f t="shared" si="8"/>
        <v>Q3</v>
      </c>
      <c r="D82" s="138">
        <v>6405.4</v>
      </c>
      <c r="E82" s="138">
        <v>6488.2</v>
      </c>
      <c r="F82" s="138">
        <v>237</v>
      </c>
      <c r="G82" s="138">
        <v>238.7</v>
      </c>
      <c r="H82" s="70">
        <v>591636.5</v>
      </c>
      <c r="I82" s="70">
        <v>5915.3</v>
      </c>
      <c r="J82" s="70">
        <v>5150.7</v>
      </c>
      <c r="K82" s="70">
        <v>375.9</v>
      </c>
      <c r="L82" s="70">
        <v>5294.5</v>
      </c>
      <c r="M82" s="70">
        <v>52.6</v>
      </c>
      <c r="N82" s="70">
        <v>743.4</v>
      </c>
      <c r="O82" s="70">
        <f t="shared" si="7"/>
        <v>11209.8</v>
      </c>
      <c r="P82" s="70">
        <v>589754</v>
      </c>
      <c r="Q82" s="70">
        <v>5894</v>
      </c>
      <c r="R82" s="70">
        <v>4314</v>
      </c>
      <c r="S82" s="70">
        <v>3026</v>
      </c>
      <c r="V82" s="75"/>
      <c r="W82" s="73"/>
      <c r="X82" s="73"/>
      <c r="Y82" s="74"/>
      <c r="Z82" s="74"/>
      <c r="AA82" s="74"/>
    </row>
    <row r="83" spans="1:35">
      <c r="A83" s="3">
        <v>40026</v>
      </c>
      <c r="B83">
        <f t="shared" si="6"/>
        <v>2009</v>
      </c>
      <c r="C83" s="3" t="str">
        <f t="shared" si="8"/>
        <v>Q3</v>
      </c>
      <c r="D83" s="138">
        <v>6409.8</v>
      </c>
      <c r="E83" s="138">
        <v>6507.5</v>
      </c>
      <c r="F83" s="138">
        <v>234.1</v>
      </c>
      <c r="G83" s="138">
        <v>237.2</v>
      </c>
      <c r="H83" s="70">
        <v>591636.5</v>
      </c>
      <c r="I83" s="70">
        <v>5915.3</v>
      </c>
      <c r="J83" s="70">
        <v>5150.7</v>
      </c>
      <c r="K83" s="70">
        <v>375.9</v>
      </c>
      <c r="L83" s="70">
        <v>5294.5</v>
      </c>
      <c r="M83" s="70">
        <v>52.6</v>
      </c>
      <c r="N83" s="70">
        <v>743.4</v>
      </c>
      <c r="O83" s="70">
        <f t="shared" si="7"/>
        <v>11209.8</v>
      </c>
      <c r="P83" s="70">
        <v>589754</v>
      </c>
      <c r="Q83" s="70">
        <v>5894</v>
      </c>
      <c r="R83" s="70">
        <v>4314</v>
      </c>
      <c r="S83" s="70">
        <v>3026</v>
      </c>
      <c r="V83" s="75"/>
      <c r="W83" s="73"/>
      <c r="X83" s="73"/>
      <c r="Y83" s="74"/>
      <c r="Z83" s="74"/>
      <c r="AA83" s="74"/>
      <c r="AC83" s="18"/>
      <c r="AD83" s="18"/>
      <c r="AE83" s="18"/>
      <c r="AF83" s="18"/>
      <c r="AG83" s="18"/>
      <c r="AH83" s="18"/>
      <c r="AI83" s="18"/>
    </row>
    <row r="84" spans="1:35">
      <c r="A84" s="3">
        <v>40057</v>
      </c>
      <c r="B84">
        <f t="shared" si="6"/>
        <v>2009</v>
      </c>
      <c r="C84" s="3" t="str">
        <f t="shared" si="8"/>
        <v>Q3</v>
      </c>
      <c r="D84" s="138">
        <v>6425.6</v>
      </c>
      <c r="E84" s="138">
        <v>6488.5</v>
      </c>
      <c r="F84" s="138">
        <v>234</v>
      </c>
      <c r="G84" s="138">
        <v>236.3</v>
      </c>
      <c r="H84" s="70">
        <v>591636.5</v>
      </c>
      <c r="I84" s="70">
        <v>5915.3</v>
      </c>
      <c r="J84" s="70">
        <v>5150.7</v>
      </c>
      <c r="K84" s="70">
        <v>375.9</v>
      </c>
      <c r="L84" s="70">
        <v>5294.5</v>
      </c>
      <c r="M84" s="70">
        <v>52.6</v>
      </c>
      <c r="N84" s="70">
        <v>743.4</v>
      </c>
      <c r="O84" s="70">
        <f t="shared" si="7"/>
        <v>11209.8</v>
      </c>
      <c r="P84" s="70">
        <v>589754</v>
      </c>
      <c r="Q84" s="70">
        <v>5894</v>
      </c>
      <c r="R84" s="70">
        <v>4314</v>
      </c>
      <c r="S84" s="70">
        <v>3026</v>
      </c>
      <c r="V84" s="75"/>
      <c r="W84" s="73"/>
      <c r="X84" s="73"/>
      <c r="Y84" s="74"/>
      <c r="Z84" s="74"/>
      <c r="AA84" s="74"/>
      <c r="AB84" s="23"/>
    </row>
    <row r="85" spans="1:35">
      <c r="A85" s="3">
        <v>40087</v>
      </c>
      <c r="B85">
        <f t="shared" si="6"/>
        <v>2009</v>
      </c>
      <c r="C85" s="3" t="str">
        <f t="shared" si="8"/>
        <v>Q4</v>
      </c>
      <c r="D85" s="138">
        <v>6441.6</v>
      </c>
      <c r="E85" s="138">
        <v>6487.7</v>
      </c>
      <c r="F85" s="138">
        <v>236.8</v>
      </c>
      <c r="G85" s="138">
        <v>238.9</v>
      </c>
      <c r="H85" s="70">
        <v>591636.5</v>
      </c>
      <c r="I85" s="70">
        <v>5915.3</v>
      </c>
      <c r="J85" s="70">
        <v>5150.7</v>
      </c>
      <c r="K85" s="70">
        <v>375.9</v>
      </c>
      <c r="L85" s="70">
        <v>5294.5</v>
      </c>
      <c r="M85" s="70">
        <v>52.6</v>
      </c>
      <c r="N85" s="70">
        <v>743.4</v>
      </c>
      <c r="O85" s="70">
        <f t="shared" si="7"/>
        <v>11209.8</v>
      </c>
      <c r="P85" s="70">
        <v>599284</v>
      </c>
      <c r="Q85" s="70">
        <v>6185</v>
      </c>
      <c r="R85" s="70">
        <v>4047</v>
      </c>
      <c r="S85" s="70">
        <v>3160</v>
      </c>
      <c r="V85" s="75"/>
      <c r="W85" s="73"/>
      <c r="X85" s="73"/>
      <c r="Y85" s="74"/>
      <c r="Z85" s="74"/>
      <c r="AA85" s="74"/>
      <c r="AB85" s="22"/>
    </row>
    <row r="86" spans="1:35">
      <c r="A86" s="3">
        <v>40118</v>
      </c>
      <c r="B86">
        <f t="shared" si="6"/>
        <v>2009</v>
      </c>
      <c r="C86" s="3" t="str">
        <f t="shared" si="8"/>
        <v>Q4</v>
      </c>
      <c r="D86" s="138">
        <v>6462.8</v>
      </c>
      <c r="E86" s="138">
        <v>6480.3</v>
      </c>
      <c r="F86" s="138">
        <v>241.6</v>
      </c>
      <c r="G86" s="138">
        <v>243.8</v>
      </c>
      <c r="H86" s="70">
        <v>591636.5</v>
      </c>
      <c r="I86" s="70">
        <v>5915.3</v>
      </c>
      <c r="J86" s="70">
        <v>5150.7</v>
      </c>
      <c r="K86" s="70">
        <v>375.9</v>
      </c>
      <c r="L86" s="70">
        <v>5294.5</v>
      </c>
      <c r="M86" s="70">
        <v>52.6</v>
      </c>
      <c r="N86" s="70">
        <v>743.4</v>
      </c>
      <c r="O86" s="70">
        <f t="shared" si="7"/>
        <v>11209.8</v>
      </c>
      <c r="P86" s="70">
        <v>599284</v>
      </c>
      <c r="Q86" s="70">
        <v>6185</v>
      </c>
      <c r="R86" s="70">
        <v>4047</v>
      </c>
      <c r="S86" s="70">
        <v>3160</v>
      </c>
      <c r="V86" s="75"/>
      <c r="W86" s="73"/>
      <c r="X86" s="73"/>
      <c r="Y86" s="74"/>
      <c r="Z86" s="74"/>
      <c r="AA86" s="74"/>
      <c r="AB86" s="22"/>
    </row>
    <row r="87" spans="1:35">
      <c r="A87" s="3">
        <v>40148</v>
      </c>
      <c r="B87">
        <f t="shared" si="6"/>
        <v>2009</v>
      </c>
      <c r="C87" s="3" t="str">
        <f t="shared" si="8"/>
        <v>Q4</v>
      </c>
      <c r="D87" s="138">
        <v>6465.1</v>
      </c>
      <c r="E87" s="138">
        <v>6473.4</v>
      </c>
      <c r="F87" s="138">
        <v>245.4</v>
      </c>
      <c r="G87" s="138">
        <v>247</v>
      </c>
      <c r="H87" s="70">
        <v>591636.5</v>
      </c>
      <c r="I87" s="70">
        <v>5915.3</v>
      </c>
      <c r="J87" s="70">
        <v>5150.7</v>
      </c>
      <c r="K87" s="70">
        <v>375.9</v>
      </c>
      <c r="L87" s="70">
        <v>5294.5</v>
      </c>
      <c r="M87" s="70">
        <v>52.6</v>
      </c>
      <c r="N87" s="70">
        <v>743.4</v>
      </c>
      <c r="O87" s="70">
        <f t="shared" si="7"/>
        <v>11209.8</v>
      </c>
      <c r="P87" s="70">
        <v>599284</v>
      </c>
      <c r="Q87" s="70">
        <v>6185</v>
      </c>
      <c r="R87" s="70">
        <v>4047</v>
      </c>
      <c r="S87" s="70">
        <v>3160</v>
      </c>
      <c r="V87" s="75"/>
      <c r="W87" s="73"/>
      <c r="X87" s="73"/>
      <c r="Y87" s="74"/>
      <c r="Z87" s="74"/>
      <c r="AA87" s="74"/>
    </row>
    <row r="88" spans="1:35">
      <c r="A88" s="3">
        <v>40179</v>
      </c>
      <c r="B88">
        <f t="shared" si="6"/>
        <v>2010</v>
      </c>
      <c r="C88" s="3" t="str">
        <f t="shared" si="8"/>
        <v>Q1</v>
      </c>
      <c r="D88" s="138">
        <v>6469.3</v>
      </c>
      <c r="E88" s="138">
        <v>6432.6</v>
      </c>
      <c r="F88" s="138">
        <v>245.9</v>
      </c>
      <c r="G88" s="138">
        <v>245.8</v>
      </c>
      <c r="H88" s="70">
        <v>609770.30000000005</v>
      </c>
      <c r="I88" s="70">
        <v>6256.5</v>
      </c>
      <c r="J88" s="70">
        <v>5440.4</v>
      </c>
      <c r="K88" s="70">
        <v>410.2</v>
      </c>
      <c r="L88" s="70">
        <v>5934.4</v>
      </c>
      <c r="M88" s="70">
        <v>49.8</v>
      </c>
      <c r="N88" s="70">
        <v>1043.4000000000001</v>
      </c>
      <c r="O88" s="70">
        <f t="shared" si="7"/>
        <v>12190.9</v>
      </c>
      <c r="P88" s="70">
        <v>603564</v>
      </c>
      <c r="Q88" s="70">
        <v>6229</v>
      </c>
      <c r="R88" s="70">
        <v>4776</v>
      </c>
      <c r="S88" s="70">
        <v>2957</v>
      </c>
      <c r="V88" s="75"/>
      <c r="W88" s="73"/>
      <c r="X88" s="73"/>
      <c r="Y88" s="74"/>
      <c r="Z88" s="74"/>
      <c r="AA88" s="74"/>
    </row>
    <row r="89" spans="1:35">
      <c r="A89" s="3">
        <v>40210</v>
      </c>
      <c r="B89">
        <f t="shared" si="6"/>
        <v>2010</v>
      </c>
      <c r="C89" s="3" t="str">
        <f t="shared" si="8"/>
        <v>Q1</v>
      </c>
      <c r="D89" s="138">
        <v>6459.8</v>
      </c>
      <c r="E89" s="138">
        <v>6385.6</v>
      </c>
      <c r="F89" s="138">
        <v>245.6</v>
      </c>
      <c r="G89" s="138">
        <v>242.8</v>
      </c>
      <c r="H89" s="70">
        <v>609770.30000000005</v>
      </c>
      <c r="I89" s="70">
        <v>6256.5</v>
      </c>
      <c r="J89" s="70">
        <v>5440.4</v>
      </c>
      <c r="K89" s="70">
        <v>410.2</v>
      </c>
      <c r="L89" s="70">
        <v>5934.4</v>
      </c>
      <c r="M89" s="70">
        <v>49.8</v>
      </c>
      <c r="N89" s="70">
        <v>1043.4000000000001</v>
      </c>
      <c r="O89" s="70">
        <f t="shared" si="7"/>
        <v>12190.9</v>
      </c>
      <c r="P89" s="70">
        <v>603564</v>
      </c>
      <c r="Q89" s="70">
        <v>6229</v>
      </c>
      <c r="R89" s="70">
        <v>4776</v>
      </c>
      <c r="S89" s="70">
        <v>2957</v>
      </c>
      <c r="V89" s="75"/>
      <c r="W89" s="73"/>
      <c r="X89" s="73"/>
      <c r="Y89" s="74"/>
      <c r="Z89" s="74"/>
      <c r="AA89" s="74"/>
    </row>
    <row r="90" spans="1:35">
      <c r="A90" s="3">
        <v>40238</v>
      </c>
      <c r="B90">
        <f t="shared" si="6"/>
        <v>2010</v>
      </c>
      <c r="C90" s="3" t="str">
        <f t="shared" si="8"/>
        <v>Q1</v>
      </c>
      <c r="D90" s="138">
        <v>6471.5</v>
      </c>
      <c r="E90" s="138">
        <v>6365</v>
      </c>
      <c r="F90" s="138">
        <v>244.1</v>
      </c>
      <c r="G90" s="138">
        <v>240</v>
      </c>
      <c r="H90" s="70">
        <v>609770.30000000005</v>
      </c>
      <c r="I90" s="70">
        <v>6256.5</v>
      </c>
      <c r="J90" s="70">
        <v>5440.4</v>
      </c>
      <c r="K90" s="70">
        <v>410.2</v>
      </c>
      <c r="L90" s="70">
        <v>5934.4</v>
      </c>
      <c r="M90" s="70">
        <v>49.8</v>
      </c>
      <c r="N90" s="70">
        <v>1043.4000000000001</v>
      </c>
      <c r="O90" s="70">
        <f t="shared" si="7"/>
        <v>12190.9</v>
      </c>
      <c r="P90" s="70">
        <v>603564</v>
      </c>
      <c r="Q90" s="70">
        <v>6229</v>
      </c>
      <c r="R90" s="70">
        <v>4776</v>
      </c>
      <c r="S90" s="70">
        <v>2957</v>
      </c>
      <c r="V90" s="75"/>
      <c r="W90" s="73"/>
      <c r="X90" s="73"/>
      <c r="Y90" s="74"/>
      <c r="Z90" s="74"/>
      <c r="AA90" s="74"/>
    </row>
    <row r="91" spans="1:35">
      <c r="A91" s="3">
        <v>40269</v>
      </c>
      <c r="B91">
        <f t="shared" si="6"/>
        <v>2010</v>
      </c>
      <c r="C91" s="3" t="str">
        <f t="shared" si="8"/>
        <v>Q2</v>
      </c>
      <c r="D91" s="138">
        <v>6481.4</v>
      </c>
      <c r="E91" s="138">
        <v>6392.9</v>
      </c>
      <c r="F91" s="138">
        <v>244.2</v>
      </c>
      <c r="G91" s="138">
        <v>240.9</v>
      </c>
      <c r="H91" s="70">
        <v>609770.30000000005</v>
      </c>
      <c r="I91" s="70">
        <v>6256.5</v>
      </c>
      <c r="J91" s="70">
        <v>5440.4</v>
      </c>
      <c r="K91" s="70">
        <v>410.2</v>
      </c>
      <c r="L91" s="70">
        <v>5934.4</v>
      </c>
      <c r="M91" s="70">
        <v>49.8</v>
      </c>
      <c r="N91" s="70">
        <v>1043.4000000000001</v>
      </c>
      <c r="O91" s="70">
        <f t="shared" si="7"/>
        <v>12190.9</v>
      </c>
      <c r="P91" s="70">
        <v>607779</v>
      </c>
      <c r="Q91" s="70">
        <v>6288</v>
      </c>
      <c r="R91" s="70">
        <v>5451</v>
      </c>
      <c r="S91" s="70">
        <v>2950</v>
      </c>
      <c r="V91" s="75"/>
      <c r="W91" s="73"/>
      <c r="X91" s="73"/>
      <c r="Y91" s="74"/>
      <c r="Z91" s="74"/>
      <c r="AA91" s="74"/>
    </row>
    <row r="92" spans="1:35">
      <c r="A92" s="3">
        <v>40299</v>
      </c>
      <c r="B92">
        <f t="shared" si="6"/>
        <v>2010</v>
      </c>
      <c r="C92" s="3" t="str">
        <f t="shared" si="8"/>
        <v>Q2</v>
      </c>
      <c r="D92" s="138">
        <v>6512.4</v>
      </c>
      <c r="E92" s="138">
        <v>6473.6</v>
      </c>
      <c r="F92" s="138">
        <v>244.6</v>
      </c>
      <c r="G92" s="138">
        <v>242.3</v>
      </c>
      <c r="H92" s="70">
        <v>609770.30000000005</v>
      </c>
      <c r="I92" s="70">
        <v>6256.5</v>
      </c>
      <c r="J92" s="70">
        <v>5440.4</v>
      </c>
      <c r="K92" s="70">
        <v>410.2</v>
      </c>
      <c r="L92" s="70">
        <v>5934.4</v>
      </c>
      <c r="M92" s="70">
        <v>49.8</v>
      </c>
      <c r="N92" s="70">
        <v>1043.4000000000001</v>
      </c>
      <c r="O92" s="70">
        <f t="shared" si="7"/>
        <v>12190.9</v>
      </c>
      <c r="P92" s="70">
        <v>607779</v>
      </c>
      <c r="Q92" s="70">
        <v>6288</v>
      </c>
      <c r="R92" s="70">
        <v>5451</v>
      </c>
      <c r="S92" s="70">
        <v>2950</v>
      </c>
      <c r="V92" s="75"/>
      <c r="W92" s="73"/>
      <c r="X92" s="73"/>
      <c r="Y92" s="74"/>
      <c r="Z92" s="74"/>
      <c r="AA92" s="74"/>
    </row>
    <row r="93" spans="1:35">
      <c r="A93" s="3">
        <v>40330</v>
      </c>
      <c r="B93">
        <f t="shared" si="6"/>
        <v>2010</v>
      </c>
      <c r="C93" s="3" t="str">
        <f t="shared" si="8"/>
        <v>Q2</v>
      </c>
      <c r="D93" s="138">
        <v>6541.8</v>
      </c>
      <c r="E93" s="138">
        <v>6580</v>
      </c>
      <c r="F93" s="138">
        <v>245</v>
      </c>
      <c r="G93" s="138">
        <v>245.3</v>
      </c>
      <c r="H93" s="70">
        <v>609770.30000000005</v>
      </c>
      <c r="I93" s="70">
        <v>6256.5</v>
      </c>
      <c r="J93" s="70">
        <v>5440.4</v>
      </c>
      <c r="K93" s="70">
        <v>410.2</v>
      </c>
      <c r="L93" s="70">
        <v>5934.4</v>
      </c>
      <c r="M93" s="70">
        <v>49.8</v>
      </c>
      <c r="N93" s="70">
        <v>1043.4000000000001</v>
      </c>
      <c r="O93" s="70">
        <f t="shared" si="7"/>
        <v>12190.9</v>
      </c>
      <c r="P93" s="70">
        <v>607779</v>
      </c>
      <c r="Q93" s="70">
        <v>6288</v>
      </c>
      <c r="R93" s="70">
        <v>5451</v>
      </c>
      <c r="S93" s="70">
        <v>2950</v>
      </c>
      <c r="V93" s="75"/>
      <c r="W93" s="73"/>
      <c r="X93" s="73"/>
      <c r="Y93" s="74"/>
      <c r="Z93" s="74"/>
      <c r="AA93" s="74"/>
    </row>
    <row r="94" spans="1:35">
      <c r="A94" s="3">
        <v>40360</v>
      </c>
      <c r="B94">
        <f t="shared" si="6"/>
        <v>2010</v>
      </c>
      <c r="C94" s="3" t="str">
        <f t="shared" si="8"/>
        <v>Q3</v>
      </c>
      <c r="D94" s="138">
        <v>6567.3</v>
      </c>
      <c r="E94" s="138">
        <v>6649.8</v>
      </c>
      <c r="F94" s="138">
        <v>242.3</v>
      </c>
      <c r="G94" s="138">
        <v>243.7</v>
      </c>
      <c r="H94" s="70">
        <v>609770.30000000005</v>
      </c>
      <c r="I94" s="70">
        <v>6256.5</v>
      </c>
      <c r="J94" s="70">
        <v>5440.4</v>
      </c>
      <c r="K94" s="70">
        <v>410.2</v>
      </c>
      <c r="L94" s="70">
        <v>5934.4</v>
      </c>
      <c r="M94" s="70">
        <v>49.8</v>
      </c>
      <c r="N94" s="70">
        <v>1043.4000000000001</v>
      </c>
      <c r="O94" s="70">
        <f t="shared" si="7"/>
        <v>12190.9</v>
      </c>
      <c r="P94" s="70">
        <v>612303</v>
      </c>
      <c r="Q94" s="70">
        <v>6285</v>
      </c>
      <c r="R94" s="70">
        <v>6451</v>
      </c>
      <c r="S94" s="70">
        <v>3080</v>
      </c>
      <c r="V94" s="75"/>
      <c r="W94" s="73"/>
      <c r="X94" s="73"/>
      <c r="Y94" s="74"/>
      <c r="Z94" s="74"/>
      <c r="AA94" s="74"/>
    </row>
    <row r="95" spans="1:35">
      <c r="A95" s="3">
        <v>40391</v>
      </c>
      <c r="B95">
        <f t="shared" si="6"/>
        <v>2010</v>
      </c>
      <c r="C95" s="3" t="str">
        <f t="shared" si="8"/>
        <v>Q3</v>
      </c>
      <c r="D95" s="138">
        <v>6581.9</v>
      </c>
      <c r="E95" s="138">
        <v>6676.2</v>
      </c>
      <c r="F95" s="138">
        <v>239.6</v>
      </c>
      <c r="G95" s="138">
        <v>242</v>
      </c>
      <c r="H95" s="70">
        <v>609770.30000000005</v>
      </c>
      <c r="I95" s="70">
        <v>6256.5</v>
      </c>
      <c r="J95" s="70">
        <v>5440.4</v>
      </c>
      <c r="K95" s="70">
        <v>410.2</v>
      </c>
      <c r="L95" s="70">
        <v>5934.4</v>
      </c>
      <c r="M95" s="70">
        <v>49.8</v>
      </c>
      <c r="N95" s="70">
        <v>1043.4000000000001</v>
      </c>
      <c r="O95" s="70">
        <f t="shared" si="7"/>
        <v>12190.9</v>
      </c>
      <c r="P95" s="70">
        <v>612303</v>
      </c>
      <c r="Q95" s="70">
        <v>6285</v>
      </c>
      <c r="R95" s="70">
        <v>6451</v>
      </c>
      <c r="S95" s="70">
        <v>3080</v>
      </c>
      <c r="V95" s="75"/>
      <c r="W95" s="73"/>
      <c r="X95" s="73"/>
      <c r="Y95" s="74"/>
      <c r="Z95" s="74"/>
      <c r="AA95" s="74"/>
    </row>
    <row r="96" spans="1:35">
      <c r="A96" s="3">
        <v>40422</v>
      </c>
      <c r="B96">
        <f t="shared" si="6"/>
        <v>2010</v>
      </c>
      <c r="C96" s="3" t="str">
        <f t="shared" si="8"/>
        <v>Q3</v>
      </c>
      <c r="D96" s="138">
        <v>6581</v>
      </c>
      <c r="E96" s="138">
        <v>6639</v>
      </c>
      <c r="F96" s="138">
        <v>236.3</v>
      </c>
      <c r="G96" s="138">
        <v>237.7</v>
      </c>
      <c r="H96" s="70">
        <v>609770.30000000005</v>
      </c>
      <c r="I96" s="70">
        <v>6256.5</v>
      </c>
      <c r="J96" s="70">
        <v>5440.4</v>
      </c>
      <c r="K96" s="70">
        <v>410.2</v>
      </c>
      <c r="L96" s="70">
        <v>5934.4</v>
      </c>
      <c r="M96" s="70">
        <v>49.8</v>
      </c>
      <c r="N96" s="70">
        <v>1043.4000000000001</v>
      </c>
      <c r="O96" s="70">
        <f t="shared" si="7"/>
        <v>12190.9</v>
      </c>
      <c r="P96" s="70">
        <v>612303</v>
      </c>
      <c r="Q96" s="70">
        <v>6285</v>
      </c>
      <c r="R96" s="70">
        <v>6451</v>
      </c>
      <c r="S96" s="70">
        <v>3080</v>
      </c>
      <c r="V96" s="75"/>
      <c r="W96" s="73"/>
      <c r="X96" s="73"/>
      <c r="Y96" s="74"/>
      <c r="Z96" s="74"/>
      <c r="AA96" s="74"/>
    </row>
    <row r="97" spans="1:27">
      <c r="A97" s="3">
        <v>40452</v>
      </c>
      <c r="B97">
        <f t="shared" si="6"/>
        <v>2010</v>
      </c>
      <c r="C97" s="3" t="str">
        <f t="shared" si="8"/>
        <v>Q4</v>
      </c>
      <c r="D97" s="138">
        <v>6579.4</v>
      </c>
      <c r="E97" s="138">
        <v>6618.1</v>
      </c>
      <c r="F97" s="138">
        <v>236</v>
      </c>
      <c r="G97" s="138">
        <v>236.9</v>
      </c>
      <c r="H97" s="70">
        <v>609770.30000000005</v>
      </c>
      <c r="I97" s="70">
        <v>6256.5</v>
      </c>
      <c r="J97" s="70">
        <v>5440.4</v>
      </c>
      <c r="K97" s="70">
        <v>410.2</v>
      </c>
      <c r="L97" s="70">
        <v>5934.4</v>
      </c>
      <c r="M97" s="70">
        <v>49.8</v>
      </c>
      <c r="N97" s="70">
        <v>1043.4000000000001</v>
      </c>
      <c r="O97" s="70">
        <f t="shared" si="7"/>
        <v>12190.9</v>
      </c>
      <c r="P97" s="70">
        <v>615435</v>
      </c>
      <c r="Q97" s="70">
        <v>6224</v>
      </c>
      <c r="R97" s="70">
        <v>7059</v>
      </c>
      <c r="S97" s="70">
        <v>3032</v>
      </c>
      <c r="V97" s="75"/>
      <c r="W97" s="73"/>
      <c r="X97" s="73"/>
      <c r="Y97" s="74"/>
      <c r="Z97" s="74"/>
      <c r="AA97" s="74"/>
    </row>
    <row r="98" spans="1:27">
      <c r="A98" s="3">
        <v>40483</v>
      </c>
      <c r="B98">
        <f t="shared" si="6"/>
        <v>2010</v>
      </c>
      <c r="C98" s="3" t="str">
        <f t="shared" si="8"/>
        <v>Q4</v>
      </c>
      <c r="D98" s="138">
        <v>6584.4</v>
      </c>
      <c r="E98" s="138">
        <v>6600</v>
      </c>
      <c r="F98" s="138">
        <v>237.5</v>
      </c>
      <c r="G98" s="138">
        <v>238.8</v>
      </c>
      <c r="H98" s="70">
        <v>609770.30000000005</v>
      </c>
      <c r="I98" s="70">
        <v>6256.5</v>
      </c>
      <c r="J98" s="70">
        <v>5440.4</v>
      </c>
      <c r="K98" s="70">
        <v>410.2</v>
      </c>
      <c r="L98" s="70">
        <v>5934.4</v>
      </c>
      <c r="M98" s="70">
        <v>49.8</v>
      </c>
      <c r="N98" s="70">
        <v>1043.4000000000001</v>
      </c>
      <c r="O98" s="70">
        <f t="shared" si="7"/>
        <v>12190.9</v>
      </c>
      <c r="P98" s="70">
        <v>615435</v>
      </c>
      <c r="Q98" s="70">
        <v>6224</v>
      </c>
      <c r="R98" s="70">
        <v>7059</v>
      </c>
      <c r="S98" s="70">
        <v>3032</v>
      </c>
      <c r="V98" s="75"/>
      <c r="W98" s="73"/>
      <c r="X98" s="73"/>
      <c r="Y98" s="74"/>
      <c r="Z98" s="74"/>
      <c r="AA98" s="74"/>
    </row>
    <row r="99" spans="1:27">
      <c r="A99" s="3">
        <v>40513</v>
      </c>
      <c r="B99">
        <f t="shared" si="6"/>
        <v>2010</v>
      </c>
      <c r="C99" s="3" t="str">
        <f t="shared" si="8"/>
        <v>Q4</v>
      </c>
      <c r="D99" s="138">
        <v>6598</v>
      </c>
      <c r="E99" s="138">
        <v>6605.7</v>
      </c>
      <c r="F99" s="138">
        <v>238.2</v>
      </c>
      <c r="G99" s="138">
        <v>239.3</v>
      </c>
      <c r="H99" s="70">
        <v>609770.30000000005</v>
      </c>
      <c r="I99" s="70">
        <v>6256.5</v>
      </c>
      <c r="J99" s="70">
        <v>5440.4</v>
      </c>
      <c r="K99" s="70">
        <v>410.2</v>
      </c>
      <c r="L99" s="70">
        <v>5934.4</v>
      </c>
      <c r="M99" s="70">
        <v>49.8</v>
      </c>
      <c r="N99" s="70">
        <v>1043.4000000000001</v>
      </c>
      <c r="O99" s="70">
        <f t="shared" si="7"/>
        <v>12190.9</v>
      </c>
      <c r="P99" s="70">
        <v>615435</v>
      </c>
      <c r="Q99" s="70">
        <v>6224</v>
      </c>
      <c r="R99" s="70">
        <v>7059</v>
      </c>
      <c r="S99" s="70">
        <v>3032</v>
      </c>
      <c r="V99" s="75"/>
      <c r="W99" s="73"/>
      <c r="X99" s="73"/>
      <c r="Y99" s="74"/>
      <c r="Z99" s="74"/>
      <c r="AA99" s="74"/>
    </row>
    <row r="100" spans="1:27">
      <c r="A100" s="3">
        <v>40544</v>
      </c>
      <c r="B100">
        <f t="shared" si="6"/>
        <v>2011</v>
      </c>
      <c r="C100" s="3" t="str">
        <f t="shared" si="8"/>
        <v>Q1</v>
      </c>
      <c r="D100" s="138">
        <v>6621.4</v>
      </c>
      <c r="E100" s="138">
        <v>6584.4</v>
      </c>
      <c r="F100" s="138">
        <v>238.2</v>
      </c>
      <c r="G100" s="138">
        <v>237.8</v>
      </c>
      <c r="H100" s="70">
        <v>625936.9</v>
      </c>
      <c r="I100" s="70">
        <v>6466.7</v>
      </c>
      <c r="J100" s="70">
        <v>5584.2</v>
      </c>
      <c r="K100" s="70">
        <v>457.6</v>
      </c>
      <c r="L100" s="70">
        <v>7492.3</v>
      </c>
      <c r="M100" s="70">
        <v>48</v>
      </c>
      <c r="N100" s="70">
        <v>1333.6</v>
      </c>
      <c r="O100" s="70">
        <f t="shared" si="7"/>
        <v>13959</v>
      </c>
      <c r="P100" s="70">
        <v>620343</v>
      </c>
      <c r="Q100" s="70">
        <v>6297</v>
      </c>
      <c r="R100" s="70">
        <v>7227</v>
      </c>
      <c r="S100" s="70">
        <v>3218</v>
      </c>
      <c r="V100" s="75"/>
      <c r="W100" s="73"/>
      <c r="X100" s="73"/>
      <c r="Y100" s="74"/>
      <c r="Z100" s="74"/>
      <c r="AA100" s="74"/>
    </row>
    <row r="101" spans="1:27">
      <c r="A101" s="3">
        <v>40575</v>
      </c>
      <c r="B101">
        <f t="shared" si="6"/>
        <v>2011</v>
      </c>
      <c r="C101" s="3" t="str">
        <f t="shared" si="8"/>
        <v>Q1</v>
      </c>
      <c r="D101" s="138">
        <v>6627.3</v>
      </c>
      <c r="E101" s="138">
        <v>6550.1</v>
      </c>
      <c r="F101" s="138">
        <v>237.4</v>
      </c>
      <c r="G101" s="138">
        <v>234.3</v>
      </c>
      <c r="H101" s="70">
        <v>625936.9</v>
      </c>
      <c r="I101" s="70">
        <v>6466.7</v>
      </c>
      <c r="J101" s="70">
        <v>5584.2</v>
      </c>
      <c r="K101" s="70">
        <v>457.6</v>
      </c>
      <c r="L101" s="70">
        <v>7492.3</v>
      </c>
      <c r="M101" s="70">
        <v>48</v>
      </c>
      <c r="N101" s="70">
        <v>1333.6</v>
      </c>
      <c r="O101" s="70">
        <f t="shared" si="7"/>
        <v>13959</v>
      </c>
      <c r="P101" s="70">
        <v>620343</v>
      </c>
      <c r="Q101" s="70">
        <v>6297</v>
      </c>
      <c r="R101" s="70">
        <v>7227</v>
      </c>
      <c r="S101" s="70">
        <v>3218</v>
      </c>
      <c r="V101" s="75"/>
      <c r="W101" s="73"/>
      <c r="X101" s="73"/>
      <c r="Y101" s="74"/>
      <c r="Z101" s="74"/>
      <c r="AA101" s="74"/>
    </row>
    <row r="102" spans="1:27">
      <c r="A102" s="3">
        <v>40603</v>
      </c>
      <c r="B102">
        <f t="shared" si="6"/>
        <v>2011</v>
      </c>
      <c r="C102" s="3" t="str">
        <f t="shared" si="8"/>
        <v>Q1</v>
      </c>
      <c r="D102" s="138">
        <v>6634.7</v>
      </c>
      <c r="E102" s="138">
        <v>6523.8</v>
      </c>
      <c r="F102" s="138">
        <v>239.1</v>
      </c>
      <c r="G102" s="138">
        <v>234.4</v>
      </c>
      <c r="H102" s="70">
        <v>625936.9</v>
      </c>
      <c r="I102" s="70">
        <v>6466.7</v>
      </c>
      <c r="J102" s="70">
        <v>5584.2</v>
      </c>
      <c r="K102" s="70">
        <v>457.6</v>
      </c>
      <c r="L102" s="70">
        <v>7492.3</v>
      </c>
      <c r="M102" s="70">
        <v>48</v>
      </c>
      <c r="N102" s="70">
        <v>1333.6</v>
      </c>
      <c r="O102" s="70">
        <f t="shared" si="7"/>
        <v>13959</v>
      </c>
      <c r="P102" s="70">
        <v>620343</v>
      </c>
      <c r="Q102" s="70">
        <v>6297</v>
      </c>
      <c r="R102" s="70">
        <v>7227</v>
      </c>
      <c r="S102" s="70">
        <v>3218</v>
      </c>
      <c r="V102" s="75"/>
      <c r="W102" s="73"/>
      <c r="X102" s="73"/>
      <c r="Y102" s="74"/>
      <c r="Z102" s="74"/>
      <c r="AA102" s="74"/>
    </row>
    <row r="103" spans="1:27">
      <c r="A103" s="3">
        <v>40634</v>
      </c>
      <c r="B103">
        <f t="shared" si="6"/>
        <v>2011</v>
      </c>
      <c r="C103" s="3" t="str">
        <f t="shared" si="8"/>
        <v>Q2</v>
      </c>
      <c r="D103" s="138">
        <v>6641.1</v>
      </c>
      <c r="E103" s="138">
        <v>6550.1</v>
      </c>
      <c r="F103" s="138">
        <v>239.4</v>
      </c>
      <c r="G103" s="138">
        <v>236.1</v>
      </c>
      <c r="H103" s="70">
        <v>625936.9</v>
      </c>
      <c r="I103" s="70">
        <v>6466.7</v>
      </c>
      <c r="J103" s="70">
        <v>5584.2</v>
      </c>
      <c r="K103" s="70">
        <v>457.6</v>
      </c>
      <c r="L103" s="70">
        <v>7492.3</v>
      </c>
      <c r="M103" s="70">
        <v>48</v>
      </c>
      <c r="N103" s="70">
        <v>1333.6</v>
      </c>
      <c r="O103" s="70">
        <f t="shared" si="7"/>
        <v>13959</v>
      </c>
      <c r="P103" s="70">
        <v>620357</v>
      </c>
      <c r="Q103" s="70">
        <v>6354</v>
      </c>
      <c r="R103" s="70">
        <v>7364</v>
      </c>
      <c r="S103" s="70">
        <v>3251</v>
      </c>
      <c r="V103" s="75"/>
      <c r="W103" s="73"/>
      <c r="X103" s="73"/>
      <c r="Y103" s="74"/>
      <c r="Z103" s="74"/>
      <c r="AA103" s="74"/>
    </row>
    <row r="104" spans="1:27">
      <c r="A104" s="3">
        <v>40664</v>
      </c>
      <c r="B104">
        <f t="shared" si="6"/>
        <v>2011</v>
      </c>
      <c r="C104" s="3" t="str">
        <f t="shared" si="8"/>
        <v>Q2</v>
      </c>
      <c r="D104" s="138">
        <v>6649.8</v>
      </c>
      <c r="E104" s="138">
        <v>6614.9</v>
      </c>
      <c r="F104" s="138">
        <v>237.2</v>
      </c>
      <c r="G104" s="138">
        <v>237.1</v>
      </c>
      <c r="H104" s="70">
        <v>625936.9</v>
      </c>
      <c r="I104" s="70">
        <v>6466.7</v>
      </c>
      <c r="J104" s="70">
        <v>5584.2</v>
      </c>
      <c r="K104" s="70">
        <v>457.6</v>
      </c>
      <c r="L104" s="70">
        <v>7492.3</v>
      </c>
      <c r="M104" s="70">
        <v>48</v>
      </c>
      <c r="N104" s="70">
        <v>1333.6</v>
      </c>
      <c r="O104" s="70">
        <f t="shared" si="7"/>
        <v>13959</v>
      </c>
      <c r="P104" s="70">
        <v>620357</v>
      </c>
      <c r="Q104" s="70">
        <v>6354</v>
      </c>
      <c r="R104" s="70">
        <v>7364</v>
      </c>
      <c r="S104" s="70">
        <v>3251</v>
      </c>
      <c r="V104" s="75"/>
      <c r="W104" s="73"/>
      <c r="X104" s="73"/>
      <c r="Y104" s="74"/>
      <c r="Z104" s="74"/>
      <c r="AA104" s="74"/>
    </row>
    <row r="105" spans="1:27">
      <c r="A105" s="3">
        <v>40695</v>
      </c>
      <c r="B105">
        <f t="shared" si="6"/>
        <v>2011</v>
      </c>
      <c r="C105" s="3" t="str">
        <f t="shared" si="8"/>
        <v>Q2</v>
      </c>
      <c r="D105" s="138">
        <v>6667.8</v>
      </c>
      <c r="E105" s="138">
        <v>6711.7</v>
      </c>
      <c r="F105" s="138">
        <v>234.1</v>
      </c>
      <c r="G105" s="138">
        <v>236.8</v>
      </c>
      <c r="H105" s="70">
        <v>625936.9</v>
      </c>
      <c r="I105" s="70">
        <v>6466.7</v>
      </c>
      <c r="J105" s="70">
        <v>5584.2</v>
      </c>
      <c r="K105" s="70">
        <v>457.6</v>
      </c>
      <c r="L105" s="70">
        <v>7492.3</v>
      </c>
      <c r="M105" s="70">
        <v>48</v>
      </c>
      <c r="N105" s="70">
        <v>1333.6</v>
      </c>
      <c r="O105" s="70">
        <f t="shared" si="7"/>
        <v>13959</v>
      </c>
      <c r="P105" s="70">
        <v>620357</v>
      </c>
      <c r="Q105" s="70">
        <v>6354</v>
      </c>
      <c r="R105" s="70">
        <v>7364</v>
      </c>
      <c r="S105" s="70">
        <v>3251</v>
      </c>
      <c r="V105" s="75"/>
      <c r="W105" s="73"/>
      <c r="X105" s="73"/>
      <c r="Y105" s="74"/>
      <c r="Z105" s="74"/>
      <c r="AA105" s="74"/>
    </row>
    <row r="106" spans="1:27">
      <c r="A106" s="3">
        <v>40725</v>
      </c>
      <c r="B106">
        <f t="shared" si="6"/>
        <v>2011</v>
      </c>
      <c r="C106" s="3" t="str">
        <f t="shared" si="8"/>
        <v>Q3</v>
      </c>
      <c r="D106" s="138">
        <v>6670.9</v>
      </c>
      <c r="E106" s="138">
        <v>6761.1</v>
      </c>
      <c r="F106" s="138">
        <v>234.1</v>
      </c>
      <c r="G106" s="138">
        <v>237.5</v>
      </c>
      <c r="H106" s="70">
        <v>625936.9</v>
      </c>
      <c r="I106" s="70">
        <v>6466.7</v>
      </c>
      <c r="J106" s="70">
        <v>5584.2</v>
      </c>
      <c r="K106" s="70">
        <v>457.6</v>
      </c>
      <c r="L106" s="70">
        <v>7492.3</v>
      </c>
      <c r="M106" s="70">
        <v>48</v>
      </c>
      <c r="N106" s="70">
        <v>1333.6</v>
      </c>
      <c r="O106" s="70">
        <f t="shared" si="7"/>
        <v>13959</v>
      </c>
      <c r="P106" s="70">
        <v>629407</v>
      </c>
      <c r="Q106" s="70">
        <v>6581</v>
      </c>
      <c r="R106" s="70">
        <v>7738</v>
      </c>
      <c r="S106" s="70">
        <v>3262</v>
      </c>
      <c r="V106" s="75"/>
      <c r="W106" s="73"/>
      <c r="X106" s="73"/>
      <c r="Y106" s="74"/>
      <c r="Z106" s="74"/>
      <c r="AA106" s="74"/>
    </row>
    <row r="107" spans="1:27">
      <c r="A107" s="3">
        <v>40756</v>
      </c>
      <c r="B107">
        <f t="shared" si="6"/>
        <v>2011</v>
      </c>
      <c r="C107" s="3" t="str">
        <f t="shared" si="8"/>
        <v>Q3</v>
      </c>
      <c r="D107" s="138">
        <v>6682.8</v>
      </c>
      <c r="E107" s="138">
        <v>6782.7</v>
      </c>
      <c r="F107" s="138">
        <v>237.3</v>
      </c>
      <c r="G107" s="138">
        <v>240.2</v>
      </c>
      <c r="H107" s="70">
        <v>625936.9</v>
      </c>
      <c r="I107" s="70">
        <v>6466.7</v>
      </c>
      <c r="J107" s="70">
        <v>5584.2</v>
      </c>
      <c r="K107" s="70">
        <v>457.6</v>
      </c>
      <c r="L107" s="70">
        <v>7492.3</v>
      </c>
      <c r="M107" s="70">
        <v>48</v>
      </c>
      <c r="N107" s="70">
        <v>1333.6</v>
      </c>
      <c r="O107" s="70">
        <f t="shared" si="7"/>
        <v>13959</v>
      </c>
      <c r="P107" s="70">
        <v>629407</v>
      </c>
      <c r="Q107" s="70">
        <v>6581</v>
      </c>
      <c r="R107" s="70">
        <v>7738</v>
      </c>
      <c r="S107" s="70">
        <v>3262</v>
      </c>
      <c r="V107" s="75"/>
      <c r="W107" s="73"/>
      <c r="X107" s="73"/>
      <c r="Y107" s="74"/>
      <c r="Z107" s="74"/>
      <c r="AA107" s="74"/>
    </row>
    <row r="108" spans="1:27">
      <c r="A108" s="3">
        <v>40787</v>
      </c>
      <c r="B108">
        <f t="shared" si="6"/>
        <v>2011</v>
      </c>
      <c r="C108" s="3" t="str">
        <f t="shared" si="8"/>
        <v>Q3</v>
      </c>
      <c r="D108" s="138">
        <v>6673.9</v>
      </c>
      <c r="E108" s="138">
        <v>6733.8</v>
      </c>
      <c r="F108" s="138">
        <v>239</v>
      </c>
      <c r="G108" s="138">
        <v>240.6</v>
      </c>
      <c r="H108" s="70">
        <v>625936.9</v>
      </c>
      <c r="I108" s="70">
        <v>6466.7</v>
      </c>
      <c r="J108" s="70">
        <v>5584.2</v>
      </c>
      <c r="K108" s="70">
        <v>457.6</v>
      </c>
      <c r="L108" s="70">
        <v>7492.3</v>
      </c>
      <c r="M108" s="70">
        <v>48</v>
      </c>
      <c r="N108" s="70">
        <v>1333.6</v>
      </c>
      <c r="O108" s="70">
        <f t="shared" si="7"/>
        <v>13959</v>
      </c>
      <c r="P108" s="70">
        <v>629407</v>
      </c>
      <c r="Q108" s="70">
        <v>6581</v>
      </c>
      <c r="R108" s="70">
        <v>7738</v>
      </c>
      <c r="S108" s="70">
        <v>3262</v>
      </c>
      <c r="V108" s="75"/>
      <c r="W108" s="73"/>
      <c r="X108" s="73"/>
      <c r="Y108" s="74"/>
      <c r="Z108" s="74"/>
      <c r="AA108" s="74"/>
    </row>
    <row r="109" spans="1:27">
      <c r="A109" s="3">
        <v>40817</v>
      </c>
      <c r="B109">
        <f t="shared" si="6"/>
        <v>2011</v>
      </c>
      <c r="C109" s="3" t="str">
        <f t="shared" si="8"/>
        <v>Q4</v>
      </c>
      <c r="D109" s="138">
        <v>6664.1</v>
      </c>
      <c r="E109" s="138">
        <v>6699.4</v>
      </c>
      <c r="F109" s="138">
        <v>238.6</v>
      </c>
      <c r="G109" s="138">
        <v>239.3</v>
      </c>
      <c r="H109" s="70">
        <v>625936.9</v>
      </c>
      <c r="I109" s="70">
        <v>6466.7</v>
      </c>
      <c r="J109" s="70">
        <v>5584.2</v>
      </c>
      <c r="K109" s="70">
        <v>457.6</v>
      </c>
      <c r="L109" s="70">
        <v>7492.3</v>
      </c>
      <c r="M109" s="70">
        <v>48</v>
      </c>
      <c r="N109" s="70">
        <v>1333.6</v>
      </c>
      <c r="O109" s="70">
        <f t="shared" si="7"/>
        <v>13959</v>
      </c>
      <c r="P109" s="70">
        <v>633641</v>
      </c>
      <c r="Q109" s="70">
        <v>6636</v>
      </c>
      <c r="R109" s="70">
        <v>7640</v>
      </c>
      <c r="S109" s="70">
        <v>3321</v>
      </c>
      <c r="V109" s="75"/>
      <c r="W109" s="73"/>
      <c r="X109" s="73"/>
      <c r="Y109" s="74"/>
      <c r="Z109" s="74"/>
      <c r="AA109" s="74"/>
    </row>
    <row r="110" spans="1:27">
      <c r="A110" s="3">
        <v>40848</v>
      </c>
      <c r="B110">
        <f t="shared" si="6"/>
        <v>2011</v>
      </c>
      <c r="C110" s="3" t="str">
        <f t="shared" si="8"/>
        <v>Q4</v>
      </c>
      <c r="D110" s="138">
        <v>6657.6</v>
      </c>
      <c r="E110" s="138">
        <v>6666.5</v>
      </c>
      <c r="F110" s="138">
        <v>235.8</v>
      </c>
      <c r="G110" s="138">
        <v>236.1</v>
      </c>
      <c r="H110" s="70">
        <v>625936.9</v>
      </c>
      <c r="I110" s="70">
        <v>6466.7</v>
      </c>
      <c r="J110" s="70">
        <v>5584.2</v>
      </c>
      <c r="K110" s="70">
        <v>457.6</v>
      </c>
      <c r="L110" s="70">
        <v>7492.3</v>
      </c>
      <c r="M110" s="70">
        <v>48</v>
      </c>
      <c r="N110" s="70">
        <v>1333.6</v>
      </c>
      <c r="O110" s="70">
        <f t="shared" si="7"/>
        <v>13959</v>
      </c>
      <c r="P110" s="70">
        <v>633641</v>
      </c>
      <c r="Q110" s="70">
        <v>6636</v>
      </c>
      <c r="R110" s="70">
        <v>7640</v>
      </c>
      <c r="S110" s="70">
        <v>3321</v>
      </c>
      <c r="V110" s="75"/>
      <c r="W110" s="73"/>
      <c r="X110" s="73"/>
      <c r="Y110" s="74"/>
      <c r="Z110" s="74"/>
      <c r="AA110" s="74"/>
    </row>
    <row r="111" spans="1:27">
      <c r="A111" s="3">
        <v>40878</v>
      </c>
      <c r="B111">
        <f t="shared" si="6"/>
        <v>2011</v>
      </c>
      <c r="C111" s="3" t="str">
        <f t="shared" si="8"/>
        <v>Q4</v>
      </c>
      <c r="D111" s="138">
        <v>6657.4</v>
      </c>
      <c r="E111" s="138">
        <v>6662.6</v>
      </c>
      <c r="F111" s="138">
        <v>235.5</v>
      </c>
      <c r="G111" s="138">
        <v>235.9</v>
      </c>
      <c r="H111" s="70">
        <v>625936.9</v>
      </c>
      <c r="I111" s="70">
        <v>6466.7</v>
      </c>
      <c r="J111" s="70">
        <v>5584.2</v>
      </c>
      <c r="K111" s="70">
        <v>457.6</v>
      </c>
      <c r="L111" s="70">
        <v>7492.3</v>
      </c>
      <c r="M111" s="70">
        <v>48</v>
      </c>
      <c r="N111" s="70">
        <v>1333.6</v>
      </c>
      <c r="O111" s="70">
        <f t="shared" si="7"/>
        <v>13959</v>
      </c>
      <c r="P111" s="70">
        <v>633641</v>
      </c>
      <c r="Q111" s="70">
        <v>6636</v>
      </c>
      <c r="R111" s="70">
        <v>7640</v>
      </c>
      <c r="S111" s="70">
        <v>3321</v>
      </c>
      <c r="V111" s="75"/>
      <c r="W111" s="73"/>
      <c r="X111" s="73"/>
      <c r="Y111" s="74"/>
      <c r="Z111" s="74"/>
      <c r="AA111" s="74"/>
    </row>
    <row r="112" spans="1:27">
      <c r="A112" s="3">
        <v>40909</v>
      </c>
      <c r="B112">
        <f t="shared" si="6"/>
        <v>2012</v>
      </c>
      <c r="C112" s="3" t="str">
        <f t="shared" si="8"/>
        <v>Q1</v>
      </c>
      <c r="D112" s="138">
        <v>6662.5</v>
      </c>
      <c r="E112" s="138">
        <v>6626</v>
      </c>
      <c r="F112" s="138">
        <v>235.4</v>
      </c>
      <c r="G112" s="138">
        <v>234.6</v>
      </c>
      <c r="H112" s="70">
        <v>634944.30000000005</v>
      </c>
      <c r="I112" s="70">
        <v>6527</v>
      </c>
      <c r="J112" s="70">
        <v>5663.5</v>
      </c>
      <c r="K112" s="70">
        <v>468.8</v>
      </c>
      <c r="L112" s="70">
        <v>7404.1</v>
      </c>
      <c r="M112" s="70">
        <v>38.299999999999997</v>
      </c>
      <c r="N112" s="70">
        <v>1677.5</v>
      </c>
      <c r="O112" s="70">
        <f t="shared" si="7"/>
        <v>13931.1</v>
      </c>
      <c r="P112" s="70">
        <v>634323</v>
      </c>
      <c r="Q112" s="70">
        <v>6479</v>
      </c>
      <c r="R112" s="70">
        <v>7359</v>
      </c>
      <c r="S112" s="70">
        <v>3294</v>
      </c>
      <c r="V112" s="75"/>
      <c r="W112" s="73"/>
      <c r="X112" s="73"/>
      <c r="Y112" s="74"/>
      <c r="Z112" s="74"/>
      <c r="AA112" s="74"/>
    </row>
    <row r="113" spans="1:27">
      <c r="A113" s="3">
        <v>40940</v>
      </c>
      <c r="B113">
        <f t="shared" si="6"/>
        <v>2012</v>
      </c>
      <c r="C113" s="3" t="str">
        <f t="shared" si="8"/>
        <v>Q1</v>
      </c>
      <c r="D113" s="138">
        <v>6656.6</v>
      </c>
      <c r="E113" s="138">
        <v>6581.8</v>
      </c>
      <c r="F113" s="138">
        <v>236</v>
      </c>
      <c r="G113" s="138">
        <v>232.7</v>
      </c>
      <c r="H113" s="70">
        <v>634944.30000000005</v>
      </c>
      <c r="I113" s="70">
        <v>6527</v>
      </c>
      <c r="J113" s="70">
        <v>5663.5</v>
      </c>
      <c r="K113" s="70">
        <v>468.8</v>
      </c>
      <c r="L113" s="70">
        <v>7404.1</v>
      </c>
      <c r="M113" s="70">
        <v>38.299999999999997</v>
      </c>
      <c r="N113" s="70">
        <v>1677.5</v>
      </c>
      <c r="O113" s="70">
        <f t="shared" si="7"/>
        <v>13931.1</v>
      </c>
      <c r="P113" s="70">
        <v>634323</v>
      </c>
      <c r="Q113" s="70">
        <v>6479</v>
      </c>
      <c r="R113" s="70">
        <v>7359</v>
      </c>
      <c r="S113" s="70">
        <v>3294</v>
      </c>
      <c r="V113" s="75"/>
      <c r="W113" s="73"/>
      <c r="X113" s="73"/>
      <c r="Y113" s="74"/>
      <c r="Z113" s="74"/>
      <c r="AA113" s="74"/>
    </row>
    <row r="114" spans="1:27">
      <c r="A114" s="3">
        <v>40969</v>
      </c>
      <c r="B114">
        <f t="shared" si="6"/>
        <v>2012</v>
      </c>
      <c r="C114" s="3" t="str">
        <f t="shared" si="8"/>
        <v>Q1</v>
      </c>
      <c r="D114" s="138">
        <v>6667.9</v>
      </c>
      <c r="E114" s="138">
        <v>6559.2</v>
      </c>
      <c r="F114" s="138">
        <v>236.6</v>
      </c>
      <c r="G114" s="138">
        <v>231.5</v>
      </c>
      <c r="H114" s="70">
        <v>634944.30000000005</v>
      </c>
      <c r="I114" s="70">
        <v>6527</v>
      </c>
      <c r="J114" s="70">
        <v>5663.5</v>
      </c>
      <c r="K114" s="70">
        <v>468.8</v>
      </c>
      <c r="L114" s="70">
        <v>7404.1</v>
      </c>
      <c r="M114" s="70">
        <v>38.299999999999997</v>
      </c>
      <c r="N114" s="70">
        <v>1677.5</v>
      </c>
      <c r="O114" s="70">
        <f t="shared" si="7"/>
        <v>13931.1</v>
      </c>
      <c r="P114" s="70">
        <v>634323</v>
      </c>
      <c r="Q114" s="70">
        <v>6479</v>
      </c>
      <c r="R114" s="70">
        <v>7359</v>
      </c>
      <c r="S114" s="70">
        <v>3294</v>
      </c>
      <c r="V114" s="75"/>
      <c r="W114" s="73"/>
      <c r="X114" s="73"/>
      <c r="Y114" s="74"/>
      <c r="Z114" s="74"/>
      <c r="AA114" s="74"/>
    </row>
    <row r="115" spans="1:27">
      <c r="A115" s="3">
        <v>41000</v>
      </c>
      <c r="B115">
        <f t="shared" si="6"/>
        <v>2012</v>
      </c>
      <c r="C115" s="3" t="str">
        <f t="shared" si="8"/>
        <v>Q2</v>
      </c>
      <c r="D115" s="138">
        <v>6681</v>
      </c>
      <c r="E115" s="138">
        <v>6594.3</v>
      </c>
      <c r="F115" s="138">
        <v>240.5</v>
      </c>
      <c r="G115" s="138">
        <v>236.5</v>
      </c>
      <c r="H115" s="70">
        <v>634944.30000000005</v>
      </c>
      <c r="I115" s="70">
        <v>6527</v>
      </c>
      <c r="J115" s="70">
        <v>5663.5</v>
      </c>
      <c r="K115" s="70">
        <v>468.8</v>
      </c>
      <c r="L115" s="70">
        <v>7404.1</v>
      </c>
      <c r="M115" s="70">
        <v>38.299999999999997</v>
      </c>
      <c r="N115" s="70">
        <v>1677.5</v>
      </c>
      <c r="O115" s="70">
        <f t="shared" si="7"/>
        <v>13931.1</v>
      </c>
      <c r="P115" s="70">
        <v>635240</v>
      </c>
      <c r="Q115" s="70">
        <v>6610</v>
      </c>
      <c r="R115" s="70">
        <v>7627</v>
      </c>
      <c r="S115" s="70">
        <v>3334</v>
      </c>
      <c r="V115" s="75"/>
      <c r="W115" s="73"/>
      <c r="X115" s="73"/>
      <c r="Y115" s="74"/>
      <c r="Z115" s="74"/>
      <c r="AA115" s="74"/>
    </row>
    <row r="116" spans="1:27">
      <c r="A116" s="3">
        <v>41030</v>
      </c>
      <c r="B116">
        <f t="shared" si="6"/>
        <v>2012</v>
      </c>
      <c r="C116" s="3" t="str">
        <f t="shared" si="8"/>
        <v>Q2</v>
      </c>
      <c r="D116" s="138">
        <v>6690.2</v>
      </c>
      <c r="E116" s="138">
        <v>6657.6</v>
      </c>
      <c r="F116" s="138">
        <v>243.3</v>
      </c>
      <c r="G116" s="138">
        <v>242.2</v>
      </c>
      <c r="H116" s="70">
        <v>634944.30000000005</v>
      </c>
      <c r="I116" s="70">
        <v>6527</v>
      </c>
      <c r="J116" s="70">
        <v>5663.5</v>
      </c>
      <c r="K116" s="70">
        <v>468.8</v>
      </c>
      <c r="L116" s="70">
        <v>7404.1</v>
      </c>
      <c r="M116" s="70">
        <v>38.299999999999997</v>
      </c>
      <c r="N116" s="70">
        <v>1677.5</v>
      </c>
      <c r="O116" s="70">
        <f t="shared" si="7"/>
        <v>13931.1</v>
      </c>
      <c r="P116" s="70">
        <v>635240</v>
      </c>
      <c r="Q116" s="70">
        <v>6610</v>
      </c>
      <c r="R116" s="70">
        <v>7627</v>
      </c>
      <c r="S116" s="70">
        <v>3334</v>
      </c>
      <c r="V116" s="75"/>
      <c r="W116" s="73"/>
      <c r="X116" s="73"/>
      <c r="Y116" s="74"/>
      <c r="Z116" s="74"/>
      <c r="AA116" s="74"/>
    </row>
    <row r="117" spans="1:27">
      <c r="A117" s="3">
        <v>41061</v>
      </c>
      <c r="B117">
        <f t="shared" si="6"/>
        <v>2012</v>
      </c>
      <c r="C117" s="3" t="str">
        <f t="shared" si="8"/>
        <v>Q2</v>
      </c>
      <c r="D117" s="138">
        <v>6685.4</v>
      </c>
      <c r="E117" s="138">
        <v>6727.5</v>
      </c>
      <c r="F117" s="138">
        <v>244.2</v>
      </c>
      <c r="G117" s="138">
        <v>246.2</v>
      </c>
      <c r="H117" s="70">
        <v>634944.30000000005</v>
      </c>
      <c r="I117" s="70">
        <v>6527</v>
      </c>
      <c r="J117" s="70">
        <v>5663.5</v>
      </c>
      <c r="K117" s="70">
        <v>468.8</v>
      </c>
      <c r="L117" s="70">
        <v>7404.1</v>
      </c>
      <c r="M117" s="70">
        <v>38.299999999999997</v>
      </c>
      <c r="N117" s="70">
        <v>1677.5</v>
      </c>
      <c r="O117" s="70">
        <f t="shared" si="7"/>
        <v>13931.1</v>
      </c>
      <c r="P117" s="70">
        <v>635240</v>
      </c>
      <c r="Q117" s="70">
        <v>6610</v>
      </c>
      <c r="R117" s="70">
        <v>7627</v>
      </c>
      <c r="S117" s="70">
        <v>3334</v>
      </c>
      <c r="V117" s="75"/>
      <c r="W117" s="73"/>
      <c r="X117" s="73"/>
      <c r="Y117" s="74"/>
      <c r="Z117" s="74"/>
      <c r="AA117" s="74"/>
    </row>
    <row r="118" spans="1:27">
      <c r="A118" s="3">
        <v>41091</v>
      </c>
      <c r="B118">
        <f t="shared" si="6"/>
        <v>2012</v>
      </c>
      <c r="C118" s="3" t="str">
        <f t="shared" si="8"/>
        <v>Q3</v>
      </c>
      <c r="D118" s="138">
        <v>6687.7</v>
      </c>
      <c r="E118" s="138">
        <v>6772.9</v>
      </c>
      <c r="F118" s="138">
        <v>243.8</v>
      </c>
      <c r="G118" s="138">
        <v>247.9</v>
      </c>
      <c r="H118" s="70">
        <v>634944.30000000005</v>
      </c>
      <c r="I118" s="70">
        <v>6527</v>
      </c>
      <c r="J118" s="70">
        <v>5663.5</v>
      </c>
      <c r="K118" s="70">
        <v>468.8</v>
      </c>
      <c r="L118" s="70">
        <v>7404.1</v>
      </c>
      <c r="M118" s="70">
        <v>38.299999999999997</v>
      </c>
      <c r="N118" s="70">
        <v>1677.5</v>
      </c>
      <c r="O118" s="70">
        <f t="shared" si="7"/>
        <v>13931.1</v>
      </c>
      <c r="P118" s="70">
        <v>635111</v>
      </c>
      <c r="Q118" s="70">
        <v>6513</v>
      </c>
      <c r="R118" s="70">
        <v>7240</v>
      </c>
      <c r="S118" s="70">
        <v>3376</v>
      </c>
      <c r="V118" s="75"/>
      <c r="W118" s="73"/>
      <c r="X118" s="73"/>
      <c r="Y118" s="74"/>
      <c r="Z118" s="74"/>
      <c r="AA118" s="74"/>
    </row>
    <row r="119" spans="1:27">
      <c r="A119" s="3">
        <v>41122</v>
      </c>
      <c r="B119">
        <f t="shared" si="6"/>
        <v>2012</v>
      </c>
      <c r="C119" s="3" t="str">
        <f t="shared" si="8"/>
        <v>Q3</v>
      </c>
      <c r="D119" s="138">
        <v>6696.7</v>
      </c>
      <c r="E119" s="138">
        <v>6792.8</v>
      </c>
      <c r="F119" s="138">
        <v>244.1</v>
      </c>
      <c r="G119" s="138">
        <v>248.9</v>
      </c>
      <c r="H119" s="70">
        <v>634944.30000000005</v>
      </c>
      <c r="I119" s="70">
        <v>6527</v>
      </c>
      <c r="J119" s="70">
        <v>5663.5</v>
      </c>
      <c r="K119" s="70">
        <v>468.8</v>
      </c>
      <c r="L119" s="70">
        <v>7404.1</v>
      </c>
      <c r="M119" s="70">
        <v>38.299999999999997</v>
      </c>
      <c r="N119" s="70">
        <v>1677.5</v>
      </c>
      <c r="O119" s="70">
        <f t="shared" si="7"/>
        <v>13931.1</v>
      </c>
      <c r="P119" s="70">
        <v>635111</v>
      </c>
      <c r="Q119" s="70">
        <v>6513</v>
      </c>
      <c r="R119" s="70">
        <v>7240</v>
      </c>
      <c r="S119" s="70">
        <v>3376</v>
      </c>
      <c r="V119" s="75"/>
      <c r="W119" s="73"/>
      <c r="X119" s="73"/>
      <c r="Y119" s="74"/>
      <c r="Z119" s="74"/>
      <c r="AA119" s="74"/>
    </row>
    <row r="120" spans="1:27">
      <c r="A120" s="3">
        <v>41153</v>
      </c>
      <c r="B120">
        <f t="shared" si="6"/>
        <v>2012</v>
      </c>
      <c r="C120" s="3" t="str">
        <f t="shared" si="8"/>
        <v>Q3</v>
      </c>
      <c r="D120" s="138">
        <v>6714.6</v>
      </c>
      <c r="E120" s="138">
        <v>6769.1</v>
      </c>
      <c r="F120" s="138">
        <v>245.4</v>
      </c>
      <c r="G120" s="138">
        <v>248.4</v>
      </c>
      <c r="H120" s="70">
        <v>634944.30000000005</v>
      </c>
      <c r="I120" s="70">
        <v>6527</v>
      </c>
      <c r="J120" s="70">
        <v>5663.5</v>
      </c>
      <c r="K120" s="70">
        <v>468.8</v>
      </c>
      <c r="L120" s="70">
        <v>7404.1</v>
      </c>
      <c r="M120" s="70">
        <v>38.299999999999997</v>
      </c>
      <c r="N120" s="70">
        <v>1677.5</v>
      </c>
      <c r="O120" s="70">
        <f t="shared" si="7"/>
        <v>13931.1</v>
      </c>
      <c r="P120" s="70">
        <v>635111</v>
      </c>
      <c r="Q120" s="70">
        <v>6513</v>
      </c>
      <c r="R120" s="70">
        <v>7240</v>
      </c>
      <c r="S120" s="70">
        <v>3376</v>
      </c>
      <c r="V120" s="75"/>
      <c r="W120" s="73"/>
      <c r="X120" s="73"/>
      <c r="Y120" s="74"/>
      <c r="Z120" s="74"/>
      <c r="AA120" s="74"/>
    </row>
    <row r="121" spans="1:27">
      <c r="A121" s="3">
        <v>41183</v>
      </c>
      <c r="B121">
        <f t="shared" si="6"/>
        <v>2012</v>
      </c>
      <c r="C121" s="3" t="str">
        <f t="shared" si="8"/>
        <v>Q4</v>
      </c>
      <c r="D121" s="138">
        <v>6719.1</v>
      </c>
      <c r="E121" s="138">
        <v>6748.7</v>
      </c>
      <c r="F121" s="138">
        <v>242.8</v>
      </c>
      <c r="G121" s="138">
        <v>243.5</v>
      </c>
      <c r="H121" s="70">
        <v>634944.30000000005</v>
      </c>
      <c r="I121" s="70">
        <v>6527</v>
      </c>
      <c r="J121" s="70">
        <v>5663.5</v>
      </c>
      <c r="K121" s="70">
        <v>468.8</v>
      </c>
      <c r="L121" s="70">
        <v>7404.1</v>
      </c>
      <c r="M121" s="70">
        <v>38.299999999999997</v>
      </c>
      <c r="N121" s="70">
        <v>1677.5</v>
      </c>
      <c r="O121" s="70">
        <f t="shared" si="7"/>
        <v>13931.1</v>
      </c>
      <c r="P121" s="70">
        <v>635104</v>
      </c>
      <c r="Q121" s="70">
        <v>6507</v>
      </c>
      <c r="R121" s="70">
        <v>7390</v>
      </c>
      <c r="S121" s="70">
        <v>3274</v>
      </c>
      <c r="V121" s="75"/>
      <c r="W121" s="73"/>
      <c r="X121" s="73"/>
      <c r="Y121" s="74"/>
      <c r="Z121" s="74"/>
      <c r="AA121" s="74"/>
    </row>
    <row r="122" spans="1:27">
      <c r="A122" s="3">
        <v>41214</v>
      </c>
      <c r="B122">
        <f t="shared" si="6"/>
        <v>2012</v>
      </c>
      <c r="C122" s="3" t="str">
        <f t="shared" si="8"/>
        <v>Q4</v>
      </c>
      <c r="D122" s="138">
        <v>6733</v>
      </c>
      <c r="E122" s="138">
        <v>6736.2</v>
      </c>
      <c r="F122" s="138">
        <v>242.2</v>
      </c>
      <c r="G122" s="138">
        <v>241.1</v>
      </c>
      <c r="H122" s="70">
        <v>634944.30000000005</v>
      </c>
      <c r="I122" s="70">
        <v>6527</v>
      </c>
      <c r="J122" s="70">
        <v>5663.5</v>
      </c>
      <c r="K122" s="70">
        <v>468.8</v>
      </c>
      <c r="L122" s="70">
        <v>7404.1</v>
      </c>
      <c r="M122" s="70">
        <v>38.299999999999997</v>
      </c>
      <c r="N122" s="70">
        <v>1677.5</v>
      </c>
      <c r="O122" s="70">
        <f t="shared" si="7"/>
        <v>13931.1</v>
      </c>
      <c r="P122" s="70">
        <v>635104</v>
      </c>
      <c r="Q122" s="70">
        <v>6507</v>
      </c>
      <c r="R122" s="70">
        <v>7390</v>
      </c>
      <c r="S122" s="70">
        <v>3274</v>
      </c>
      <c r="V122" s="75"/>
      <c r="W122" s="73"/>
      <c r="X122" s="73"/>
      <c r="Y122" s="74"/>
      <c r="Z122" s="74"/>
      <c r="AA122" s="74"/>
    </row>
    <row r="123" spans="1:27">
      <c r="A123" s="3">
        <v>41244</v>
      </c>
      <c r="B123">
        <f t="shared" si="6"/>
        <v>2012</v>
      </c>
      <c r="C123" s="3" t="str">
        <f t="shared" si="8"/>
        <v>Q4</v>
      </c>
      <c r="D123" s="138">
        <v>6750</v>
      </c>
      <c r="E123" s="138">
        <v>6755.9</v>
      </c>
      <c r="F123" s="138">
        <v>240.3</v>
      </c>
      <c r="G123" s="138">
        <v>239.7</v>
      </c>
      <c r="H123" s="70">
        <v>634944.30000000005</v>
      </c>
      <c r="I123" s="70">
        <v>6527</v>
      </c>
      <c r="J123" s="70">
        <v>5663.5</v>
      </c>
      <c r="K123" s="70">
        <v>468.8</v>
      </c>
      <c r="L123" s="70">
        <v>7404.1</v>
      </c>
      <c r="M123" s="70">
        <v>38.299999999999997</v>
      </c>
      <c r="N123" s="70">
        <v>1677.5</v>
      </c>
      <c r="O123" s="70">
        <f t="shared" si="7"/>
        <v>13931.1</v>
      </c>
      <c r="P123" s="70">
        <v>635104</v>
      </c>
      <c r="Q123" s="70">
        <v>6507</v>
      </c>
      <c r="R123" s="70">
        <v>7390</v>
      </c>
      <c r="S123" s="70">
        <v>3274</v>
      </c>
      <c r="V123" s="75"/>
      <c r="W123" s="73"/>
      <c r="X123" s="73"/>
      <c r="Y123" s="74"/>
      <c r="Z123" s="74"/>
      <c r="AA123" s="74"/>
    </row>
    <row r="124" spans="1:27">
      <c r="A124" s="3">
        <v>41275</v>
      </c>
      <c r="B124">
        <f t="shared" si="6"/>
        <v>2013</v>
      </c>
      <c r="C124" s="3" t="str">
        <f t="shared" si="8"/>
        <v>Q1</v>
      </c>
      <c r="D124" s="138">
        <v>6764.2</v>
      </c>
      <c r="E124" s="138">
        <v>6730.2</v>
      </c>
      <c r="F124" s="138">
        <v>242.2</v>
      </c>
      <c r="G124" s="138">
        <v>240.7</v>
      </c>
      <c r="H124" s="70">
        <v>643937</v>
      </c>
      <c r="I124" s="70">
        <v>7062</v>
      </c>
      <c r="J124" s="70">
        <v>6218.8</v>
      </c>
      <c r="K124" s="70">
        <v>480.3</v>
      </c>
      <c r="L124" s="70">
        <v>8057.8</v>
      </c>
      <c r="M124" s="70">
        <v>27.7</v>
      </c>
      <c r="N124" s="70">
        <v>1420.3</v>
      </c>
      <c r="O124" s="70">
        <f t="shared" si="7"/>
        <v>15119.8</v>
      </c>
      <c r="P124" s="70">
        <v>636934</v>
      </c>
      <c r="Q124" s="70">
        <v>6652</v>
      </c>
      <c r="R124" s="70">
        <v>8048</v>
      </c>
      <c r="S124" s="70">
        <v>3313</v>
      </c>
      <c r="V124" s="75"/>
      <c r="W124" s="73"/>
      <c r="X124" s="73"/>
      <c r="Y124" s="74"/>
      <c r="Z124" s="74"/>
      <c r="AA124" s="74"/>
    </row>
    <row r="125" spans="1:27">
      <c r="A125" s="3">
        <v>41306</v>
      </c>
      <c r="B125">
        <f t="shared" si="6"/>
        <v>2013</v>
      </c>
      <c r="C125" s="3" t="str">
        <f t="shared" si="8"/>
        <v>Q1</v>
      </c>
      <c r="D125" s="138">
        <v>6786.9</v>
      </c>
      <c r="E125" s="138">
        <v>6713.2</v>
      </c>
      <c r="F125" s="138">
        <v>241.2</v>
      </c>
      <c r="G125" s="138">
        <v>237.8</v>
      </c>
      <c r="H125" s="70">
        <v>643937</v>
      </c>
      <c r="I125" s="70">
        <v>7062</v>
      </c>
      <c r="J125" s="70">
        <v>6218.8</v>
      </c>
      <c r="K125" s="70">
        <v>480.3</v>
      </c>
      <c r="L125" s="70">
        <v>8057.8</v>
      </c>
      <c r="M125" s="70">
        <v>27.7</v>
      </c>
      <c r="N125" s="70">
        <v>1420.3</v>
      </c>
      <c r="O125" s="70">
        <f t="shared" si="7"/>
        <v>15119.8</v>
      </c>
      <c r="P125" s="70">
        <v>636934</v>
      </c>
      <c r="Q125" s="70">
        <v>6652</v>
      </c>
      <c r="R125" s="70">
        <v>8048</v>
      </c>
      <c r="S125" s="70">
        <v>3313</v>
      </c>
      <c r="V125" s="75"/>
      <c r="W125" s="73"/>
      <c r="X125" s="73"/>
      <c r="Y125" s="74"/>
      <c r="Z125" s="74"/>
      <c r="AA125" s="74"/>
    </row>
    <row r="126" spans="1:27">
      <c r="A126" s="3">
        <v>41334</v>
      </c>
      <c r="B126">
        <f t="shared" si="6"/>
        <v>2013</v>
      </c>
      <c r="C126" s="3" t="str">
        <f t="shared" si="8"/>
        <v>Q1</v>
      </c>
      <c r="D126" s="138">
        <v>6786.1</v>
      </c>
      <c r="E126" s="138">
        <v>6677.7</v>
      </c>
      <c r="F126" s="138">
        <v>242.1</v>
      </c>
      <c r="G126" s="138">
        <v>236.6</v>
      </c>
      <c r="H126" s="70">
        <v>643937</v>
      </c>
      <c r="I126" s="70">
        <v>7062</v>
      </c>
      <c r="J126" s="70">
        <v>6218.8</v>
      </c>
      <c r="K126" s="70">
        <v>480.3</v>
      </c>
      <c r="L126" s="70">
        <v>8057.8</v>
      </c>
      <c r="M126" s="70">
        <v>27.7</v>
      </c>
      <c r="N126" s="70">
        <v>1420.3</v>
      </c>
      <c r="O126" s="70">
        <f t="shared" si="7"/>
        <v>15119.8</v>
      </c>
      <c r="P126" s="70">
        <v>636934</v>
      </c>
      <c r="Q126" s="70">
        <v>6652</v>
      </c>
      <c r="R126" s="70">
        <v>8048</v>
      </c>
      <c r="S126" s="70">
        <v>3313</v>
      </c>
      <c r="V126" s="75"/>
      <c r="W126" s="73"/>
      <c r="X126" s="73"/>
      <c r="Y126" s="74"/>
      <c r="Z126" s="74"/>
      <c r="AA126" s="74"/>
    </row>
    <row r="127" spans="1:27">
      <c r="A127" s="3">
        <v>41365</v>
      </c>
      <c r="B127">
        <f t="shared" si="6"/>
        <v>2013</v>
      </c>
      <c r="C127" s="3" t="str">
        <f t="shared" si="8"/>
        <v>Q2</v>
      </c>
      <c r="D127" s="138">
        <v>6794.3</v>
      </c>
      <c r="E127" s="138">
        <v>6706.3</v>
      </c>
      <c r="F127" s="138">
        <v>241.6</v>
      </c>
      <c r="G127" s="138">
        <v>237</v>
      </c>
      <c r="H127" s="70">
        <v>643937</v>
      </c>
      <c r="I127" s="70">
        <v>7062</v>
      </c>
      <c r="J127" s="70">
        <v>6218.8</v>
      </c>
      <c r="K127" s="70">
        <v>480.3</v>
      </c>
      <c r="L127" s="70">
        <v>8057.8</v>
      </c>
      <c r="M127" s="70">
        <v>27.7</v>
      </c>
      <c r="N127" s="70">
        <v>1420.3</v>
      </c>
      <c r="O127" s="70">
        <f t="shared" si="7"/>
        <v>15119.8</v>
      </c>
      <c r="P127" s="70">
        <v>641917</v>
      </c>
      <c r="Q127" s="70">
        <v>7071</v>
      </c>
      <c r="R127" s="70">
        <v>8039</v>
      </c>
      <c r="S127" s="70">
        <v>3093</v>
      </c>
      <c r="V127" s="75"/>
      <c r="W127" s="73"/>
      <c r="X127" s="73"/>
      <c r="Y127" s="74"/>
      <c r="Z127" s="74"/>
      <c r="AA127" s="74"/>
    </row>
    <row r="128" spans="1:27">
      <c r="A128" s="3">
        <v>41395</v>
      </c>
      <c r="B128">
        <f t="shared" si="6"/>
        <v>2013</v>
      </c>
      <c r="C128" s="3" t="str">
        <f t="shared" si="8"/>
        <v>Q2</v>
      </c>
      <c r="D128" s="138">
        <v>6795.3</v>
      </c>
      <c r="E128" s="138">
        <v>6764.2</v>
      </c>
      <c r="F128" s="138">
        <v>240.8</v>
      </c>
      <c r="G128" s="138">
        <v>239.1</v>
      </c>
      <c r="H128" s="70">
        <v>643937</v>
      </c>
      <c r="I128" s="70">
        <v>7062</v>
      </c>
      <c r="J128" s="70">
        <v>6218.8</v>
      </c>
      <c r="K128" s="70">
        <v>480.3</v>
      </c>
      <c r="L128" s="70">
        <v>8057.8</v>
      </c>
      <c r="M128" s="70">
        <v>27.7</v>
      </c>
      <c r="N128" s="70">
        <v>1420.3</v>
      </c>
      <c r="O128" s="70">
        <f t="shared" si="7"/>
        <v>15119.8</v>
      </c>
      <c r="P128" s="70">
        <v>641917</v>
      </c>
      <c r="Q128" s="70">
        <v>7071</v>
      </c>
      <c r="R128" s="70">
        <v>8039</v>
      </c>
      <c r="S128" s="70">
        <v>3093</v>
      </c>
      <c r="V128" s="75"/>
      <c r="W128" s="73"/>
      <c r="X128" s="73"/>
      <c r="Y128" s="74"/>
      <c r="Z128" s="74"/>
      <c r="AA128" s="74"/>
    </row>
    <row r="129" spans="1:27">
      <c r="A129" s="3">
        <v>41426</v>
      </c>
      <c r="B129">
        <f t="shared" si="6"/>
        <v>2013</v>
      </c>
      <c r="C129" s="3" t="str">
        <f t="shared" si="8"/>
        <v>Q2</v>
      </c>
      <c r="D129" s="138">
        <v>6807.1</v>
      </c>
      <c r="E129" s="138">
        <v>6849.6</v>
      </c>
      <c r="F129" s="138">
        <v>239.9</v>
      </c>
      <c r="G129" s="138">
        <v>241.8</v>
      </c>
      <c r="H129" s="70">
        <v>643937</v>
      </c>
      <c r="I129" s="70">
        <v>7062</v>
      </c>
      <c r="J129" s="70">
        <v>6218.8</v>
      </c>
      <c r="K129" s="70">
        <v>480.3</v>
      </c>
      <c r="L129" s="70">
        <v>8057.8</v>
      </c>
      <c r="M129" s="70">
        <v>27.7</v>
      </c>
      <c r="N129" s="70">
        <v>1420.3</v>
      </c>
      <c r="O129" s="70">
        <f t="shared" si="7"/>
        <v>15119.8</v>
      </c>
      <c r="P129" s="70">
        <v>641917</v>
      </c>
      <c r="Q129" s="70">
        <v>7071</v>
      </c>
      <c r="R129" s="70">
        <v>8039</v>
      </c>
      <c r="S129" s="70">
        <v>3093</v>
      </c>
      <c r="V129" s="75"/>
      <c r="W129" s="73"/>
      <c r="X129" s="73"/>
      <c r="Y129" s="74"/>
      <c r="Z129" s="74"/>
      <c r="AA129" s="74"/>
    </row>
    <row r="130" spans="1:27">
      <c r="A130" s="3">
        <v>41456</v>
      </c>
      <c r="B130">
        <f t="shared" si="6"/>
        <v>2013</v>
      </c>
      <c r="C130" s="3" t="str">
        <f t="shared" si="8"/>
        <v>Q3</v>
      </c>
      <c r="D130" s="138">
        <v>6810.7</v>
      </c>
      <c r="E130" s="138">
        <v>6898</v>
      </c>
      <c r="F130" s="138">
        <v>237.6</v>
      </c>
      <c r="G130" s="138">
        <v>241.8</v>
      </c>
      <c r="H130" s="70">
        <v>643937</v>
      </c>
      <c r="I130" s="70">
        <v>7062</v>
      </c>
      <c r="J130" s="70">
        <v>6218.8</v>
      </c>
      <c r="K130" s="70">
        <v>480.3</v>
      </c>
      <c r="L130" s="70">
        <v>8057.8</v>
      </c>
      <c r="M130" s="70">
        <v>27.7</v>
      </c>
      <c r="N130" s="70">
        <v>1420.3</v>
      </c>
      <c r="O130" s="70">
        <f t="shared" si="7"/>
        <v>15119.8</v>
      </c>
      <c r="P130" s="70">
        <v>646366</v>
      </c>
      <c r="Q130" s="70">
        <v>7302</v>
      </c>
      <c r="R130" s="70">
        <v>7972</v>
      </c>
      <c r="S130" s="70">
        <v>3010</v>
      </c>
      <c r="V130" s="75"/>
      <c r="W130" s="73"/>
      <c r="X130" s="73"/>
      <c r="Y130" s="74"/>
      <c r="Z130" s="74"/>
      <c r="AA130" s="74"/>
    </row>
    <row r="131" spans="1:27">
      <c r="A131" s="3">
        <v>41487</v>
      </c>
      <c r="B131">
        <f t="shared" si="6"/>
        <v>2013</v>
      </c>
      <c r="C131" s="3" t="str">
        <f t="shared" si="8"/>
        <v>Q3</v>
      </c>
      <c r="D131" s="138">
        <v>6812.5</v>
      </c>
      <c r="E131" s="138">
        <v>6910.2</v>
      </c>
      <c r="F131" s="138">
        <v>235.3</v>
      </c>
      <c r="G131" s="138">
        <v>240.8</v>
      </c>
      <c r="H131" s="70">
        <v>643937</v>
      </c>
      <c r="I131" s="70">
        <v>7062</v>
      </c>
      <c r="J131" s="70">
        <v>6218.8</v>
      </c>
      <c r="K131" s="70">
        <v>480.3</v>
      </c>
      <c r="L131" s="70">
        <v>8057.8</v>
      </c>
      <c r="M131" s="70">
        <v>27.7</v>
      </c>
      <c r="N131" s="70">
        <v>1420.3</v>
      </c>
      <c r="O131" s="70">
        <f t="shared" si="7"/>
        <v>15119.8</v>
      </c>
      <c r="P131" s="70">
        <v>646366</v>
      </c>
      <c r="Q131" s="70">
        <v>7302</v>
      </c>
      <c r="R131" s="70">
        <v>7972</v>
      </c>
      <c r="S131" s="70">
        <v>3010</v>
      </c>
      <c r="V131" s="75"/>
      <c r="W131" s="73"/>
      <c r="X131" s="73"/>
      <c r="Y131" s="74"/>
      <c r="Z131" s="74"/>
      <c r="AA131" s="74"/>
    </row>
    <row r="132" spans="1:27">
      <c r="A132" s="3">
        <v>41518</v>
      </c>
      <c r="B132">
        <f t="shared" si="6"/>
        <v>2013</v>
      </c>
      <c r="C132" s="3" t="str">
        <f t="shared" si="8"/>
        <v>Q3</v>
      </c>
      <c r="D132" s="138">
        <v>6813.6</v>
      </c>
      <c r="E132" s="138">
        <v>6881.2</v>
      </c>
      <c r="F132" s="138">
        <v>235.3</v>
      </c>
      <c r="G132" s="138">
        <v>238.6</v>
      </c>
      <c r="H132" s="70">
        <v>643937</v>
      </c>
      <c r="I132" s="70">
        <v>7062</v>
      </c>
      <c r="J132" s="70">
        <v>6218.8</v>
      </c>
      <c r="K132" s="70">
        <v>480.3</v>
      </c>
      <c r="L132" s="70">
        <v>8057.8</v>
      </c>
      <c r="M132" s="70">
        <v>27.7</v>
      </c>
      <c r="N132" s="70">
        <v>1420.3</v>
      </c>
      <c r="O132" s="70">
        <f t="shared" si="7"/>
        <v>15119.8</v>
      </c>
      <c r="P132" s="70">
        <v>646366</v>
      </c>
      <c r="Q132" s="70">
        <v>7302</v>
      </c>
      <c r="R132" s="70">
        <v>7972</v>
      </c>
      <c r="S132" s="70">
        <v>3010</v>
      </c>
      <c r="V132" s="75"/>
      <c r="W132" s="73"/>
      <c r="X132" s="73"/>
      <c r="Y132" s="74"/>
      <c r="Z132" s="74"/>
      <c r="AA132" s="74"/>
    </row>
    <row r="133" spans="1:27">
      <c r="A133" s="3">
        <v>41548</v>
      </c>
      <c r="B133">
        <f t="shared" ref="B133:B196" si="9">YEAR(A133)</f>
        <v>2013</v>
      </c>
      <c r="C133" s="3" t="str">
        <f t="shared" si="8"/>
        <v>Q4</v>
      </c>
      <c r="D133" s="138">
        <v>6820.5</v>
      </c>
      <c r="E133" s="138">
        <v>6866.5</v>
      </c>
      <c r="F133" s="138">
        <v>236.4</v>
      </c>
      <c r="G133" s="138">
        <v>237.6</v>
      </c>
      <c r="H133" s="70">
        <v>643937</v>
      </c>
      <c r="I133" s="70">
        <v>7062</v>
      </c>
      <c r="J133" s="70">
        <v>6218.8</v>
      </c>
      <c r="K133" s="70">
        <v>480.3</v>
      </c>
      <c r="L133" s="70">
        <v>8057.8</v>
      </c>
      <c r="M133" s="70">
        <v>27.7</v>
      </c>
      <c r="N133" s="70">
        <v>1420.3</v>
      </c>
      <c r="O133" s="70">
        <f t="shared" ref="O133:O196" si="10">L133+I133</f>
        <v>15119.8</v>
      </c>
      <c r="P133" s="70">
        <v>650530</v>
      </c>
      <c r="Q133" s="70">
        <v>7224</v>
      </c>
      <c r="R133" s="70">
        <v>8172</v>
      </c>
      <c r="S133" s="70">
        <v>3010</v>
      </c>
      <c r="V133" s="75"/>
      <c r="W133" s="73"/>
      <c r="X133" s="73"/>
      <c r="Y133" s="74"/>
      <c r="Z133" s="74"/>
      <c r="AA133" s="74"/>
    </row>
    <row r="134" spans="1:27">
      <c r="A134" s="3">
        <v>41579</v>
      </c>
      <c r="B134">
        <f t="shared" si="9"/>
        <v>2013</v>
      </c>
      <c r="C134" s="3" t="str">
        <f t="shared" si="8"/>
        <v>Q4</v>
      </c>
      <c r="D134" s="138">
        <v>6822</v>
      </c>
      <c r="E134" s="138">
        <v>6838.5</v>
      </c>
      <c r="F134" s="138">
        <v>236.8</v>
      </c>
      <c r="G134" s="138">
        <v>236.7</v>
      </c>
      <c r="H134" s="70">
        <v>643937</v>
      </c>
      <c r="I134" s="70">
        <v>7062</v>
      </c>
      <c r="J134" s="70">
        <v>6218.8</v>
      </c>
      <c r="K134" s="70">
        <v>480.3</v>
      </c>
      <c r="L134" s="70">
        <v>8057.8</v>
      </c>
      <c r="M134" s="70">
        <v>27.7</v>
      </c>
      <c r="N134" s="70">
        <v>1420.3</v>
      </c>
      <c r="O134" s="70">
        <f t="shared" si="10"/>
        <v>15119.8</v>
      </c>
      <c r="P134" s="70">
        <v>650530</v>
      </c>
      <c r="Q134" s="70">
        <v>7224</v>
      </c>
      <c r="R134" s="70">
        <v>8172</v>
      </c>
      <c r="S134" s="70">
        <v>3010</v>
      </c>
      <c r="V134" s="75"/>
      <c r="W134" s="73"/>
      <c r="X134" s="73"/>
      <c r="Y134" s="74"/>
      <c r="Z134" s="74"/>
      <c r="AA134" s="74"/>
    </row>
    <row r="135" spans="1:27">
      <c r="A135" s="3">
        <v>41609</v>
      </c>
      <c r="B135">
        <f t="shared" si="9"/>
        <v>2013</v>
      </c>
      <c r="C135" s="3" t="str">
        <f t="shared" si="8"/>
        <v>Q4</v>
      </c>
      <c r="D135" s="138">
        <v>6816.6</v>
      </c>
      <c r="E135" s="138">
        <v>6818.9</v>
      </c>
      <c r="F135" s="138">
        <v>236.4</v>
      </c>
      <c r="G135" s="138">
        <v>236.2</v>
      </c>
      <c r="H135" s="70">
        <v>643937</v>
      </c>
      <c r="I135" s="70">
        <v>7062</v>
      </c>
      <c r="J135" s="70">
        <v>6218.8</v>
      </c>
      <c r="K135" s="70">
        <v>480.3</v>
      </c>
      <c r="L135" s="70">
        <v>8057.8</v>
      </c>
      <c r="M135" s="70">
        <v>27.7</v>
      </c>
      <c r="N135" s="70">
        <v>1420.3</v>
      </c>
      <c r="O135" s="70">
        <f t="shared" si="10"/>
        <v>15119.8</v>
      </c>
      <c r="P135" s="70">
        <v>650530</v>
      </c>
      <c r="Q135" s="70">
        <v>7224</v>
      </c>
      <c r="R135" s="70">
        <v>8172</v>
      </c>
      <c r="S135" s="70">
        <v>3010</v>
      </c>
      <c r="V135" s="75"/>
      <c r="W135" s="73"/>
      <c r="X135" s="73"/>
      <c r="Y135" s="74"/>
      <c r="Z135" s="74"/>
      <c r="AA135" s="74"/>
    </row>
    <row r="136" spans="1:27">
      <c r="A136" s="3">
        <v>41640</v>
      </c>
      <c r="B136">
        <f t="shared" si="9"/>
        <v>2014</v>
      </c>
      <c r="C136" s="3" t="str">
        <f t="shared" si="8"/>
        <v>Q1</v>
      </c>
      <c r="D136" s="138">
        <v>6812.5</v>
      </c>
      <c r="E136" s="138">
        <v>6770.4</v>
      </c>
      <c r="F136" s="138">
        <v>234.3</v>
      </c>
      <c r="G136" s="138">
        <v>233.3</v>
      </c>
      <c r="H136" s="70">
        <v>659861.19999999995</v>
      </c>
      <c r="I136" s="70">
        <v>6909.5</v>
      </c>
      <c r="J136" s="70">
        <v>6116</v>
      </c>
      <c r="K136" s="70">
        <v>413.5</v>
      </c>
      <c r="L136" s="70">
        <v>7819.1</v>
      </c>
      <c r="M136" s="70">
        <v>24.9</v>
      </c>
      <c r="N136" s="70">
        <v>1060.5</v>
      </c>
      <c r="O136" s="70">
        <f t="shared" si="10"/>
        <v>14728.6</v>
      </c>
      <c r="P136" s="70">
        <v>650799</v>
      </c>
      <c r="Q136" s="70">
        <v>6998</v>
      </c>
      <c r="R136" s="70">
        <v>8285</v>
      </c>
      <c r="S136" s="70">
        <v>3358</v>
      </c>
      <c r="V136" s="75"/>
      <c r="W136" s="73"/>
      <c r="X136" s="73"/>
      <c r="Y136" s="74"/>
      <c r="Z136" s="74"/>
      <c r="AA136" s="74"/>
    </row>
    <row r="137" spans="1:27">
      <c r="A137" s="3">
        <v>41671</v>
      </c>
      <c r="B137">
        <f t="shared" si="9"/>
        <v>2014</v>
      </c>
      <c r="C137" s="3" t="str">
        <f t="shared" si="8"/>
        <v>Q1</v>
      </c>
      <c r="D137" s="138">
        <v>6810.3</v>
      </c>
      <c r="E137" s="138">
        <v>6732.3</v>
      </c>
      <c r="F137" s="138">
        <v>235.2</v>
      </c>
      <c r="G137" s="138">
        <v>231.5</v>
      </c>
      <c r="H137" s="70">
        <v>659861.19999999995</v>
      </c>
      <c r="I137" s="70">
        <v>6909.5</v>
      </c>
      <c r="J137" s="70">
        <v>6116</v>
      </c>
      <c r="K137" s="70">
        <v>413.5</v>
      </c>
      <c r="L137" s="70">
        <v>7819.1</v>
      </c>
      <c r="M137" s="70">
        <v>24.9</v>
      </c>
      <c r="N137" s="70">
        <v>1060.5</v>
      </c>
      <c r="O137" s="70">
        <f t="shared" si="10"/>
        <v>14728.6</v>
      </c>
      <c r="P137" s="70">
        <v>650799</v>
      </c>
      <c r="Q137" s="70">
        <v>6998</v>
      </c>
      <c r="R137" s="70">
        <v>8285</v>
      </c>
      <c r="S137" s="70">
        <v>3358</v>
      </c>
      <c r="V137" s="75"/>
      <c r="W137" s="73"/>
      <c r="X137" s="73"/>
      <c r="Y137" s="74"/>
      <c r="Z137" s="74"/>
      <c r="AA137" s="74"/>
    </row>
    <row r="138" spans="1:27">
      <c r="A138" s="3">
        <v>41699</v>
      </c>
      <c r="B138">
        <f t="shared" si="9"/>
        <v>2014</v>
      </c>
      <c r="C138" s="3" t="str">
        <f t="shared" si="8"/>
        <v>Q1</v>
      </c>
      <c r="D138" s="138">
        <v>6810.9</v>
      </c>
      <c r="E138" s="138">
        <v>6704.5</v>
      </c>
      <c r="F138" s="138">
        <v>235.6</v>
      </c>
      <c r="G138" s="138">
        <v>230.4</v>
      </c>
      <c r="H138" s="70">
        <v>659861.19999999995</v>
      </c>
      <c r="I138" s="70">
        <v>6909.5</v>
      </c>
      <c r="J138" s="70">
        <v>6116</v>
      </c>
      <c r="K138" s="70">
        <v>413.5</v>
      </c>
      <c r="L138" s="70">
        <v>7819.1</v>
      </c>
      <c r="M138" s="70">
        <v>24.9</v>
      </c>
      <c r="N138" s="70">
        <v>1060.5</v>
      </c>
      <c r="O138" s="70">
        <f t="shared" si="10"/>
        <v>14728.6</v>
      </c>
      <c r="P138" s="70">
        <v>650799</v>
      </c>
      <c r="Q138" s="70">
        <v>6998</v>
      </c>
      <c r="R138" s="70">
        <v>8285</v>
      </c>
      <c r="S138" s="70">
        <v>3358</v>
      </c>
      <c r="V138" s="75"/>
      <c r="W138" s="73"/>
      <c r="X138" s="73"/>
      <c r="Y138" s="74"/>
      <c r="Z138" s="74"/>
      <c r="AA138" s="74"/>
    </row>
    <row r="139" spans="1:27">
      <c r="A139" s="3">
        <v>41730</v>
      </c>
      <c r="B139">
        <f t="shared" si="9"/>
        <v>2014</v>
      </c>
      <c r="C139" s="3" t="str">
        <f t="shared" si="8"/>
        <v>Q2</v>
      </c>
      <c r="D139" s="138">
        <v>6819.5</v>
      </c>
      <c r="E139" s="138">
        <v>6732.1</v>
      </c>
      <c r="F139" s="138">
        <v>237.7</v>
      </c>
      <c r="G139" s="138">
        <v>232.8</v>
      </c>
      <c r="H139" s="70">
        <v>659861.19999999995</v>
      </c>
      <c r="I139" s="70">
        <v>6909.5</v>
      </c>
      <c r="J139" s="70">
        <v>6116</v>
      </c>
      <c r="K139" s="70">
        <v>413.5</v>
      </c>
      <c r="L139" s="70">
        <v>7819.1</v>
      </c>
      <c r="M139" s="70">
        <v>24.9</v>
      </c>
      <c r="N139" s="70">
        <v>1060.5</v>
      </c>
      <c r="O139" s="70">
        <f t="shared" si="10"/>
        <v>14728.6</v>
      </c>
      <c r="P139" s="70">
        <v>657234</v>
      </c>
      <c r="Q139" s="70">
        <v>6811</v>
      </c>
      <c r="R139" s="70">
        <v>7887</v>
      </c>
      <c r="S139" s="70">
        <v>3340</v>
      </c>
      <c r="V139" s="75"/>
      <c r="W139" s="73"/>
      <c r="X139" s="73"/>
      <c r="Y139" s="74"/>
      <c r="Z139" s="74"/>
      <c r="AA139" s="74"/>
    </row>
    <row r="140" spans="1:27">
      <c r="A140" s="3">
        <v>41760</v>
      </c>
      <c r="B140">
        <f t="shared" si="9"/>
        <v>2014</v>
      </c>
      <c r="C140" s="3" t="str">
        <f t="shared" si="8"/>
        <v>Q2</v>
      </c>
      <c r="D140" s="138">
        <v>6821.5</v>
      </c>
      <c r="E140" s="138">
        <v>6790.3</v>
      </c>
      <c r="F140" s="138">
        <v>239.3</v>
      </c>
      <c r="G140" s="138">
        <v>236.9</v>
      </c>
      <c r="H140" s="70">
        <v>659861.19999999995</v>
      </c>
      <c r="I140" s="70">
        <v>6909.5</v>
      </c>
      <c r="J140" s="70">
        <v>6116</v>
      </c>
      <c r="K140" s="70">
        <v>413.5</v>
      </c>
      <c r="L140" s="70">
        <v>7819.1</v>
      </c>
      <c r="M140" s="70">
        <v>24.9</v>
      </c>
      <c r="N140" s="70">
        <v>1060.5</v>
      </c>
      <c r="O140" s="70">
        <f t="shared" si="10"/>
        <v>14728.6</v>
      </c>
      <c r="P140" s="70">
        <v>657234</v>
      </c>
      <c r="Q140" s="70">
        <v>6811</v>
      </c>
      <c r="R140" s="70">
        <v>7887</v>
      </c>
      <c r="S140" s="70">
        <v>3340</v>
      </c>
      <c r="V140" s="75"/>
      <c r="W140" s="73"/>
      <c r="X140" s="73"/>
      <c r="Y140" s="74"/>
      <c r="Z140" s="74"/>
      <c r="AA140" s="74"/>
    </row>
    <row r="141" spans="1:27">
      <c r="A141" s="3">
        <v>41791</v>
      </c>
      <c r="B141">
        <f t="shared" si="9"/>
        <v>2014</v>
      </c>
      <c r="C141" s="3" t="str">
        <f t="shared" si="8"/>
        <v>Q2</v>
      </c>
      <c r="D141" s="138">
        <v>6826.1</v>
      </c>
      <c r="E141" s="138">
        <v>6875.4</v>
      </c>
      <c r="F141" s="138">
        <v>239.3</v>
      </c>
      <c r="G141" s="138">
        <v>241.6</v>
      </c>
      <c r="H141" s="70">
        <v>659861.19999999995</v>
      </c>
      <c r="I141" s="70">
        <v>6909.5</v>
      </c>
      <c r="J141" s="70">
        <v>6116</v>
      </c>
      <c r="K141" s="70">
        <v>413.5</v>
      </c>
      <c r="L141" s="70">
        <v>7819.1</v>
      </c>
      <c r="M141" s="70">
        <v>24.9</v>
      </c>
      <c r="N141" s="70">
        <v>1060.5</v>
      </c>
      <c r="O141" s="70">
        <f t="shared" si="10"/>
        <v>14728.6</v>
      </c>
      <c r="P141" s="70">
        <v>657234</v>
      </c>
      <c r="Q141" s="70">
        <v>6811</v>
      </c>
      <c r="R141" s="70">
        <v>7887</v>
      </c>
      <c r="S141" s="70">
        <v>3340</v>
      </c>
      <c r="V141" s="75"/>
      <c r="W141" s="73"/>
      <c r="X141" s="73"/>
      <c r="Y141" s="74"/>
      <c r="Z141" s="74"/>
      <c r="AA141" s="74"/>
    </row>
    <row r="142" spans="1:27">
      <c r="A142" s="3">
        <v>41821</v>
      </c>
      <c r="B142">
        <f t="shared" si="9"/>
        <v>2014</v>
      </c>
      <c r="C142" s="3" t="str">
        <f t="shared" si="8"/>
        <v>Q3</v>
      </c>
      <c r="D142" s="138">
        <v>6836.5</v>
      </c>
      <c r="E142" s="138">
        <v>6932</v>
      </c>
      <c r="F142" s="138">
        <v>241</v>
      </c>
      <c r="G142" s="138">
        <v>246.1</v>
      </c>
      <c r="H142" s="70">
        <v>659861.19999999995</v>
      </c>
      <c r="I142" s="70">
        <v>6909.5</v>
      </c>
      <c r="J142" s="70">
        <v>6116</v>
      </c>
      <c r="K142" s="70">
        <v>413.5</v>
      </c>
      <c r="L142" s="70">
        <v>7819.1</v>
      </c>
      <c r="M142" s="70">
        <v>24.9</v>
      </c>
      <c r="N142" s="70">
        <v>1060.5</v>
      </c>
      <c r="O142" s="70">
        <f t="shared" si="10"/>
        <v>14728.6</v>
      </c>
      <c r="P142" s="70">
        <v>663925</v>
      </c>
      <c r="Q142" s="70">
        <v>6761</v>
      </c>
      <c r="R142" s="70">
        <v>8053</v>
      </c>
      <c r="S142" s="70">
        <v>3175</v>
      </c>
      <c r="V142" s="75"/>
      <c r="W142" s="73"/>
      <c r="X142" s="73"/>
      <c r="Y142" s="74"/>
      <c r="Z142" s="74"/>
      <c r="AA142" s="74"/>
    </row>
    <row r="143" spans="1:27">
      <c r="A143" s="3">
        <v>41852</v>
      </c>
      <c r="B143">
        <f t="shared" si="9"/>
        <v>2014</v>
      </c>
      <c r="C143" s="3" t="str">
        <f t="shared" si="8"/>
        <v>Q3</v>
      </c>
      <c r="D143" s="138">
        <v>6842.5</v>
      </c>
      <c r="E143" s="138">
        <v>6947.8</v>
      </c>
      <c r="F143" s="138">
        <v>240.9</v>
      </c>
      <c r="G143" s="138">
        <v>247.7</v>
      </c>
      <c r="H143" s="70">
        <v>659861.19999999995</v>
      </c>
      <c r="I143" s="70">
        <v>6909.5</v>
      </c>
      <c r="J143" s="70">
        <v>6116</v>
      </c>
      <c r="K143" s="70">
        <v>413.5</v>
      </c>
      <c r="L143" s="70">
        <v>7819.1</v>
      </c>
      <c r="M143" s="70">
        <v>24.9</v>
      </c>
      <c r="N143" s="70">
        <v>1060.5</v>
      </c>
      <c r="O143" s="70">
        <f t="shared" si="10"/>
        <v>14728.6</v>
      </c>
      <c r="P143" s="70">
        <v>663925</v>
      </c>
      <c r="Q143" s="70">
        <v>6761</v>
      </c>
      <c r="R143" s="70">
        <v>8053</v>
      </c>
      <c r="S143" s="70">
        <v>3175</v>
      </c>
      <c r="V143" s="75"/>
      <c r="W143" s="73"/>
      <c r="X143" s="73"/>
      <c r="Y143" s="74"/>
      <c r="Z143" s="74"/>
      <c r="AA143" s="74"/>
    </row>
    <row r="144" spans="1:27">
      <c r="A144" s="3">
        <v>41883</v>
      </c>
      <c r="B144">
        <f t="shared" si="9"/>
        <v>2014</v>
      </c>
      <c r="C144" s="3" t="str">
        <f t="shared" si="8"/>
        <v>Q3</v>
      </c>
      <c r="D144" s="138">
        <v>6853.6</v>
      </c>
      <c r="E144" s="138">
        <v>6917.2</v>
      </c>
      <c r="F144" s="138">
        <v>240.5</v>
      </c>
      <c r="G144" s="138">
        <v>243.9</v>
      </c>
      <c r="H144" s="70">
        <v>659861.19999999995</v>
      </c>
      <c r="I144" s="70">
        <v>6909.5</v>
      </c>
      <c r="J144" s="70">
        <v>6116</v>
      </c>
      <c r="K144" s="70">
        <v>413.5</v>
      </c>
      <c r="L144" s="70">
        <v>7819.1</v>
      </c>
      <c r="M144" s="70">
        <v>24.9</v>
      </c>
      <c r="N144" s="70">
        <v>1060.5</v>
      </c>
      <c r="O144" s="70">
        <f t="shared" si="10"/>
        <v>14728.6</v>
      </c>
      <c r="P144" s="70">
        <v>663925</v>
      </c>
      <c r="Q144" s="70">
        <v>6761</v>
      </c>
      <c r="R144" s="70">
        <v>8053</v>
      </c>
      <c r="S144" s="70">
        <v>3175</v>
      </c>
      <c r="V144" s="75"/>
      <c r="W144" s="73"/>
      <c r="X144" s="73"/>
      <c r="Y144" s="74"/>
      <c r="Z144" s="74"/>
      <c r="AA144" s="74"/>
    </row>
    <row r="145" spans="1:27">
      <c r="A145" s="3">
        <v>41913</v>
      </c>
      <c r="B145">
        <f t="shared" si="9"/>
        <v>2014</v>
      </c>
      <c r="C145" s="3" t="str">
        <f t="shared" ref="C145:C208" si="11">C133</f>
        <v>Q4</v>
      </c>
      <c r="D145" s="138">
        <v>6856.6</v>
      </c>
      <c r="E145" s="138">
        <v>6898.9</v>
      </c>
      <c r="F145" s="138">
        <v>240</v>
      </c>
      <c r="G145" s="138">
        <v>241.3</v>
      </c>
      <c r="H145" s="70">
        <v>659861.19999999995</v>
      </c>
      <c r="I145" s="70">
        <v>6909.5</v>
      </c>
      <c r="J145" s="70">
        <v>6116</v>
      </c>
      <c r="K145" s="70">
        <v>413.5</v>
      </c>
      <c r="L145" s="70">
        <v>7819.1</v>
      </c>
      <c r="M145" s="70">
        <v>24.9</v>
      </c>
      <c r="N145" s="70">
        <v>1060.5</v>
      </c>
      <c r="O145" s="70">
        <f t="shared" si="10"/>
        <v>14728.6</v>
      </c>
      <c r="P145" s="70">
        <v>667487</v>
      </c>
      <c r="Q145" s="70">
        <v>7068</v>
      </c>
      <c r="R145" s="70">
        <v>7051</v>
      </c>
      <c r="S145" s="70">
        <v>3331</v>
      </c>
      <c r="V145" s="75"/>
      <c r="W145" s="73"/>
      <c r="X145" s="73"/>
      <c r="Y145" s="74"/>
      <c r="Z145" s="74"/>
      <c r="AA145" s="74"/>
    </row>
    <row r="146" spans="1:27">
      <c r="A146" s="3">
        <v>41944</v>
      </c>
      <c r="B146">
        <f t="shared" si="9"/>
        <v>2014</v>
      </c>
      <c r="C146" s="3" t="str">
        <f t="shared" si="11"/>
        <v>Q4</v>
      </c>
      <c r="D146" s="138">
        <v>6858.1</v>
      </c>
      <c r="E146" s="138">
        <v>6871.1</v>
      </c>
      <c r="F146" s="138">
        <v>241.2</v>
      </c>
      <c r="G146" s="138">
        <v>240.4</v>
      </c>
      <c r="H146" s="70">
        <v>659861.19999999995</v>
      </c>
      <c r="I146" s="70">
        <v>6909.5</v>
      </c>
      <c r="J146" s="70">
        <v>6116</v>
      </c>
      <c r="K146" s="70">
        <v>413.5</v>
      </c>
      <c r="L146" s="70">
        <v>7819.1</v>
      </c>
      <c r="M146" s="70">
        <v>24.9</v>
      </c>
      <c r="N146" s="70">
        <v>1060.5</v>
      </c>
      <c r="O146" s="70">
        <f t="shared" si="10"/>
        <v>14728.6</v>
      </c>
      <c r="P146" s="70">
        <v>667487</v>
      </c>
      <c r="Q146" s="70">
        <v>7068</v>
      </c>
      <c r="R146" s="70">
        <v>7051</v>
      </c>
      <c r="S146" s="70">
        <v>3331</v>
      </c>
      <c r="V146" s="75"/>
      <c r="W146" s="73"/>
      <c r="X146" s="73"/>
      <c r="Y146" s="74"/>
      <c r="Z146" s="74"/>
      <c r="AA146" s="74"/>
    </row>
    <row r="147" spans="1:27">
      <c r="A147" s="3">
        <v>41974</v>
      </c>
      <c r="B147">
        <f t="shared" si="9"/>
        <v>2014</v>
      </c>
      <c r="C147" s="3" t="str">
        <f t="shared" si="11"/>
        <v>Q4</v>
      </c>
      <c r="D147" s="138">
        <v>6860</v>
      </c>
      <c r="E147" s="138">
        <v>6863.1</v>
      </c>
      <c r="F147" s="138">
        <v>243.4</v>
      </c>
      <c r="G147" s="138">
        <v>242.7</v>
      </c>
      <c r="H147" s="70">
        <v>659861.19999999995</v>
      </c>
      <c r="I147" s="70">
        <v>6909.5</v>
      </c>
      <c r="J147" s="70">
        <v>6116</v>
      </c>
      <c r="K147" s="70">
        <v>413.5</v>
      </c>
      <c r="L147" s="70">
        <v>7819.1</v>
      </c>
      <c r="M147" s="70">
        <v>24.9</v>
      </c>
      <c r="N147" s="70">
        <v>1060.5</v>
      </c>
      <c r="O147" s="70">
        <f t="shared" si="10"/>
        <v>14728.6</v>
      </c>
      <c r="P147" s="70">
        <v>667487</v>
      </c>
      <c r="Q147" s="70">
        <v>7068</v>
      </c>
      <c r="R147" s="70">
        <v>7051</v>
      </c>
      <c r="S147" s="70">
        <v>3331</v>
      </c>
      <c r="V147" s="75"/>
      <c r="W147" s="73"/>
      <c r="X147" s="73"/>
      <c r="Y147" s="74"/>
      <c r="Z147" s="74"/>
      <c r="AA147" s="74"/>
    </row>
    <row r="148" spans="1:27">
      <c r="A148" s="3">
        <v>42005</v>
      </c>
      <c r="B148">
        <f t="shared" si="9"/>
        <v>2015</v>
      </c>
      <c r="C148" s="3" t="str">
        <f t="shared" si="11"/>
        <v>Q1</v>
      </c>
      <c r="D148" s="138">
        <v>6851.1</v>
      </c>
      <c r="E148" s="138">
        <v>6809.7</v>
      </c>
      <c r="F148" s="138">
        <v>245.9</v>
      </c>
      <c r="G148" s="138">
        <v>244.1</v>
      </c>
      <c r="H148" s="70">
        <v>677384</v>
      </c>
      <c r="I148" s="70">
        <v>7339.5</v>
      </c>
      <c r="J148" s="70">
        <v>6552.4</v>
      </c>
      <c r="K148" s="70">
        <v>411.5</v>
      </c>
      <c r="L148" s="70">
        <v>7477.6</v>
      </c>
      <c r="M148" s="70">
        <v>23.4</v>
      </c>
      <c r="N148" s="70">
        <v>885.4</v>
      </c>
      <c r="O148" s="70">
        <f t="shared" si="10"/>
        <v>14817.1</v>
      </c>
      <c r="P148" s="70">
        <v>668986</v>
      </c>
      <c r="Q148" s="70">
        <v>7183</v>
      </c>
      <c r="R148" s="70">
        <v>7210</v>
      </c>
      <c r="S148" s="70">
        <v>3401</v>
      </c>
      <c r="V148" s="75"/>
      <c r="W148" s="73"/>
      <c r="X148" s="73"/>
      <c r="Y148" s="74"/>
      <c r="Z148" s="74"/>
      <c r="AA148" s="74"/>
    </row>
    <row r="149" spans="1:27">
      <c r="A149" s="3">
        <v>42036</v>
      </c>
      <c r="B149">
        <f t="shared" si="9"/>
        <v>2015</v>
      </c>
      <c r="C149" s="3" t="str">
        <f t="shared" si="11"/>
        <v>Q1</v>
      </c>
      <c r="D149" s="138">
        <v>6859.2</v>
      </c>
      <c r="E149" s="138">
        <v>6782.7</v>
      </c>
      <c r="F149" s="138">
        <v>246.4</v>
      </c>
      <c r="G149" s="138">
        <v>243.4</v>
      </c>
      <c r="H149" s="70">
        <v>677384</v>
      </c>
      <c r="I149" s="70">
        <v>7339.5</v>
      </c>
      <c r="J149" s="70">
        <v>6552.4</v>
      </c>
      <c r="K149" s="70">
        <v>411.5</v>
      </c>
      <c r="L149" s="70">
        <v>7477.6</v>
      </c>
      <c r="M149" s="70">
        <v>23.4</v>
      </c>
      <c r="N149" s="70">
        <v>885.4</v>
      </c>
      <c r="O149" s="70">
        <f t="shared" si="10"/>
        <v>14817.1</v>
      </c>
      <c r="P149" s="70">
        <v>668986</v>
      </c>
      <c r="Q149" s="70">
        <v>7183</v>
      </c>
      <c r="R149" s="70">
        <v>7210</v>
      </c>
      <c r="S149" s="70">
        <v>3401</v>
      </c>
      <c r="V149" s="75"/>
      <c r="W149" s="73"/>
      <c r="X149" s="73"/>
      <c r="Y149" s="74"/>
      <c r="Z149" s="74"/>
      <c r="AA149" s="74"/>
    </row>
    <row r="150" spans="1:27">
      <c r="A150" s="3">
        <v>42064</v>
      </c>
      <c r="B150">
        <f t="shared" si="9"/>
        <v>2015</v>
      </c>
      <c r="C150" s="3" t="str">
        <f t="shared" si="11"/>
        <v>Q1</v>
      </c>
      <c r="D150" s="138">
        <v>6870</v>
      </c>
      <c r="E150" s="138">
        <v>6761.8</v>
      </c>
      <c r="F150" s="138">
        <v>245.3</v>
      </c>
      <c r="G150" s="138">
        <v>241.6</v>
      </c>
      <c r="H150" s="70">
        <v>677384</v>
      </c>
      <c r="I150" s="70">
        <v>7339.5</v>
      </c>
      <c r="J150" s="70">
        <v>6552.4</v>
      </c>
      <c r="K150" s="70">
        <v>411.5</v>
      </c>
      <c r="L150" s="70">
        <v>7477.6</v>
      </c>
      <c r="M150" s="70">
        <v>23.4</v>
      </c>
      <c r="N150" s="70">
        <v>885.4</v>
      </c>
      <c r="O150" s="70">
        <f t="shared" si="10"/>
        <v>14817.1</v>
      </c>
      <c r="P150" s="70">
        <v>668986</v>
      </c>
      <c r="Q150" s="70">
        <v>7183</v>
      </c>
      <c r="R150" s="70">
        <v>7210</v>
      </c>
      <c r="S150" s="70">
        <v>3401</v>
      </c>
      <c r="V150" s="75"/>
      <c r="W150" s="73"/>
      <c r="X150" s="73"/>
      <c r="Y150" s="74"/>
      <c r="Z150" s="74"/>
      <c r="AA150" s="74"/>
    </row>
    <row r="151" spans="1:27">
      <c r="A151" s="3">
        <v>42095</v>
      </c>
      <c r="B151">
        <f t="shared" si="9"/>
        <v>2015</v>
      </c>
      <c r="C151" s="3" t="str">
        <f t="shared" si="11"/>
        <v>Q2</v>
      </c>
      <c r="D151" s="138">
        <v>6876.8</v>
      </c>
      <c r="E151" s="138">
        <v>6786.4</v>
      </c>
      <c r="F151" s="138">
        <v>242.6</v>
      </c>
      <c r="G151" s="138">
        <v>238.8</v>
      </c>
      <c r="H151" s="70">
        <v>677384</v>
      </c>
      <c r="I151" s="70">
        <v>7339.5</v>
      </c>
      <c r="J151" s="70">
        <v>6552.4</v>
      </c>
      <c r="K151" s="70">
        <v>411.5</v>
      </c>
      <c r="L151" s="70">
        <v>7477.6</v>
      </c>
      <c r="M151" s="70">
        <v>23.4</v>
      </c>
      <c r="N151" s="70">
        <v>885.4</v>
      </c>
      <c r="O151" s="70">
        <f t="shared" si="10"/>
        <v>14817.1</v>
      </c>
      <c r="P151" s="70">
        <v>673769</v>
      </c>
      <c r="Q151" s="70">
        <v>7389</v>
      </c>
      <c r="R151" s="70">
        <v>7270</v>
      </c>
      <c r="S151" s="70">
        <v>3066</v>
      </c>
      <c r="V151" s="75"/>
      <c r="W151" s="73"/>
      <c r="X151" s="73"/>
      <c r="Y151" s="74"/>
      <c r="Z151" s="74"/>
      <c r="AA151" s="74"/>
    </row>
    <row r="152" spans="1:27">
      <c r="A152" s="3">
        <v>42125</v>
      </c>
      <c r="B152">
        <f t="shared" si="9"/>
        <v>2015</v>
      </c>
      <c r="C152" s="3" t="str">
        <f t="shared" si="11"/>
        <v>Q2</v>
      </c>
      <c r="D152" s="138">
        <v>6883.3</v>
      </c>
      <c r="E152" s="138">
        <v>6848.1</v>
      </c>
      <c r="F152" s="138">
        <v>242.8</v>
      </c>
      <c r="G152" s="138">
        <v>240.6</v>
      </c>
      <c r="H152" s="70">
        <v>677384</v>
      </c>
      <c r="I152" s="70">
        <v>7339.5</v>
      </c>
      <c r="J152" s="70">
        <v>6552.4</v>
      </c>
      <c r="K152" s="70">
        <v>411.5</v>
      </c>
      <c r="L152" s="70">
        <v>7477.6</v>
      </c>
      <c r="M152" s="70">
        <v>23.4</v>
      </c>
      <c r="N152" s="70">
        <v>885.4</v>
      </c>
      <c r="O152" s="70">
        <f t="shared" si="10"/>
        <v>14817.1</v>
      </c>
      <c r="P152" s="70">
        <v>673769</v>
      </c>
      <c r="Q152" s="70">
        <v>7389</v>
      </c>
      <c r="R152" s="70">
        <v>7270</v>
      </c>
      <c r="S152" s="70">
        <v>3066</v>
      </c>
      <c r="V152" s="75"/>
      <c r="W152" s="73"/>
      <c r="X152" s="73"/>
      <c r="Y152" s="74"/>
      <c r="Z152" s="74"/>
      <c r="AA152" s="74"/>
    </row>
    <row r="153" spans="1:27">
      <c r="A153" s="3">
        <v>42156</v>
      </c>
      <c r="B153">
        <f t="shared" si="9"/>
        <v>2015</v>
      </c>
      <c r="C153" s="3" t="str">
        <f t="shared" si="11"/>
        <v>Q2</v>
      </c>
      <c r="D153" s="138">
        <v>6883.6</v>
      </c>
      <c r="E153" s="138">
        <v>6930.1</v>
      </c>
      <c r="F153" s="138">
        <v>247.8</v>
      </c>
      <c r="G153" s="138">
        <v>250</v>
      </c>
      <c r="H153" s="70">
        <v>677384</v>
      </c>
      <c r="I153" s="70">
        <v>7339.5</v>
      </c>
      <c r="J153" s="70">
        <v>6552.4</v>
      </c>
      <c r="K153" s="70">
        <v>411.5</v>
      </c>
      <c r="L153" s="70">
        <v>7477.6</v>
      </c>
      <c r="M153" s="70">
        <v>23.4</v>
      </c>
      <c r="N153" s="70">
        <v>885.4</v>
      </c>
      <c r="O153" s="70">
        <f t="shared" si="10"/>
        <v>14817.1</v>
      </c>
      <c r="P153" s="70">
        <v>673769</v>
      </c>
      <c r="Q153" s="70">
        <v>7389</v>
      </c>
      <c r="R153" s="70">
        <v>7270</v>
      </c>
      <c r="S153" s="70">
        <v>3066</v>
      </c>
      <c r="V153" s="75"/>
      <c r="W153" s="73"/>
      <c r="X153" s="73"/>
      <c r="Y153" s="74"/>
      <c r="Z153" s="74"/>
      <c r="AA153" s="74"/>
    </row>
    <row r="154" spans="1:27">
      <c r="A154" s="3">
        <v>42186</v>
      </c>
      <c r="B154">
        <f t="shared" si="9"/>
        <v>2015</v>
      </c>
      <c r="C154" s="3" t="str">
        <f t="shared" si="11"/>
        <v>Q3</v>
      </c>
      <c r="D154" s="138">
        <v>6891.7</v>
      </c>
      <c r="E154" s="138">
        <v>6986.1</v>
      </c>
      <c r="F154" s="138">
        <v>250.6</v>
      </c>
      <c r="G154" s="138">
        <v>256</v>
      </c>
      <c r="H154" s="70">
        <v>677384</v>
      </c>
      <c r="I154" s="70">
        <v>7339.5</v>
      </c>
      <c r="J154" s="70">
        <v>6552.4</v>
      </c>
      <c r="K154" s="70">
        <v>411.5</v>
      </c>
      <c r="L154" s="70">
        <v>7477.6</v>
      </c>
      <c r="M154" s="70">
        <v>23.4</v>
      </c>
      <c r="N154" s="70">
        <v>885.4</v>
      </c>
      <c r="O154" s="70">
        <f t="shared" si="10"/>
        <v>14817.1</v>
      </c>
      <c r="P154" s="70">
        <v>679927</v>
      </c>
      <c r="Q154" s="70">
        <v>7371</v>
      </c>
      <c r="R154" s="70">
        <v>7520</v>
      </c>
      <c r="S154" s="70">
        <v>3089</v>
      </c>
      <c r="V154" s="75"/>
      <c r="W154" s="73"/>
      <c r="X154" s="73"/>
      <c r="Y154" s="74"/>
      <c r="Z154" s="74"/>
      <c r="AA154" s="74"/>
    </row>
    <row r="155" spans="1:27">
      <c r="A155" s="3">
        <v>42217</v>
      </c>
      <c r="B155">
        <f t="shared" si="9"/>
        <v>2015</v>
      </c>
      <c r="C155" s="3" t="str">
        <f t="shared" si="11"/>
        <v>Q3</v>
      </c>
      <c r="D155" s="138">
        <v>6896.8</v>
      </c>
      <c r="E155" s="138">
        <v>7000.2</v>
      </c>
      <c r="F155" s="138">
        <v>253.2</v>
      </c>
      <c r="G155" s="138">
        <v>260.7</v>
      </c>
      <c r="H155" s="70">
        <v>677384</v>
      </c>
      <c r="I155" s="70">
        <v>7339.5</v>
      </c>
      <c r="J155" s="70">
        <v>6552.4</v>
      </c>
      <c r="K155" s="70">
        <v>411.5</v>
      </c>
      <c r="L155" s="70">
        <v>7477.6</v>
      </c>
      <c r="M155" s="70">
        <v>23.4</v>
      </c>
      <c r="N155" s="70">
        <v>885.4</v>
      </c>
      <c r="O155" s="70">
        <f t="shared" si="10"/>
        <v>14817.1</v>
      </c>
      <c r="P155" s="70">
        <v>679927</v>
      </c>
      <c r="Q155" s="70">
        <v>7371</v>
      </c>
      <c r="R155" s="70">
        <v>7520</v>
      </c>
      <c r="S155" s="70">
        <v>3089</v>
      </c>
      <c r="V155" s="75"/>
      <c r="W155" s="73"/>
      <c r="X155" s="73"/>
      <c r="Y155" s="74"/>
      <c r="Z155" s="74"/>
      <c r="AA155" s="74"/>
    </row>
    <row r="156" spans="1:27">
      <c r="A156" s="3">
        <v>42248</v>
      </c>
      <c r="B156">
        <f t="shared" si="9"/>
        <v>2015</v>
      </c>
      <c r="C156" s="3" t="str">
        <f t="shared" si="11"/>
        <v>Q3</v>
      </c>
      <c r="D156" s="138">
        <v>6893.1</v>
      </c>
      <c r="E156" s="138">
        <v>6953.7</v>
      </c>
      <c r="F156" s="138">
        <v>250.6</v>
      </c>
      <c r="G156" s="138">
        <v>253.9</v>
      </c>
      <c r="H156" s="70">
        <v>677384</v>
      </c>
      <c r="I156" s="70">
        <v>7339.5</v>
      </c>
      <c r="J156" s="70">
        <v>6552.4</v>
      </c>
      <c r="K156" s="70">
        <v>411.5</v>
      </c>
      <c r="L156" s="70">
        <v>7477.6</v>
      </c>
      <c r="M156" s="70">
        <v>23.4</v>
      </c>
      <c r="N156" s="70">
        <v>885.4</v>
      </c>
      <c r="O156" s="70">
        <f t="shared" si="10"/>
        <v>14817.1</v>
      </c>
      <c r="P156" s="70">
        <v>679927</v>
      </c>
      <c r="Q156" s="70">
        <v>7371</v>
      </c>
      <c r="R156" s="70">
        <v>7520</v>
      </c>
      <c r="S156" s="70">
        <v>3089</v>
      </c>
      <c r="V156" s="75"/>
      <c r="W156" s="73"/>
      <c r="X156" s="73"/>
      <c r="Y156" s="74"/>
      <c r="Z156" s="74"/>
      <c r="AA156" s="74"/>
    </row>
    <row r="157" spans="1:27">
      <c r="A157" s="3">
        <v>42278</v>
      </c>
      <c r="B157">
        <f t="shared" si="9"/>
        <v>2015</v>
      </c>
      <c r="C157" s="3" t="str">
        <f t="shared" si="11"/>
        <v>Q4</v>
      </c>
      <c r="D157" s="138">
        <v>6892.9</v>
      </c>
      <c r="E157" s="138">
        <v>6932.8</v>
      </c>
      <c r="F157" s="138">
        <v>251.5</v>
      </c>
      <c r="G157" s="138">
        <v>253</v>
      </c>
      <c r="H157" s="70">
        <v>677384</v>
      </c>
      <c r="I157" s="70">
        <v>7339.5</v>
      </c>
      <c r="J157" s="70">
        <v>6552.4</v>
      </c>
      <c r="K157" s="70">
        <v>411.5</v>
      </c>
      <c r="L157" s="70">
        <v>7477.6</v>
      </c>
      <c r="M157" s="70">
        <v>23.4</v>
      </c>
      <c r="N157" s="70">
        <v>885.4</v>
      </c>
      <c r="O157" s="70">
        <f t="shared" si="10"/>
        <v>14817.1</v>
      </c>
      <c r="P157" s="70">
        <v>686855</v>
      </c>
      <c r="Q157" s="70">
        <v>7414</v>
      </c>
      <c r="R157" s="70">
        <v>7911</v>
      </c>
      <c r="S157" s="70">
        <v>2863</v>
      </c>
      <c r="V157" s="75"/>
      <c r="W157" s="73"/>
      <c r="X157" s="73"/>
      <c r="Y157" s="74"/>
      <c r="Z157" s="74"/>
      <c r="AA157" s="74"/>
    </row>
    <row r="158" spans="1:27">
      <c r="A158" s="3">
        <v>42309</v>
      </c>
      <c r="B158">
        <f t="shared" si="9"/>
        <v>2015</v>
      </c>
      <c r="C158" s="3" t="str">
        <f t="shared" si="11"/>
        <v>Q4</v>
      </c>
      <c r="D158" s="138">
        <v>6886.2</v>
      </c>
      <c r="E158" s="138">
        <v>6898.2</v>
      </c>
      <c r="F158" s="138">
        <v>250.3</v>
      </c>
      <c r="G158" s="138">
        <v>248.9</v>
      </c>
      <c r="H158" s="70">
        <v>677384</v>
      </c>
      <c r="I158" s="70">
        <v>7339.5</v>
      </c>
      <c r="J158" s="70">
        <v>6552.4</v>
      </c>
      <c r="K158" s="70">
        <v>411.5</v>
      </c>
      <c r="L158" s="70">
        <v>7477.6</v>
      </c>
      <c r="M158" s="70">
        <v>23.4</v>
      </c>
      <c r="N158" s="70">
        <v>885.4</v>
      </c>
      <c r="O158" s="70">
        <f t="shared" si="10"/>
        <v>14817.1</v>
      </c>
      <c r="P158" s="70">
        <v>686855</v>
      </c>
      <c r="Q158" s="70">
        <v>7414</v>
      </c>
      <c r="R158" s="70">
        <v>7911</v>
      </c>
      <c r="S158" s="70">
        <v>2863</v>
      </c>
      <c r="V158" s="75"/>
      <c r="W158" s="73"/>
      <c r="X158" s="73"/>
      <c r="Y158" s="74"/>
      <c r="Z158" s="74"/>
      <c r="AA158" s="74"/>
    </row>
    <row r="159" spans="1:27">
      <c r="A159" s="3">
        <v>42339</v>
      </c>
      <c r="B159">
        <f t="shared" si="9"/>
        <v>2015</v>
      </c>
      <c r="C159" s="3" t="str">
        <f t="shared" si="11"/>
        <v>Q4</v>
      </c>
      <c r="D159" s="138">
        <v>6895.6</v>
      </c>
      <c r="E159" s="138">
        <v>6902.3</v>
      </c>
      <c r="F159" s="138">
        <v>251.8</v>
      </c>
      <c r="G159" s="138">
        <v>250.6</v>
      </c>
      <c r="H159" s="70">
        <v>677384</v>
      </c>
      <c r="I159" s="70">
        <v>7339.5</v>
      </c>
      <c r="J159" s="70">
        <v>6552.4</v>
      </c>
      <c r="K159" s="70">
        <v>411.5</v>
      </c>
      <c r="L159" s="70">
        <v>7477.6</v>
      </c>
      <c r="M159" s="70">
        <v>23.4</v>
      </c>
      <c r="N159" s="70">
        <v>885.4</v>
      </c>
      <c r="O159" s="70">
        <f t="shared" si="10"/>
        <v>14817.1</v>
      </c>
      <c r="P159" s="70">
        <v>686855</v>
      </c>
      <c r="Q159" s="70">
        <v>7414</v>
      </c>
      <c r="R159" s="70">
        <v>7911</v>
      </c>
      <c r="S159" s="70">
        <v>2863</v>
      </c>
      <c r="V159" s="75"/>
      <c r="W159" s="73"/>
      <c r="X159" s="73"/>
      <c r="Y159" s="74"/>
      <c r="Z159" s="74"/>
      <c r="AA159" s="74"/>
    </row>
    <row r="160" spans="1:27">
      <c r="A160" s="3">
        <v>42370</v>
      </c>
      <c r="B160">
        <f t="shared" si="9"/>
        <v>2016</v>
      </c>
      <c r="C160" s="3" t="str">
        <f t="shared" si="11"/>
        <v>Q1</v>
      </c>
      <c r="D160" s="138">
        <v>6908.4</v>
      </c>
      <c r="E160" s="138">
        <v>6871.2</v>
      </c>
      <c r="F160" s="138">
        <v>252.2</v>
      </c>
      <c r="G160" s="138">
        <v>249.8</v>
      </c>
      <c r="H160" s="70">
        <v>692620.80000000005</v>
      </c>
      <c r="I160" s="70">
        <v>7420.6</v>
      </c>
      <c r="J160" s="70">
        <v>6600.8</v>
      </c>
      <c r="K160" s="70">
        <v>427.5</v>
      </c>
      <c r="L160" s="70">
        <v>7596.5</v>
      </c>
      <c r="M160" s="70">
        <v>377.2</v>
      </c>
      <c r="N160" s="70">
        <v>784.9</v>
      </c>
      <c r="O160" s="70">
        <f t="shared" si="10"/>
        <v>15017.1</v>
      </c>
      <c r="P160" s="70">
        <v>691978</v>
      </c>
      <c r="Q160" s="70">
        <v>7414</v>
      </c>
      <c r="R160" s="70">
        <v>7769</v>
      </c>
      <c r="S160" s="70">
        <v>2819</v>
      </c>
      <c r="V160" s="75"/>
      <c r="W160" s="73"/>
      <c r="X160" s="73"/>
      <c r="Y160" s="74"/>
      <c r="Z160" s="74"/>
      <c r="AA160" s="74"/>
    </row>
    <row r="161" spans="1:27">
      <c r="A161" s="3">
        <v>42401</v>
      </c>
      <c r="B161">
        <f t="shared" si="9"/>
        <v>2016</v>
      </c>
      <c r="C161" s="3" t="str">
        <f t="shared" si="11"/>
        <v>Q1</v>
      </c>
      <c r="D161" s="138">
        <v>6922.3</v>
      </c>
      <c r="E161" s="138">
        <v>6850.4</v>
      </c>
      <c r="F161" s="138">
        <v>250.6</v>
      </c>
      <c r="G161" s="138">
        <v>247.8</v>
      </c>
      <c r="H161" s="70">
        <v>692620.80000000005</v>
      </c>
      <c r="I161" s="70">
        <v>7420.6</v>
      </c>
      <c r="J161" s="70">
        <v>6600.8</v>
      </c>
      <c r="K161" s="70">
        <v>427.5</v>
      </c>
      <c r="L161" s="70">
        <v>7596.5</v>
      </c>
      <c r="M161" s="70">
        <v>377.2</v>
      </c>
      <c r="N161" s="70">
        <v>784.9</v>
      </c>
      <c r="O161" s="70">
        <f t="shared" si="10"/>
        <v>15017.1</v>
      </c>
      <c r="P161" s="70">
        <v>691978</v>
      </c>
      <c r="Q161" s="70">
        <v>7414</v>
      </c>
      <c r="R161" s="70">
        <v>7769</v>
      </c>
      <c r="S161" s="70">
        <v>2819</v>
      </c>
      <c r="V161" s="75"/>
      <c r="W161" s="73"/>
      <c r="X161" s="73"/>
      <c r="Y161" s="74"/>
      <c r="Z161" s="74"/>
      <c r="AA161" s="74"/>
    </row>
    <row r="162" spans="1:27">
      <c r="A162" s="3">
        <v>42430</v>
      </c>
      <c r="B162">
        <f t="shared" si="9"/>
        <v>2016</v>
      </c>
      <c r="C162" s="3" t="str">
        <f t="shared" si="11"/>
        <v>Q1</v>
      </c>
      <c r="D162" s="138">
        <v>6930.2</v>
      </c>
      <c r="E162" s="138">
        <v>6827.3</v>
      </c>
      <c r="F162" s="138">
        <v>248.1</v>
      </c>
      <c r="G162" s="138">
        <v>244.7</v>
      </c>
      <c r="H162" s="70">
        <v>692620.80000000005</v>
      </c>
      <c r="I162" s="70">
        <v>7420.6</v>
      </c>
      <c r="J162" s="70">
        <v>6600.8</v>
      </c>
      <c r="K162" s="70">
        <v>427.5</v>
      </c>
      <c r="L162" s="70">
        <v>7596.5</v>
      </c>
      <c r="M162" s="70">
        <v>377.2</v>
      </c>
      <c r="N162" s="70">
        <v>784.9</v>
      </c>
      <c r="O162" s="70">
        <f t="shared" si="10"/>
        <v>15017.1</v>
      </c>
      <c r="P162" s="70">
        <v>691978</v>
      </c>
      <c r="Q162" s="70">
        <v>7414</v>
      </c>
      <c r="R162" s="70">
        <v>7769</v>
      </c>
      <c r="S162" s="70">
        <v>2819</v>
      </c>
      <c r="V162" s="75"/>
      <c r="W162" s="73"/>
      <c r="X162" s="73"/>
      <c r="Y162" s="74"/>
      <c r="Z162" s="74"/>
      <c r="AA162" s="74"/>
    </row>
    <row r="163" spans="1:27">
      <c r="A163" s="3">
        <v>42461</v>
      </c>
      <c r="B163">
        <f t="shared" si="9"/>
        <v>2016</v>
      </c>
      <c r="C163" s="3" t="str">
        <f t="shared" si="11"/>
        <v>Q2</v>
      </c>
      <c r="D163" s="138">
        <v>6931.9</v>
      </c>
      <c r="E163" s="138">
        <v>6843.7</v>
      </c>
      <c r="F163" s="138">
        <v>245.3</v>
      </c>
      <c r="G163" s="138">
        <v>241.5</v>
      </c>
      <c r="H163" s="70">
        <v>692620.80000000005</v>
      </c>
      <c r="I163" s="70">
        <v>7420.6</v>
      </c>
      <c r="J163" s="70">
        <v>6600.8</v>
      </c>
      <c r="K163" s="70">
        <v>427.5</v>
      </c>
      <c r="L163" s="70">
        <v>7596.5</v>
      </c>
      <c r="M163" s="70">
        <v>377.2</v>
      </c>
      <c r="N163" s="70">
        <v>784.9</v>
      </c>
      <c r="O163" s="70">
        <f t="shared" si="10"/>
        <v>15017.1</v>
      </c>
      <c r="P163" s="70">
        <v>689507</v>
      </c>
      <c r="Q163" s="70">
        <v>7421</v>
      </c>
      <c r="R163" s="70">
        <v>7619</v>
      </c>
      <c r="S163" s="70">
        <v>2937</v>
      </c>
      <c r="V163" s="75"/>
      <c r="W163" s="73"/>
      <c r="X163" s="73"/>
      <c r="Y163" s="74"/>
      <c r="Z163" s="74"/>
      <c r="AA163" s="74"/>
    </row>
    <row r="164" spans="1:27">
      <c r="A164" s="3">
        <v>42491</v>
      </c>
      <c r="B164">
        <f t="shared" si="9"/>
        <v>2016</v>
      </c>
      <c r="C164" s="3" t="str">
        <f t="shared" si="11"/>
        <v>Q2</v>
      </c>
      <c r="D164" s="138">
        <v>6944.7</v>
      </c>
      <c r="E164" s="138">
        <v>6913.7</v>
      </c>
      <c r="F164" s="138">
        <v>244.7</v>
      </c>
      <c r="G164" s="138">
        <v>243.5</v>
      </c>
      <c r="H164" s="70">
        <v>692620.80000000005</v>
      </c>
      <c r="I164" s="70">
        <v>7420.6</v>
      </c>
      <c r="J164" s="70">
        <v>6600.8</v>
      </c>
      <c r="K164" s="70">
        <v>427.5</v>
      </c>
      <c r="L164" s="70">
        <v>7596.5</v>
      </c>
      <c r="M164" s="70">
        <v>377.2</v>
      </c>
      <c r="N164" s="70">
        <v>784.9</v>
      </c>
      <c r="O164" s="70">
        <f t="shared" si="10"/>
        <v>15017.1</v>
      </c>
      <c r="P164" s="70">
        <v>689507</v>
      </c>
      <c r="Q164" s="70">
        <v>7421</v>
      </c>
      <c r="R164" s="70">
        <v>7619</v>
      </c>
      <c r="S164" s="70">
        <v>2937</v>
      </c>
      <c r="V164" s="75"/>
      <c r="W164" s="73"/>
      <c r="X164" s="73"/>
      <c r="Y164" s="74"/>
      <c r="Z164" s="74"/>
      <c r="AA164" s="74"/>
    </row>
    <row r="165" spans="1:27">
      <c r="A165" s="3">
        <v>42522</v>
      </c>
      <c r="B165">
        <f t="shared" si="9"/>
        <v>2016</v>
      </c>
      <c r="C165" s="3" t="str">
        <f t="shared" si="11"/>
        <v>Q2</v>
      </c>
      <c r="D165" s="138">
        <v>6955.5</v>
      </c>
      <c r="E165" s="138">
        <v>7000.2</v>
      </c>
      <c r="F165" s="138">
        <v>243.3</v>
      </c>
      <c r="G165" s="138">
        <v>246.8</v>
      </c>
      <c r="H165" s="70">
        <v>692620.80000000005</v>
      </c>
      <c r="I165" s="70">
        <v>7420.6</v>
      </c>
      <c r="J165" s="70">
        <v>6600.8</v>
      </c>
      <c r="K165" s="70">
        <v>427.5</v>
      </c>
      <c r="L165" s="70">
        <v>7596.5</v>
      </c>
      <c r="M165" s="70">
        <v>377.2</v>
      </c>
      <c r="N165" s="70">
        <v>784.9</v>
      </c>
      <c r="O165" s="70">
        <f t="shared" si="10"/>
        <v>15017.1</v>
      </c>
      <c r="P165" s="70">
        <v>689507</v>
      </c>
      <c r="Q165" s="70">
        <v>7421</v>
      </c>
      <c r="R165" s="70">
        <v>7619</v>
      </c>
      <c r="S165" s="70">
        <v>2937</v>
      </c>
      <c r="V165" s="75"/>
      <c r="W165" s="73"/>
      <c r="X165" s="73"/>
      <c r="Y165" s="74"/>
      <c r="Z165" s="74"/>
      <c r="AA165" s="74"/>
    </row>
    <row r="166" spans="1:27">
      <c r="A166" s="3">
        <v>42552</v>
      </c>
      <c r="B166">
        <f t="shared" si="9"/>
        <v>2016</v>
      </c>
      <c r="C166" s="3" t="str">
        <f t="shared" si="11"/>
        <v>Q3</v>
      </c>
      <c r="D166" s="138">
        <v>6956.3</v>
      </c>
      <c r="E166" s="138">
        <v>7049.5</v>
      </c>
      <c r="F166" s="138">
        <v>243.3</v>
      </c>
      <c r="G166" s="138">
        <v>249.6</v>
      </c>
      <c r="H166" s="70">
        <v>692620.80000000005</v>
      </c>
      <c r="I166" s="70">
        <v>7420.6</v>
      </c>
      <c r="J166" s="70">
        <v>6600.8</v>
      </c>
      <c r="K166" s="70">
        <v>427.5</v>
      </c>
      <c r="L166" s="70">
        <v>7596.5</v>
      </c>
      <c r="M166" s="70">
        <v>377.2</v>
      </c>
      <c r="N166" s="70">
        <v>784.9</v>
      </c>
      <c r="O166" s="70">
        <f t="shared" si="10"/>
        <v>15017.1</v>
      </c>
      <c r="P166" s="70">
        <v>695069</v>
      </c>
      <c r="Q166" s="70">
        <v>7438</v>
      </c>
      <c r="R166" s="70">
        <v>7449</v>
      </c>
      <c r="S166" s="70">
        <v>3045</v>
      </c>
      <c r="V166" s="75"/>
      <c r="W166" s="73"/>
      <c r="X166" s="73"/>
      <c r="Y166" s="74"/>
      <c r="Z166" s="74"/>
      <c r="AA166" s="74"/>
    </row>
    <row r="167" spans="1:27">
      <c r="A167" s="3">
        <v>42583</v>
      </c>
      <c r="B167">
        <f t="shared" si="9"/>
        <v>2016</v>
      </c>
      <c r="C167" s="3" t="str">
        <f t="shared" si="11"/>
        <v>Q3</v>
      </c>
      <c r="D167" s="138">
        <v>6953.5</v>
      </c>
      <c r="E167" s="138">
        <v>7045.6</v>
      </c>
      <c r="F167" s="138">
        <v>245.1</v>
      </c>
      <c r="G167" s="138">
        <v>251</v>
      </c>
      <c r="H167" s="70">
        <v>692620.80000000005</v>
      </c>
      <c r="I167" s="70">
        <v>7420.6</v>
      </c>
      <c r="J167" s="70">
        <v>6600.8</v>
      </c>
      <c r="K167" s="70">
        <v>427.5</v>
      </c>
      <c r="L167" s="70">
        <v>7596.5</v>
      </c>
      <c r="M167" s="70">
        <v>377.2</v>
      </c>
      <c r="N167" s="70">
        <v>784.9</v>
      </c>
      <c r="O167" s="70">
        <f t="shared" si="10"/>
        <v>15017.1</v>
      </c>
      <c r="P167" s="70">
        <v>695069</v>
      </c>
      <c r="Q167" s="70">
        <v>7438</v>
      </c>
      <c r="R167" s="70">
        <v>7449</v>
      </c>
      <c r="S167" s="70">
        <v>3045</v>
      </c>
      <c r="V167" s="75"/>
      <c r="W167" s="73"/>
      <c r="X167" s="73"/>
      <c r="Y167" s="74"/>
      <c r="Z167" s="74"/>
      <c r="AA167" s="74"/>
    </row>
    <row r="168" spans="1:27">
      <c r="A168" s="3">
        <v>42614</v>
      </c>
      <c r="B168">
        <f t="shared" si="9"/>
        <v>2016</v>
      </c>
      <c r="C168" s="3" t="str">
        <f t="shared" si="11"/>
        <v>Q3</v>
      </c>
      <c r="D168" s="138">
        <v>6950.1</v>
      </c>
      <c r="E168" s="138">
        <v>6998.1</v>
      </c>
      <c r="F168" s="138">
        <v>246.6</v>
      </c>
      <c r="G168" s="138">
        <v>248.4</v>
      </c>
      <c r="H168" s="70">
        <v>692620.80000000005</v>
      </c>
      <c r="I168" s="70">
        <v>7420.6</v>
      </c>
      <c r="J168" s="70">
        <v>6600.8</v>
      </c>
      <c r="K168" s="70">
        <v>427.5</v>
      </c>
      <c r="L168" s="70">
        <v>7596.5</v>
      </c>
      <c r="M168" s="70">
        <v>377.2</v>
      </c>
      <c r="N168" s="70">
        <v>784.9</v>
      </c>
      <c r="O168" s="70">
        <f t="shared" si="10"/>
        <v>15017.1</v>
      </c>
      <c r="P168" s="70">
        <v>695069</v>
      </c>
      <c r="Q168" s="70">
        <v>7438</v>
      </c>
      <c r="R168" s="70">
        <v>7449</v>
      </c>
      <c r="S168" s="70">
        <v>3045</v>
      </c>
      <c r="V168" s="75"/>
      <c r="W168" s="73"/>
      <c r="X168" s="73"/>
      <c r="Y168" s="74"/>
      <c r="Z168" s="74"/>
      <c r="AA168" s="74"/>
    </row>
    <row r="169" spans="1:27">
      <c r="A169" s="3">
        <v>42644</v>
      </c>
      <c r="B169">
        <f t="shared" si="9"/>
        <v>2016</v>
      </c>
      <c r="C169" s="3" t="str">
        <f t="shared" si="11"/>
        <v>Q4</v>
      </c>
      <c r="D169" s="138">
        <v>6963.9</v>
      </c>
      <c r="E169" s="138">
        <v>6990.5</v>
      </c>
      <c r="F169" s="138">
        <v>246.8</v>
      </c>
      <c r="G169" s="138">
        <v>247.4</v>
      </c>
      <c r="H169" s="70">
        <v>692620.80000000005</v>
      </c>
      <c r="I169" s="70">
        <v>7420.6</v>
      </c>
      <c r="J169" s="70">
        <v>6600.8</v>
      </c>
      <c r="K169" s="70">
        <v>427.5</v>
      </c>
      <c r="L169" s="70">
        <v>7596.5</v>
      </c>
      <c r="M169" s="70">
        <v>377.2</v>
      </c>
      <c r="N169" s="70">
        <v>784.9</v>
      </c>
      <c r="O169" s="70">
        <f t="shared" si="10"/>
        <v>15017.1</v>
      </c>
      <c r="P169" s="70">
        <v>693929</v>
      </c>
      <c r="Q169" s="70">
        <v>7409</v>
      </c>
      <c r="R169" s="70">
        <v>7549</v>
      </c>
      <c r="S169" s="70">
        <v>3070</v>
      </c>
      <c r="V169" s="75"/>
      <c r="W169" s="73"/>
      <c r="X169" s="73"/>
      <c r="Y169" s="74"/>
      <c r="Z169" s="74"/>
      <c r="AA169" s="74"/>
    </row>
    <row r="170" spans="1:27">
      <c r="A170" s="3">
        <v>42675</v>
      </c>
      <c r="B170">
        <f t="shared" si="9"/>
        <v>2016</v>
      </c>
      <c r="C170" s="3" t="str">
        <f t="shared" si="11"/>
        <v>Q4</v>
      </c>
      <c r="D170" s="138">
        <v>6977.8</v>
      </c>
      <c r="E170" s="138">
        <v>6983.4</v>
      </c>
      <c r="F170" s="138">
        <v>244.1</v>
      </c>
      <c r="G170" s="138">
        <v>242.2</v>
      </c>
      <c r="H170" s="70">
        <v>692620.80000000005</v>
      </c>
      <c r="I170" s="70">
        <v>7420.6</v>
      </c>
      <c r="J170" s="70">
        <v>6600.8</v>
      </c>
      <c r="K170" s="70">
        <v>427.5</v>
      </c>
      <c r="L170" s="70">
        <v>7596.5</v>
      </c>
      <c r="M170" s="70">
        <v>377.2</v>
      </c>
      <c r="N170" s="70">
        <v>784.9</v>
      </c>
      <c r="O170" s="70">
        <f t="shared" si="10"/>
        <v>15017.1</v>
      </c>
      <c r="P170" s="70">
        <v>693929</v>
      </c>
      <c r="Q170" s="70">
        <v>7409</v>
      </c>
      <c r="R170" s="70">
        <v>7549</v>
      </c>
      <c r="S170" s="70">
        <v>3070</v>
      </c>
      <c r="V170" s="75"/>
      <c r="W170" s="73"/>
      <c r="X170" s="73"/>
      <c r="Y170" s="74"/>
      <c r="Z170" s="74"/>
      <c r="AA170" s="74"/>
    </row>
    <row r="171" spans="1:27">
      <c r="A171" s="3">
        <v>42705</v>
      </c>
      <c r="B171">
        <f t="shared" si="9"/>
        <v>2016</v>
      </c>
      <c r="C171" s="3" t="str">
        <f t="shared" si="11"/>
        <v>Q4</v>
      </c>
      <c r="D171" s="138">
        <v>6992.4</v>
      </c>
      <c r="E171" s="138">
        <v>6999.9</v>
      </c>
      <c r="F171" s="138">
        <v>242.9</v>
      </c>
      <c r="G171" s="138">
        <v>241.1</v>
      </c>
      <c r="H171" s="70">
        <v>692620.80000000005</v>
      </c>
      <c r="I171" s="70">
        <v>7420.6</v>
      </c>
      <c r="J171" s="70">
        <v>6600.8</v>
      </c>
      <c r="K171" s="70">
        <v>427.5</v>
      </c>
      <c r="L171" s="70">
        <v>7596.5</v>
      </c>
      <c r="M171" s="70">
        <v>377.2</v>
      </c>
      <c r="N171" s="70">
        <v>784.9</v>
      </c>
      <c r="O171" s="70">
        <f t="shared" si="10"/>
        <v>15017.1</v>
      </c>
      <c r="P171" s="70">
        <v>693929</v>
      </c>
      <c r="Q171" s="70">
        <v>7409</v>
      </c>
      <c r="R171" s="70">
        <v>7549</v>
      </c>
      <c r="S171" s="70">
        <v>3070</v>
      </c>
      <c r="V171" s="75"/>
      <c r="W171" s="73"/>
      <c r="X171" s="73"/>
      <c r="Y171" s="74"/>
      <c r="Z171" s="74"/>
      <c r="AA171" s="74"/>
    </row>
    <row r="172" spans="1:27">
      <c r="A172" s="3">
        <v>42736</v>
      </c>
      <c r="B172">
        <f t="shared" si="9"/>
        <v>2017</v>
      </c>
      <c r="C172" s="3" t="str">
        <f t="shared" si="11"/>
        <v>Q1</v>
      </c>
      <c r="D172" s="138">
        <v>7014.6</v>
      </c>
      <c r="E172" s="138">
        <v>6982.5</v>
      </c>
      <c r="F172" s="138">
        <v>241.3</v>
      </c>
      <c r="G172" s="138">
        <v>238.5</v>
      </c>
      <c r="H172" s="70">
        <v>711695.1</v>
      </c>
      <c r="I172" s="70">
        <v>7780.9</v>
      </c>
      <c r="J172" s="70">
        <v>6969</v>
      </c>
      <c r="K172" s="70">
        <v>457.1</v>
      </c>
      <c r="L172" s="70">
        <v>7434.8</v>
      </c>
      <c r="M172" s="70">
        <v>287.5</v>
      </c>
      <c r="N172" s="70">
        <v>971.8</v>
      </c>
      <c r="O172" s="70">
        <f t="shared" si="10"/>
        <v>15215.7</v>
      </c>
      <c r="P172" s="70">
        <v>704469</v>
      </c>
      <c r="Q172" s="70">
        <v>7584</v>
      </c>
      <c r="R172" s="70">
        <v>7619</v>
      </c>
      <c r="S172" s="70">
        <v>3039</v>
      </c>
      <c r="V172" s="75"/>
      <c r="W172" s="73"/>
      <c r="X172" s="73"/>
      <c r="Y172" s="74"/>
      <c r="Z172" s="74"/>
      <c r="AA172" s="74"/>
    </row>
    <row r="173" spans="1:27">
      <c r="A173" s="3">
        <v>42767</v>
      </c>
      <c r="B173">
        <f t="shared" si="9"/>
        <v>2017</v>
      </c>
      <c r="C173" s="3" t="str">
        <f t="shared" si="11"/>
        <v>Q1</v>
      </c>
      <c r="D173" s="138">
        <v>7031.3</v>
      </c>
      <c r="E173" s="138">
        <v>6962.5</v>
      </c>
      <c r="F173" s="138">
        <v>243.9</v>
      </c>
      <c r="G173" s="138">
        <v>241.2</v>
      </c>
      <c r="H173" s="70">
        <v>711695.1</v>
      </c>
      <c r="I173" s="70">
        <v>7780.9</v>
      </c>
      <c r="J173" s="70">
        <v>6969</v>
      </c>
      <c r="K173" s="70">
        <v>457.1</v>
      </c>
      <c r="L173" s="70">
        <v>7434.8</v>
      </c>
      <c r="M173" s="70">
        <v>287.5</v>
      </c>
      <c r="N173" s="70">
        <v>971.8</v>
      </c>
      <c r="O173" s="70">
        <f t="shared" si="10"/>
        <v>15215.7</v>
      </c>
      <c r="P173" s="70">
        <v>704469</v>
      </c>
      <c r="Q173" s="70">
        <v>7584</v>
      </c>
      <c r="R173" s="70">
        <v>7619</v>
      </c>
      <c r="S173" s="70">
        <v>3039</v>
      </c>
      <c r="V173" s="75"/>
      <c r="W173" s="73"/>
      <c r="X173" s="73"/>
      <c r="Y173" s="74"/>
      <c r="Z173" s="74"/>
      <c r="AA173" s="74"/>
    </row>
    <row r="174" spans="1:27">
      <c r="A174" s="3">
        <v>42795</v>
      </c>
      <c r="B174">
        <f t="shared" si="9"/>
        <v>2017</v>
      </c>
      <c r="C174" s="3" t="str">
        <f t="shared" si="11"/>
        <v>Q1</v>
      </c>
      <c r="D174" s="138">
        <v>7049</v>
      </c>
      <c r="E174" s="138">
        <v>6946</v>
      </c>
      <c r="F174" s="138">
        <v>247.3</v>
      </c>
      <c r="G174" s="138">
        <v>243.9</v>
      </c>
      <c r="H174" s="70">
        <v>711695.1</v>
      </c>
      <c r="I174" s="70">
        <v>7780.9</v>
      </c>
      <c r="J174" s="70">
        <v>6969</v>
      </c>
      <c r="K174" s="70">
        <v>457.1</v>
      </c>
      <c r="L174" s="70">
        <v>7434.8</v>
      </c>
      <c r="M174" s="70">
        <v>287.5</v>
      </c>
      <c r="N174" s="70">
        <v>971.8</v>
      </c>
      <c r="O174" s="70">
        <f t="shared" si="10"/>
        <v>15215.7</v>
      </c>
      <c r="P174" s="70">
        <v>704469</v>
      </c>
      <c r="Q174" s="70">
        <v>7584</v>
      </c>
      <c r="R174" s="70">
        <v>7619</v>
      </c>
      <c r="S174" s="70">
        <v>3039</v>
      </c>
      <c r="V174" s="75"/>
      <c r="W174" s="73"/>
      <c r="X174" s="73"/>
      <c r="Y174" s="74"/>
      <c r="Z174" s="74"/>
      <c r="AA174" s="74"/>
    </row>
    <row r="175" spans="1:27">
      <c r="A175" s="3">
        <v>42826</v>
      </c>
      <c r="B175">
        <f t="shared" si="9"/>
        <v>2017</v>
      </c>
      <c r="C175" s="3" t="str">
        <f t="shared" si="11"/>
        <v>Q2</v>
      </c>
      <c r="D175" s="138">
        <v>7055.1</v>
      </c>
      <c r="E175" s="138">
        <v>6963.6</v>
      </c>
      <c r="F175" s="138">
        <v>249.5</v>
      </c>
      <c r="G175" s="138">
        <v>245.6</v>
      </c>
      <c r="H175" s="70">
        <v>711695.1</v>
      </c>
      <c r="I175" s="70">
        <v>7780.9</v>
      </c>
      <c r="J175" s="70">
        <v>6969</v>
      </c>
      <c r="K175" s="70">
        <v>457.1</v>
      </c>
      <c r="L175" s="70">
        <v>7434.8</v>
      </c>
      <c r="M175" s="70">
        <v>287.5</v>
      </c>
      <c r="N175" s="70">
        <v>971.8</v>
      </c>
      <c r="O175" s="70">
        <f t="shared" si="10"/>
        <v>15215.7</v>
      </c>
      <c r="P175" s="70">
        <v>711863</v>
      </c>
      <c r="Q175" s="70">
        <v>7723</v>
      </c>
      <c r="R175" s="70">
        <v>7392</v>
      </c>
      <c r="S175" s="70">
        <v>3025</v>
      </c>
      <c r="V175" s="75"/>
      <c r="W175" s="73"/>
      <c r="X175" s="73"/>
      <c r="Y175" s="74"/>
      <c r="Z175" s="74"/>
      <c r="AA175" s="74"/>
    </row>
    <row r="176" spans="1:27">
      <c r="A176" s="3">
        <v>42856</v>
      </c>
      <c r="B176">
        <f t="shared" si="9"/>
        <v>2017</v>
      </c>
      <c r="C176" s="3" t="str">
        <f t="shared" si="11"/>
        <v>Q2</v>
      </c>
      <c r="D176" s="138">
        <v>7066.7</v>
      </c>
      <c r="E176" s="138">
        <v>7033.4</v>
      </c>
      <c r="F176" s="138">
        <v>249.8</v>
      </c>
      <c r="G176" s="138">
        <v>248.3</v>
      </c>
      <c r="H176" s="70">
        <v>711695.1</v>
      </c>
      <c r="I176" s="70">
        <v>7780.9</v>
      </c>
      <c r="J176" s="70">
        <v>6969</v>
      </c>
      <c r="K176" s="70">
        <v>457.1</v>
      </c>
      <c r="L176" s="70">
        <v>7434.8</v>
      </c>
      <c r="M176" s="70">
        <v>287.5</v>
      </c>
      <c r="N176" s="70">
        <v>971.8</v>
      </c>
      <c r="O176" s="70">
        <f t="shared" si="10"/>
        <v>15215.7</v>
      </c>
      <c r="P176" s="70">
        <v>711863</v>
      </c>
      <c r="Q176" s="70">
        <v>7723</v>
      </c>
      <c r="R176" s="70">
        <v>7392</v>
      </c>
      <c r="S176" s="70">
        <v>3025</v>
      </c>
      <c r="V176" s="75"/>
      <c r="W176" s="73"/>
      <c r="X176" s="73"/>
      <c r="Y176" s="74"/>
      <c r="Z176" s="74"/>
      <c r="AA176" s="74"/>
    </row>
    <row r="177" spans="1:27">
      <c r="A177" s="3">
        <v>42887</v>
      </c>
      <c r="B177">
        <f t="shared" si="9"/>
        <v>2017</v>
      </c>
      <c r="C177" s="3" t="str">
        <f t="shared" si="11"/>
        <v>Q2</v>
      </c>
      <c r="D177" s="138">
        <v>7079.8</v>
      </c>
      <c r="E177" s="138">
        <v>7123</v>
      </c>
      <c r="F177" s="138">
        <v>249.2</v>
      </c>
      <c r="G177" s="138">
        <v>252.6</v>
      </c>
      <c r="H177" s="70">
        <v>711695.1</v>
      </c>
      <c r="I177" s="70">
        <v>7780.9</v>
      </c>
      <c r="J177" s="70">
        <v>6969</v>
      </c>
      <c r="K177" s="70">
        <v>457.1</v>
      </c>
      <c r="L177" s="70">
        <v>7434.8</v>
      </c>
      <c r="M177" s="70">
        <v>287.5</v>
      </c>
      <c r="N177" s="70">
        <v>971.8</v>
      </c>
      <c r="O177" s="70">
        <f t="shared" si="10"/>
        <v>15215.7</v>
      </c>
      <c r="P177" s="70">
        <v>711863</v>
      </c>
      <c r="Q177" s="70">
        <v>7723</v>
      </c>
      <c r="R177" s="70">
        <v>7392</v>
      </c>
      <c r="S177" s="70">
        <v>3025</v>
      </c>
      <c r="V177" s="75"/>
      <c r="W177" s="73"/>
      <c r="X177" s="73"/>
      <c r="Y177" s="74"/>
      <c r="Z177" s="74"/>
      <c r="AA177" s="74"/>
    </row>
    <row r="178" spans="1:27">
      <c r="A178" s="3">
        <v>42917</v>
      </c>
      <c r="B178">
        <f t="shared" si="9"/>
        <v>2017</v>
      </c>
      <c r="C178" s="3" t="str">
        <f t="shared" si="11"/>
        <v>Q3</v>
      </c>
      <c r="D178" s="138">
        <v>7101.9</v>
      </c>
      <c r="E178" s="138">
        <v>7196</v>
      </c>
      <c r="F178" s="138">
        <v>249</v>
      </c>
      <c r="G178" s="138">
        <v>254.8</v>
      </c>
      <c r="H178" s="70">
        <v>711695.1</v>
      </c>
      <c r="I178" s="70">
        <v>7780.9</v>
      </c>
      <c r="J178" s="70">
        <v>6969</v>
      </c>
      <c r="K178" s="70">
        <v>457.1</v>
      </c>
      <c r="L178" s="70">
        <v>7434.8</v>
      </c>
      <c r="M178" s="70">
        <v>287.5</v>
      </c>
      <c r="N178" s="70">
        <v>971.8</v>
      </c>
      <c r="O178" s="70">
        <f t="shared" si="10"/>
        <v>15215.7</v>
      </c>
      <c r="P178" s="70">
        <v>712249</v>
      </c>
      <c r="Q178" s="70">
        <v>7853</v>
      </c>
      <c r="R178" s="70">
        <v>7523</v>
      </c>
      <c r="S178" s="70">
        <v>3012</v>
      </c>
      <c r="V178" s="75"/>
      <c r="W178" s="73"/>
      <c r="X178" s="73"/>
      <c r="Y178" s="74"/>
      <c r="Z178" s="74"/>
      <c r="AA178" s="74"/>
    </row>
    <row r="179" spans="1:27">
      <c r="A179" s="3">
        <v>42948</v>
      </c>
      <c r="B179">
        <f t="shared" si="9"/>
        <v>2017</v>
      </c>
      <c r="C179" s="3" t="str">
        <f t="shared" si="11"/>
        <v>Q3</v>
      </c>
      <c r="D179" s="138">
        <v>7121.1</v>
      </c>
      <c r="E179" s="138">
        <v>7216.7</v>
      </c>
      <c r="F179" s="138">
        <v>245.9</v>
      </c>
      <c r="G179" s="138">
        <v>251.5</v>
      </c>
      <c r="H179" s="70">
        <v>711695.1</v>
      </c>
      <c r="I179" s="70">
        <v>7780.9</v>
      </c>
      <c r="J179" s="70">
        <v>6969</v>
      </c>
      <c r="K179" s="70">
        <v>457.1</v>
      </c>
      <c r="L179" s="70">
        <v>7434.8</v>
      </c>
      <c r="M179" s="70">
        <v>287.5</v>
      </c>
      <c r="N179" s="70">
        <v>971.8</v>
      </c>
      <c r="O179" s="70">
        <f t="shared" si="10"/>
        <v>15215.7</v>
      </c>
      <c r="P179" s="70">
        <v>712249</v>
      </c>
      <c r="Q179" s="70">
        <v>7853</v>
      </c>
      <c r="R179" s="70">
        <v>7523</v>
      </c>
      <c r="S179" s="70">
        <v>3012</v>
      </c>
      <c r="V179" s="75"/>
      <c r="W179" s="73"/>
      <c r="X179" s="73"/>
      <c r="Y179" s="74"/>
      <c r="Z179" s="74"/>
      <c r="AA179" s="74"/>
    </row>
    <row r="180" spans="1:27">
      <c r="A180" s="3">
        <v>42979</v>
      </c>
      <c r="B180">
        <f t="shared" si="9"/>
        <v>2017</v>
      </c>
      <c r="C180" s="3" t="str">
        <f t="shared" si="11"/>
        <v>Q3</v>
      </c>
      <c r="D180" s="138">
        <v>7144.8</v>
      </c>
      <c r="E180" s="138">
        <v>7193.4</v>
      </c>
      <c r="F180" s="138">
        <v>244.6</v>
      </c>
      <c r="G180" s="138">
        <v>246.3</v>
      </c>
      <c r="H180" s="70">
        <v>711695.1</v>
      </c>
      <c r="I180" s="70">
        <v>7780.9</v>
      </c>
      <c r="J180" s="70">
        <v>6969</v>
      </c>
      <c r="K180" s="70">
        <v>457.1</v>
      </c>
      <c r="L180" s="70">
        <v>7434.8</v>
      </c>
      <c r="M180" s="70">
        <v>287.5</v>
      </c>
      <c r="N180" s="70">
        <v>971.8</v>
      </c>
      <c r="O180" s="70">
        <f t="shared" si="10"/>
        <v>15215.7</v>
      </c>
      <c r="P180" s="70">
        <v>712249</v>
      </c>
      <c r="Q180" s="70">
        <v>7853</v>
      </c>
      <c r="R180" s="70">
        <v>7523</v>
      </c>
      <c r="S180" s="70">
        <v>3012</v>
      </c>
      <c r="V180" s="75"/>
      <c r="W180" s="73"/>
      <c r="X180" s="73"/>
      <c r="Y180" s="74"/>
      <c r="Z180" s="74"/>
      <c r="AA180" s="74"/>
    </row>
    <row r="181" spans="1:27">
      <c r="A181" s="139">
        <v>43009</v>
      </c>
      <c r="B181">
        <f t="shared" si="9"/>
        <v>2017</v>
      </c>
      <c r="C181" s="3" t="str">
        <f t="shared" si="11"/>
        <v>Q4</v>
      </c>
      <c r="D181" s="138">
        <v>7161</v>
      </c>
      <c r="E181" s="138">
        <v>7185.2</v>
      </c>
      <c r="F181" s="138">
        <v>244</v>
      </c>
      <c r="G181" s="138">
        <v>244.7</v>
      </c>
      <c r="H181" s="70">
        <v>711695.1</v>
      </c>
      <c r="I181" s="70">
        <v>7780.9</v>
      </c>
      <c r="J181" s="70">
        <v>6969</v>
      </c>
      <c r="K181" s="70">
        <v>457.1</v>
      </c>
      <c r="L181" s="70">
        <v>7434.8</v>
      </c>
      <c r="M181" s="70">
        <v>287.5</v>
      </c>
      <c r="N181" s="70">
        <v>971.8</v>
      </c>
      <c r="O181" s="70">
        <f t="shared" si="10"/>
        <v>15215.7</v>
      </c>
      <c r="P181" s="70">
        <v>718200</v>
      </c>
      <c r="Q181" s="70">
        <v>7964</v>
      </c>
      <c r="R181" s="70">
        <v>7205</v>
      </c>
      <c r="S181" s="70">
        <v>2949</v>
      </c>
      <c r="V181" s="75"/>
      <c r="W181" s="73"/>
      <c r="X181" s="73"/>
      <c r="Y181" s="74"/>
      <c r="Z181" s="74"/>
      <c r="AA181" s="74"/>
    </row>
    <row r="182" spans="1:27">
      <c r="A182" s="139">
        <v>43040</v>
      </c>
      <c r="B182">
        <f t="shared" si="9"/>
        <v>2017</v>
      </c>
      <c r="C182" s="3" t="str">
        <f t="shared" si="11"/>
        <v>Q4</v>
      </c>
      <c r="D182" s="138">
        <v>7184.7</v>
      </c>
      <c r="E182" s="138">
        <v>7186</v>
      </c>
      <c r="F182" s="138">
        <v>248.1</v>
      </c>
      <c r="G182" s="138">
        <v>245.9</v>
      </c>
      <c r="H182" s="70">
        <v>711695.1</v>
      </c>
      <c r="I182" s="70">
        <v>7780.9</v>
      </c>
      <c r="J182" s="70">
        <v>6969</v>
      </c>
      <c r="K182" s="70">
        <v>457.1</v>
      </c>
      <c r="L182" s="70">
        <v>7434.8</v>
      </c>
      <c r="M182" s="70">
        <v>287.5</v>
      </c>
      <c r="N182" s="70">
        <v>971.8</v>
      </c>
      <c r="O182" s="70">
        <f t="shared" si="10"/>
        <v>15215.7</v>
      </c>
      <c r="P182" s="70">
        <v>718200</v>
      </c>
      <c r="Q182" s="70">
        <v>7964</v>
      </c>
      <c r="R182" s="70">
        <v>7205</v>
      </c>
      <c r="S182" s="70">
        <v>2949</v>
      </c>
      <c r="V182" s="75"/>
      <c r="W182" s="73"/>
      <c r="X182" s="73"/>
      <c r="Y182" s="74"/>
      <c r="Z182" s="74"/>
      <c r="AA182" s="74"/>
    </row>
    <row r="183" spans="1:27">
      <c r="A183" s="139">
        <v>43070</v>
      </c>
      <c r="B183">
        <f t="shared" si="9"/>
        <v>2017</v>
      </c>
      <c r="C183" s="3" t="str">
        <f t="shared" si="11"/>
        <v>Q4</v>
      </c>
      <c r="D183" s="138">
        <v>7199.5</v>
      </c>
      <c r="E183" s="138">
        <v>7206.8</v>
      </c>
      <c r="F183" s="138">
        <v>249.3</v>
      </c>
      <c r="G183" s="138">
        <v>246.8</v>
      </c>
      <c r="H183" s="70">
        <v>711695.1</v>
      </c>
      <c r="I183" s="70">
        <v>7780.9</v>
      </c>
      <c r="J183" s="70">
        <v>6969</v>
      </c>
      <c r="K183" s="70">
        <v>457.1</v>
      </c>
      <c r="L183" s="70">
        <v>7434.8</v>
      </c>
      <c r="M183" s="70">
        <v>287.5</v>
      </c>
      <c r="N183" s="70">
        <v>971.8</v>
      </c>
      <c r="O183" s="70">
        <f t="shared" si="10"/>
        <v>15215.7</v>
      </c>
      <c r="P183" s="70">
        <v>718200</v>
      </c>
      <c r="Q183" s="70">
        <v>7964</v>
      </c>
      <c r="R183" s="70">
        <v>7205</v>
      </c>
      <c r="S183" s="70">
        <v>2949</v>
      </c>
      <c r="V183" s="75"/>
      <c r="W183" s="73"/>
      <c r="X183" s="73"/>
      <c r="Y183" s="74"/>
      <c r="Z183" s="74"/>
      <c r="AA183" s="74"/>
    </row>
    <row r="184" spans="1:27">
      <c r="A184" s="139">
        <v>43101</v>
      </c>
      <c r="B184">
        <f t="shared" si="9"/>
        <v>2018</v>
      </c>
      <c r="C184" s="3" t="str">
        <f t="shared" si="11"/>
        <v>Q1</v>
      </c>
      <c r="D184" s="138">
        <v>7199.4</v>
      </c>
      <c r="E184" s="138">
        <v>7167.3</v>
      </c>
      <c r="F184" s="138">
        <v>249.9</v>
      </c>
      <c r="G184" s="138">
        <v>246.6</v>
      </c>
      <c r="H184" s="70">
        <v>735936.1</v>
      </c>
      <c r="I184" s="70">
        <v>7987.4</v>
      </c>
      <c r="J184" s="70">
        <v>7214.6</v>
      </c>
      <c r="K184" s="70">
        <v>447.7</v>
      </c>
      <c r="L184" s="70">
        <v>7389.6</v>
      </c>
      <c r="M184" s="70">
        <v>277</v>
      </c>
      <c r="N184" s="70">
        <v>1087</v>
      </c>
      <c r="O184" s="70">
        <f t="shared" si="10"/>
        <v>15377</v>
      </c>
      <c r="P184" s="70">
        <v>726015</v>
      </c>
      <c r="Q184" s="70">
        <v>7981</v>
      </c>
      <c r="R184" s="70">
        <v>7309</v>
      </c>
      <c r="S184" s="70">
        <v>3134</v>
      </c>
      <c r="V184" s="75"/>
      <c r="W184" s="73"/>
      <c r="X184" s="73"/>
      <c r="Y184" s="74"/>
      <c r="Z184" s="74"/>
      <c r="AA184" s="74"/>
    </row>
    <row r="185" spans="1:27">
      <c r="A185" s="139">
        <v>43132</v>
      </c>
      <c r="B185">
        <f t="shared" si="9"/>
        <v>2018</v>
      </c>
      <c r="C185" s="3" t="str">
        <f t="shared" si="11"/>
        <v>Q1</v>
      </c>
      <c r="D185" s="138">
        <v>7188.9</v>
      </c>
      <c r="E185" s="138">
        <v>7120.1</v>
      </c>
      <c r="F185" s="138">
        <v>251.7</v>
      </c>
      <c r="G185" s="138">
        <v>249</v>
      </c>
      <c r="H185" s="70">
        <v>735936.1</v>
      </c>
      <c r="I185" s="70">
        <v>7987.4</v>
      </c>
      <c r="J185" s="70">
        <v>7214.6</v>
      </c>
      <c r="K185" s="70">
        <v>447.7</v>
      </c>
      <c r="L185" s="70">
        <v>7389.6</v>
      </c>
      <c r="M185" s="70">
        <v>277</v>
      </c>
      <c r="N185" s="70">
        <v>1087</v>
      </c>
      <c r="O185" s="70">
        <f t="shared" si="10"/>
        <v>15377</v>
      </c>
      <c r="P185" s="70">
        <v>726015</v>
      </c>
      <c r="Q185" s="70">
        <v>7981</v>
      </c>
      <c r="R185" s="70">
        <v>7309</v>
      </c>
      <c r="S185" s="70">
        <v>3134</v>
      </c>
      <c r="V185" s="75"/>
      <c r="W185" s="73"/>
      <c r="X185" s="73"/>
      <c r="Y185" s="74"/>
      <c r="Z185" s="74"/>
      <c r="AA185" s="74"/>
    </row>
    <row r="186" spans="1:27">
      <c r="A186" s="139">
        <v>43160</v>
      </c>
      <c r="B186">
        <f t="shared" si="9"/>
        <v>2018</v>
      </c>
      <c r="C186" s="3" t="str">
        <f t="shared" si="11"/>
        <v>Q1</v>
      </c>
      <c r="D186" s="138">
        <v>7188.8</v>
      </c>
      <c r="E186" s="138">
        <v>7084.1</v>
      </c>
      <c r="F186" s="138">
        <v>253.9</v>
      </c>
      <c r="G186" s="138">
        <v>250.6</v>
      </c>
      <c r="H186" s="70">
        <v>735936.1</v>
      </c>
      <c r="I186" s="70">
        <v>7987.4</v>
      </c>
      <c r="J186" s="70">
        <v>7214.6</v>
      </c>
      <c r="K186" s="70">
        <v>447.7</v>
      </c>
      <c r="L186" s="70">
        <v>7389.6</v>
      </c>
      <c r="M186" s="70">
        <v>277</v>
      </c>
      <c r="N186" s="70">
        <v>1087</v>
      </c>
      <c r="O186" s="70">
        <f t="shared" si="10"/>
        <v>15377</v>
      </c>
      <c r="P186" s="70">
        <v>726015</v>
      </c>
      <c r="Q186" s="70">
        <v>7981</v>
      </c>
      <c r="R186" s="70">
        <v>7309</v>
      </c>
      <c r="S186" s="70">
        <v>3134</v>
      </c>
      <c r="V186" s="75"/>
      <c r="W186" s="73"/>
      <c r="X186" s="73"/>
      <c r="Y186" s="74"/>
      <c r="Z186" s="74"/>
      <c r="AA186" s="74"/>
    </row>
    <row r="187" spans="1:27">
      <c r="A187" s="139">
        <v>43191</v>
      </c>
      <c r="B187">
        <f t="shared" si="9"/>
        <v>2018</v>
      </c>
      <c r="C187" s="3" t="str">
        <f t="shared" si="11"/>
        <v>Q2</v>
      </c>
      <c r="D187" s="138">
        <v>7201.1</v>
      </c>
      <c r="E187" s="138">
        <v>7111.6</v>
      </c>
      <c r="F187" s="138">
        <v>257.39999999999998</v>
      </c>
      <c r="G187" s="138">
        <v>253.2</v>
      </c>
      <c r="H187" s="70">
        <v>735936.1</v>
      </c>
      <c r="I187" s="70">
        <v>7987.4</v>
      </c>
      <c r="J187" s="70">
        <v>7214.6</v>
      </c>
      <c r="K187" s="70">
        <v>447.7</v>
      </c>
      <c r="L187" s="70">
        <v>7389.6</v>
      </c>
      <c r="M187" s="70">
        <v>277</v>
      </c>
      <c r="N187" s="70">
        <v>1087</v>
      </c>
      <c r="O187" s="70">
        <f t="shared" si="10"/>
        <v>15377</v>
      </c>
      <c r="P187" s="70">
        <v>731439</v>
      </c>
      <c r="Q187" s="70">
        <v>8038</v>
      </c>
      <c r="R187" s="70">
        <v>7479</v>
      </c>
      <c r="S187" s="70">
        <v>3201</v>
      </c>
      <c r="V187" s="75"/>
      <c r="W187" s="73"/>
      <c r="X187" s="73"/>
      <c r="Y187" s="74"/>
      <c r="Z187" s="74"/>
      <c r="AA187" s="74"/>
    </row>
    <row r="188" spans="1:27">
      <c r="A188" s="139">
        <v>43221</v>
      </c>
      <c r="B188">
        <f t="shared" si="9"/>
        <v>2018</v>
      </c>
      <c r="C188" s="3" t="str">
        <f t="shared" si="11"/>
        <v>Q2</v>
      </c>
      <c r="D188" s="138">
        <v>7208.5</v>
      </c>
      <c r="E188" s="138">
        <v>7176</v>
      </c>
      <c r="F188" s="138">
        <v>257.5</v>
      </c>
      <c r="G188" s="138">
        <v>255.4</v>
      </c>
      <c r="H188" s="70">
        <v>735936.1</v>
      </c>
      <c r="I188" s="70">
        <v>7987.4</v>
      </c>
      <c r="J188" s="70">
        <v>7214.6</v>
      </c>
      <c r="K188" s="70">
        <v>447.7</v>
      </c>
      <c r="L188" s="70">
        <v>7389.6</v>
      </c>
      <c r="M188" s="70">
        <v>277</v>
      </c>
      <c r="N188" s="70">
        <v>1087</v>
      </c>
      <c r="O188" s="70">
        <f t="shared" si="10"/>
        <v>15377</v>
      </c>
      <c r="P188" s="70">
        <v>731439</v>
      </c>
      <c r="Q188" s="70">
        <v>8038</v>
      </c>
      <c r="R188" s="70">
        <v>7479</v>
      </c>
      <c r="S188" s="70">
        <v>3201</v>
      </c>
      <c r="V188" s="75"/>
      <c r="W188" s="73"/>
      <c r="X188" s="73"/>
      <c r="Y188" s="74"/>
      <c r="Z188" s="74"/>
      <c r="AA188" s="74"/>
    </row>
    <row r="189" spans="1:27">
      <c r="A189" s="139">
        <v>43252</v>
      </c>
      <c r="B189">
        <f t="shared" si="9"/>
        <v>2018</v>
      </c>
      <c r="C189" s="3" t="str">
        <f t="shared" si="11"/>
        <v>Q2</v>
      </c>
      <c r="D189" s="138">
        <v>7221.1</v>
      </c>
      <c r="E189" s="138">
        <v>7264.3</v>
      </c>
      <c r="F189" s="138">
        <v>256.60000000000002</v>
      </c>
      <c r="G189" s="138">
        <v>259.3</v>
      </c>
      <c r="H189" s="70">
        <v>735936.1</v>
      </c>
      <c r="I189" s="70">
        <v>7987.4</v>
      </c>
      <c r="J189" s="70">
        <v>7214.6</v>
      </c>
      <c r="K189" s="70">
        <v>447.7</v>
      </c>
      <c r="L189" s="70">
        <v>7389.6</v>
      </c>
      <c r="M189" s="70">
        <v>277</v>
      </c>
      <c r="N189" s="70">
        <v>1087</v>
      </c>
      <c r="O189" s="70">
        <f t="shared" si="10"/>
        <v>15377</v>
      </c>
      <c r="P189" s="70">
        <v>731439</v>
      </c>
      <c r="Q189" s="70">
        <v>8038</v>
      </c>
      <c r="R189" s="70">
        <v>7479</v>
      </c>
      <c r="S189" s="70">
        <v>3201</v>
      </c>
      <c r="V189" s="75"/>
      <c r="W189" s="73"/>
      <c r="X189" s="73"/>
      <c r="Y189" s="74"/>
      <c r="Z189" s="74"/>
      <c r="AA189" s="74"/>
    </row>
    <row r="190" spans="1:27">
      <c r="A190" s="139">
        <v>43282</v>
      </c>
      <c r="B190">
        <f t="shared" si="9"/>
        <v>2018</v>
      </c>
      <c r="C190" s="3" t="str">
        <f t="shared" si="11"/>
        <v>Q3</v>
      </c>
      <c r="D190" s="138">
        <v>7255</v>
      </c>
      <c r="E190" s="138">
        <v>7345.7</v>
      </c>
      <c r="F190" s="138">
        <v>257.10000000000002</v>
      </c>
      <c r="G190" s="138">
        <v>263.3</v>
      </c>
      <c r="H190" s="70">
        <v>735936.1</v>
      </c>
      <c r="I190" s="70">
        <v>7987.4</v>
      </c>
      <c r="J190" s="70">
        <v>7214.6</v>
      </c>
      <c r="K190" s="70">
        <v>447.7</v>
      </c>
      <c r="L190" s="70">
        <v>7389.6</v>
      </c>
      <c r="M190" s="70">
        <v>277</v>
      </c>
      <c r="N190" s="70">
        <v>1087</v>
      </c>
      <c r="O190" s="70">
        <f t="shared" si="10"/>
        <v>15377</v>
      </c>
      <c r="P190" s="70">
        <v>740407</v>
      </c>
      <c r="Q190" s="70">
        <v>8003</v>
      </c>
      <c r="R190" s="70">
        <v>7329</v>
      </c>
      <c r="S190" s="70">
        <v>3290</v>
      </c>
      <c r="V190" s="75"/>
      <c r="W190" s="73"/>
      <c r="X190" s="73"/>
      <c r="Y190" s="74"/>
      <c r="Z190" s="74"/>
      <c r="AA190" s="74"/>
    </row>
    <row r="191" spans="1:27">
      <c r="A191" s="139">
        <v>43313</v>
      </c>
      <c r="B191">
        <f t="shared" si="9"/>
        <v>2018</v>
      </c>
      <c r="C191" s="3" t="str">
        <f t="shared" si="11"/>
        <v>Q3</v>
      </c>
      <c r="D191" s="138">
        <v>7266.2</v>
      </c>
      <c r="E191" s="138">
        <v>7359.5</v>
      </c>
      <c r="F191" s="138">
        <v>258.3</v>
      </c>
      <c r="G191" s="138">
        <v>264.60000000000002</v>
      </c>
      <c r="H191" s="70">
        <v>735936.1</v>
      </c>
      <c r="I191" s="70">
        <v>7987.4</v>
      </c>
      <c r="J191" s="70">
        <v>7214.6</v>
      </c>
      <c r="K191" s="70">
        <v>447.7</v>
      </c>
      <c r="L191" s="70">
        <v>7389.6</v>
      </c>
      <c r="M191" s="70">
        <v>277</v>
      </c>
      <c r="N191" s="70">
        <v>1087</v>
      </c>
      <c r="O191" s="70">
        <f t="shared" si="10"/>
        <v>15377</v>
      </c>
      <c r="P191" s="70">
        <v>740407</v>
      </c>
      <c r="Q191" s="70">
        <v>8003</v>
      </c>
      <c r="R191" s="70">
        <v>7329</v>
      </c>
      <c r="S191" s="70">
        <v>3290</v>
      </c>
      <c r="V191" s="75"/>
      <c r="W191" s="73"/>
      <c r="X191" s="73"/>
      <c r="Y191" s="74"/>
      <c r="Z191" s="74"/>
      <c r="AA191" s="74"/>
    </row>
    <row r="192" spans="1:27">
      <c r="A192" s="139">
        <v>43344</v>
      </c>
      <c r="B192">
        <f t="shared" si="9"/>
        <v>2018</v>
      </c>
      <c r="C192" s="3" t="str">
        <f t="shared" si="11"/>
        <v>Q3</v>
      </c>
      <c r="D192" s="138">
        <v>7279.6</v>
      </c>
      <c r="E192" s="138">
        <v>7324.4</v>
      </c>
      <c r="F192" s="138">
        <v>260.60000000000002</v>
      </c>
      <c r="G192" s="138">
        <v>263.3</v>
      </c>
      <c r="H192" s="70">
        <v>735936.1</v>
      </c>
      <c r="I192" s="70">
        <v>7987.4</v>
      </c>
      <c r="J192" s="70">
        <v>7214.6</v>
      </c>
      <c r="K192" s="70">
        <v>447.7</v>
      </c>
      <c r="L192" s="70">
        <v>7389.6</v>
      </c>
      <c r="M192" s="70">
        <v>277</v>
      </c>
      <c r="N192" s="70">
        <v>1087</v>
      </c>
      <c r="O192" s="70">
        <f t="shared" si="10"/>
        <v>15377</v>
      </c>
      <c r="P192" s="70">
        <v>740407</v>
      </c>
      <c r="Q192" s="70">
        <v>8003</v>
      </c>
      <c r="R192" s="70">
        <v>7329</v>
      </c>
      <c r="S192" s="70">
        <v>3290</v>
      </c>
      <c r="V192" s="75"/>
      <c r="W192" s="73"/>
      <c r="X192" s="73"/>
      <c r="Y192" s="74"/>
      <c r="Z192" s="74"/>
      <c r="AA192" s="74"/>
    </row>
    <row r="193" spans="1:27">
      <c r="A193" s="139">
        <v>43374</v>
      </c>
      <c r="B193">
        <f t="shared" si="9"/>
        <v>2018</v>
      </c>
      <c r="C193" s="3" t="str">
        <f t="shared" si="11"/>
        <v>Q4</v>
      </c>
      <c r="D193" s="138">
        <v>7270.3</v>
      </c>
      <c r="E193" s="138">
        <v>7290.6</v>
      </c>
      <c r="F193" s="138">
        <v>261.2</v>
      </c>
      <c r="G193" s="138">
        <v>261.8</v>
      </c>
      <c r="H193" s="70">
        <v>735936.1</v>
      </c>
      <c r="I193" s="70">
        <v>7987.4</v>
      </c>
      <c r="J193" s="70">
        <v>7214.6</v>
      </c>
      <c r="K193" s="70">
        <v>447.7</v>
      </c>
      <c r="L193" s="70">
        <v>7389.6</v>
      </c>
      <c r="M193" s="70">
        <v>277</v>
      </c>
      <c r="N193" s="70">
        <v>1087</v>
      </c>
      <c r="O193" s="70">
        <f t="shared" si="10"/>
        <v>15377</v>
      </c>
      <c r="P193" s="70">
        <v>745883</v>
      </c>
      <c r="Q193" s="70">
        <v>7928</v>
      </c>
      <c r="R193" s="70">
        <v>7441</v>
      </c>
      <c r="S193" s="70">
        <v>3329</v>
      </c>
      <c r="V193" s="75"/>
      <c r="W193" s="73"/>
      <c r="X193" s="73"/>
      <c r="Y193" s="74"/>
      <c r="Z193" s="74"/>
      <c r="AA193" s="74"/>
    </row>
    <row r="194" spans="1:27">
      <c r="A194" s="139">
        <v>43405</v>
      </c>
      <c r="B194">
        <f t="shared" si="9"/>
        <v>2018</v>
      </c>
      <c r="C194" s="3" t="str">
        <f t="shared" si="11"/>
        <v>Q4</v>
      </c>
      <c r="D194" s="138">
        <v>7290</v>
      </c>
      <c r="E194" s="138">
        <v>7288.9</v>
      </c>
      <c r="F194" s="138">
        <v>259.3</v>
      </c>
      <c r="G194" s="138">
        <v>257</v>
      </c>
      <c r="H194" s="70">
        <v>735936.1</v>
      </c>
      <c r="I194" s="70">
        <v>7987.4</v>
      </c>
      <c r="J194" s="70">
        <v>7214.6</v>
      </c>
      <c r="K194" s="70">
        <v>447.7</v>
      </c>
      <c r="L194" s="70">
        <v>7389.6</v>
      </c>
      <c r="M194" s="70">
        <v>277</v>
      </c>
      <c r="N194" s="70">
        <v>1087</v>
      </c>
      <c r="O194" s="70">
        <f t="shared" si="10"/>
        <v>15377</v>
      </c>
      <c r="P194" s="70">
        <v>745883</v>
      </c>
      <c r="Q194" s="70">
        <v>7928</v>
      </c>
      <c r="R194" s="70">
        <v>7441</v>
      </c>
      <c r="S194" s="70">
        <v>3329</v>
      </c>
      <c r="V194" s="75"/>
      <c r="W194" s="73"/>
      <c r="X194" s="73"/>
      <c r="Y194" s="74"/>
      <c r="Z194" s="74"/>
      <c r="AA194" s="74"/>
    </row>
    <row r="195" spans="1:27">
      <c r="A195" s="139">
        <v>43435</v>
      </c>
      <c r="B195">
        <f t="shared" si="9"/>
        <v>2018</v>
      </c>
      <c r="C195" s="3" t="str">
        <f t="shared" si="11"/>
        <v>Q4</v>
      </c>
      <c r="D195" s="138">
        <v>7300.1</v>
      </c>
      <c r="E195" s="138">
        <v>7310.7</v>
      </c>
      <c r="F195" s="138">
        <v>258.60000000000002</v>
      </c>
      <c r="G195" s="138">
        <v>255.8</v>
      </c>
      <c r="H195" s="70">
        <v>735936.1</v>
      </c>
      <c r="I195" s="70">
        <v>7987.4</v>
      </c>
      <c r="J195" s="70">
        <v>7214.6</v>
      </c>
      <c r="K195" s="70">
        <v>447.7</v>
      </c>
      <c r="L195" s="70">
        <v>7389.6</v>
      </c>
      <c r="M195" s="70">
        <v>277</v>
      </c>
      <c r="N195" s="70">
        <v>1087</v>
      </c>
      <c r="O195" s="70">
        <f t="shared" si="10"/>
        <v>15377</v>
      </c>
      <c r="P195" s="70">
        <v>745883</v>
      </c>
      <c r="Q195" s="70">
        <v>7928</v>
      </c>
      <c r="R195" s="70">
        <v>7441</v>
      </c>
      <c r="S195" s="70">
        <v>3329</v>
      </c>
      <c r="V195" s="75"/>
      <c r="W195" s="73"/>
      <c r="X195" s="73"/>
      <c r="Y195" s="74"/>
      <c r="Z195" s="74"/>
      <c r="AA195" s="74"/>
    </row>
    <row r="196" spans="1:27">
      <c r="A196" s="139">
        <v>43466</v>
      </c>
      <c r="B196">
        <f t="shared" si="9"/>
        <v>2019</v>
      </c>
      <c r="C196" s="3" t="str">
        <f t="shared" si="11"/>
        <v>Q1</v>
      </c>
      <c r="D196" s="138">
        <v>7318</v>
      </c>
      <c r="E196" s="138">
        <v>7289.4</v>
      </c>
      <c r="F196" s="138">
        <v>258.39999999999998</v>
      </c>
      <c r="G196" s="138">
        <v>254.9</v>
      </c>
      <c r="H196" s="70">
        <v>752393.2</v>
      </c>
      <c r="I196" s="70">
        <v>8330.9</v>
      </c>
      <c r="J196" s="70">
        <v>7605</v>
      </c>
      <c r="K196" s="70">
        <v>443.8</v>
      </c>
      <c r="L196" s="70">
        <v>7208.6</v>
      </c>
      <c r="M196" s="70">
        <v>274.8</v>
      </c>
      <c r="N196" s="70">
        <v>1005.5</v>
      </c>
      <c r="O196" s="70">
        <f t="shared" si="10"/>
        <v>15539.5</v>
      </c>
      <c r="P196" s="70">
        <v>746653</v>
      </c>
      <c r="Q196" s="70">
        <v>8035</v>
      </c>
      <c r="R196" s="70">
        <v>7111</v>
      </c>
      <c r="S196" s="70">
        <v>3296</v>
      </c>
      <c r="V196" s="75"/>
      <c r="W196" s="73"/>
      <c r="X196" s="73"/>
      <c r="Y196" s="74"/>
      <c r="Z196" s="74"/>
      <c r="AA196" s="74"/>
    </row>
    <row r="197" spans="1:27">
      <c r="A197" s="139">
        <v>43497</v>
      </c>
      <c r="B197">
        <f t="shared" ref="B197:B255" si="12">YEAR(A197)</f>
        <v>2019</v>
      </c>
      <c r="C197" s="3" t="str">
        <f t="shared" si="11"/>
        <v>Q1</v>
      </c>
      <c r="D197" s="138">
        <v>7345.4</v>
      </c>
      <c r="E197" s="138">
        <v>7278.4</v>
      </c>
      <c r="F197" s="138">
        <v>257.39999999999998</v>
      </c>
      <c r="G197" s="138">
        <v>254.6</v>
      </c>
      <c r="H197" s="70">
        <v>752393.2</v>
      </c>
      <c r="I197" s="70">
        <v>8330.9</v>
      </c>
      <c r="J197" s="70">
        <v>7605</v>
      </c>
      <c r="K197" s="70">
        <v>443.8</v>
      </c>
      <c r="L197" s="70">
        <v>7208.6</v>
      </c>
      <c r="M197" s="70">
        <v>274.8</v>
      </c>
      <c r="N197" s="70">
        <v>1005.5</v>
      </c>
      <c r="O197" s="70">
        <f t="shared" ref="O197:O232" si="13">L197+I197</f>
        <v>15539.5</v>
      </c>
      <c r="P197" s="70">
        <v>746653</v>
      </c>
      <c r="Q197" s="70">
        <v>8035</v>
      </c>
      <c r="R197" s="70">
        <v>7111</v>
      </c>
      <c r="S197" s="70">
        <v>3296</v>
      </c>
      <c r="V197" s="75"/>
      <c r="W197" s="73"/>
      <c r="X197" s="73"/>
      <c r="Y197" s="74"/>
      <c r="Z197" s="74"/>
      <c r="AA197" s="74"/>
    </row>
    <row r="198" spans="1:27">
      <c r="A198" s="139">
        <v>43525</v>
      </c>
      <c r="B198">
        <f t="shared" si="12"/>
        <v>2019</v>
      </c>
      <c r="C198" s="3" t="str">
        <f t="shared" si="11"/>
        <v>Q1</v>
      </c>
      <c r="D198" s="138">
        <v>7361.3</v>
      </c>
      <c r="E198" s="138">
        <v>7256.9</v>
      </c>
      <c r="F198" s="138">
        <v>255.3</v>
      </c>
      <c r="G198" s="138">
        <v>252</v>
      </c>
      <c r="H198" s="70">
        <v>752393.2</v>
      </c>
      <c r="I198" s="70">
        <v>8330.9</v>
      </c>
      <c r="J198" s="70">
        <v>7605</v>
      </c>
      <c r="K198" s="70">
        <v>443.8</v>
      </c>
      <c r="L198" s="70">
        <v>7208.6</v>
      </c>
      <c r="M198" s="70">
        <v>274.8</v>
      </c>
      <c r="N198" s="70">
        <v>1005.5</v>
      </c>
      <c r="O198" s="70">
        <f t="shared" si="13"/>
        <v>15539.5</v>
      </c>
      <c r="P198" s="70">
        <v>746653</v>
      </c>
      <c r="Q198" s="70">
        <v>8035</v>
      </c>
      <c r="R198" s="70">
        <v>7111</v>
      </c>
      <c r="S198" s="70">
        <v>3296</v>
      </c>
      <c r="V198" s="75"/>
      <c r="W198" s="73"/>
      <c r="X198" s="73"/>
      <c r="Y198" s="74"/>
      <c r="Z198" s="74"/>
      <c r="AA198" s="74"/>
    </row>
    <row r="199" spans="1:27">
      <c r="A199" s="139">
        <v>43556</v>
      </c>
      <c r="B199">
        <f t="shared" si="12"/>
        <v>2019</v>
      </c>
      <c r="C199" s="3" t="str">
        <f t="shared" si="11"/>
        <v>Q2</v>
      </c>
      <c r="D199" s="138">
        <v>7382.3</v>
      </c>
      <c r="E199" s="138">
        <v>7294</v>
      </c>
      <c r="F199" s="138">
        <v>253.3</v>
      </c>
      <c r="G199" s="138">
        <v>249.6</v>
      </c>
      <c r="H199" s="70">
        <v>752393.2</v>
      </c>
      <c r="I199" s="70">
        <v>8330.9</v>
      </c>
      <c r="J199" s="70">
        <v>7605</v>
      </c>
      <c r="K199" s="70">
        <v>443.8</v>
      </c>
      <c r="L199" s="70">
        <v>7208.6</v>
      </c>
      <c r="M199" s="70">
        <v>274.8</v>
      </c>
      <c r="N199" s="70">
        <v>1005.5</v>
      </c>
      <c r="O199" s="70">
        <f t="shared" si="13"/>
        <v>15539.5</v>
      </c>
      <c r="P199" s="70">
        <v>751916</v>
      </c>
      <c r="Q199" s="70">
        <v>8279</v>
      </c>
      <c r="R199" s="70">
        <v>7388</v>
      </c>
      <c r="S199" s="70">
        <v>3420</v>
      </c>
      <c r="V199" s="75"/>
      <c r="W199" s="73"/>
      <c r="X199" s="73"/>
      <c r="Y199" s="74"/>
      <c r="Z199" s="74"/>
      <c r="AA199" s="74"/>
    </row>
    <row r="200" spans="1:27">
      <c r="A200" s="139">
        <v>43586</v>
      </c>
      <c r="B200">
        <f t="shared" si="12"/>
        <v>2019</v>
      </c>
      <c r="C200" s="3" t="str">
        <f t="shared" si="11"/>
        <v>Q2</v>
      </c>
      <c r="D200" s="138">
        <v>7398.9</v>
      </c>
      <c r="E200" s="138">
        <v>7366.8</v>
      </c>
      <c r="F200" s="138">
        <v>249.2</v>
      </c>
      <c r="G200" s="138">
        <v>247.3</v>
      </c>
      <c r="H200" s="70">
        <v>752393.2</v>
      </c>
      <c r="I200" s="70">
        <v>8330.9</v>
      </c>
      <c r="J200" s="70">
        <v>7605</v>
      </c>
      <c r="K200" s="70">
        <v>443.8</v>
      </c>
      <c r="L200" s="70">
        <v>7208.6</v>
      </c>
      <c r="M200" s="70">
        <v>274.8</v>
      </c>
      <c r="N200" s="70">
        <v>1005.5</v>
      </c>
      <c r="O200" s="70">
        <f t="shared" si="13"/>
        <v>15539.5</v>
      </c>
      <c r="P200" s="70">
        <v>751916</v>
      </c>
      <c r="Q200" s="70">
        <v>8279</v>
      </c>
      <c r="R200" s="70">
        <v>7388</v>
      </c>
      <c r="S200" s="70">
        <v>3420</v>
      </c>
      <c r="V200" s="75"/>
      <c r="W200" s="73"/>
      <c r="X200" s="73"/>
      <c r="Y200" s="74"/>
      <c r="Z200" s="74"/>
      <c r="AA200" s="74"/>
    </row>
    <row r="201" spans="1:27">
      <c r="A201" s="139">
        <v>43617</v>
      </c>
      <c r="B201">
        <f t="shared" si="12"/>
        <v>2019</v>
      </c>
      <c r="C201" s="3" t="str">
        <f t="shared" si="11"/>
        <v>Q2</v>
      </c>
      <c r="D201" s="138">
        <v>7420.3</v>
      </c>
      <c r="E201" s="138">
        <v>7460.9</v>
      </c>
      <c r="F201" s="138">
        <v>248.2</v>
      </c>
      <c r="G201" s="138">
        <v>250.5</v>
      </c>
      <c r="H201" s="70">
        <v>752393.2</v>
      </c>
      <c r="I201" s="70">
        <v>8330.9</v>
      </c>
      <c r="J201" s="70">
        <v>7605</v>
      </c>
      <c r="K201" s="70">
        <v>443.8</v>
      </c>
      <c r="L201" s="70">
        <v>7208.6</v>
      </c>
      <c r="M201" s="70">
        <v>274.8</v>
      </c>
      <c r="N201" s="70">
        <v>1005.5</v>
      </c>
      <c r="O201" s="70">
        <f t="shared" si="13"/>
        <v>15539.5</v>
      </c>
      <c r="P201" s="70">
        <v>751916</v>
      </c>
      <c r="Q201" s="70">
        <v>8279</v>
      </c>
      <c r="R201" s="70">
        <v>7388</v>
      </c>
      <c r="S201" s="70">
        <v>3420</v>
      </c>
      <c r="V201" s="75"/>
      <c r="W201" s="73"/>
      <c r="X201" s="73"/>
      <c r="Y201" s="74"/>
      <c r="Z201" s="74"/>
      <c r="AA201" s="74"/>
    </row>
    <row r="202" spans="1:27">
      <c r="A202" s="139">
        <v>43647</v>
      </c>
      <c r="B202">
        <f t="shared" si="12"/>
        <v>2019</v>
      </c>
      <c r="C202" s="3" t="str">
        <f t="shared" si="11"/>
        <v>Q3</v>
      </c>
      <c r="D202" s="138">
        <v>7423.6</v>
      </c>
      <c r="E202" s="138">
        <v>7509.9</v>
      </c>
      <c r="F202" s="138">
        <v>245.7</v>
      </c>
      <c r="G202" s="138">
        <v>250.7</v>
      </c>
      <c r="H202" s="70">
        <v>752393.2</v>
      </c>
      <c r="I202" s="70">
        <v>8330.9</v>
      </c>
      <c r="J202" s="70">
        <v>7605</v>
      </c>
      <c r="K202" s="70">
        <v>443.8</v>
      </c>
      <c r="L202" s="70">
        <v>7208.6</v>
      </c>
      <c r="M202" s="70">
        <v>274.8</v>
      </c>
      <c r="N202" s="70">
        <v>1005.5</v>
      </c>
      <c r="O202" s="70">
        <f t="shared" si="13"/>
        <v>15539.5</v>
      </c>
      <c r="P202" s="70">
        <v>755135</v>
      </c>
      <c r="Q202" s="70">
        <v>8449</v>
      </c>
      <c r="R202" s="70">
        <v>7127</v>
      </c>
      <c r="S202" s="70">
        <v>3366</v>
      </c>
      <c r="V202" s="75"/>
      <c r="W202" s="73"/>
      <c r="X202" s="73"/>
      <c r="Y202" s="74"/>
      <c r="Z202" s="74"/>
      <c r="AA202" s="74"/>
    </row>
    <row r="203" spans="1:27">
      <c r="A203" s="139">
        <v>43678</v>
      </c>
      <c r="B203">
        <f t="shared" si="12"/>
        <v>2019</v>
      </c>
      <c r="C203" s="3" t="str">
        <f t="shared" si="11"/>
        <v>Q3</v>
      </c>
      <c r="D203" s="138">
        <v>7433.8</v>
      </c>
      <c r="E203" s="138">
        <v>7523.3</v>
      </c>
      <c r="F203" s="138">
        <v>250.7</v>
      </c>
      <c r="G203" s="138">
        <v>256.2</v>
      </c>
      <c r="H203" s="70">
        <v>752393.2</v>
      </c>
      <c r="I203" s="70">
        <v>8330.9</v>
      </c>
      <c r="J203" s="70">
        <v>7605</v>
      </c>
      <c r="K203" s="70">
        <v>443.8</v>
      </c>
      <c r="L203" s="70">
        <v>7208.6</v>
      </c>
      <c r="M203" s="70">
        <v>274.8</v>
      </c>
      <c r="N203" s="70">
        <v>1005.5</v>
      </c>
      <c r="O203" s="70">
        <f t="shared" si="13"/>
        <v>15539.5</v>
      </c>
      <c r="P203" s="70">
        <v>755135</v>
      </c>
      <c r="Q203" s="70">
        <v>8449</v>
      </c>
      <c r="R203" s="70">
        <v>7127</v>
      </c>
      <c r="S203" s="70">
        <v>3366</v>
      </c>
      <c r="V203" s="75"/>
      <c r="W203" s="73"/>
      <c r="X203" s="73"/>
      <c r="Y203" s="74"/>
      <c r="Z203" s="74"/>
      <c r="AA203" s="74"/>
    </row>
    <row r="204" spans="1:27">
      <c r="A204" s="139">
        <v>43709</v>
      </c>
      <c r="B204">
        <f t="shared" si="12"/>
        <v>2019</v>
      </c>
      <c r="C204" s="3" t="str">
        <f t="shared" si="11"/>
        <v>Q3</v>
      </c>
      <c r="D204" s="138">
        <v>7448.5</v>
      </c>
      <c r="E204" s="138">
        <v>7505.1</v>
      </c>
      <c r="F204" s="138">
        <v>254.8</v>
      </c>
      <c r="G204" s="138">
        <v>257.3</v>
      </c>
      <c r="H204" s="70">
        <v>752393.2</v>
      </c>
      <c r="I204" s="70">
        <v>8330.9</v>
      </c>
      <c r="J204" s="70">
        <v>7605</v>
      </c>
      <c r="K204" s="70">
        <v>443.8</v>
      </c>
      <c r="L204" s="70">
        <v>7208.6</v>
      </c>
      <c r="M204" s="70">
        <v>274.8</v>
      </c>
      <c r="N204" s="70">
        <v>1005.5</v>
      </c>
      <c r="O204" s="70">
        <f t="shared" si="13"/>
        <v>15539.5</v>
      </c>
      <c r="P204" s="70">
        <v>755135</v>
      </c>
      <c r="Q204" s="70">
        <v>8449</v>
      </c>
      <c r="R204" s="70">
        <v>7127</v>
      </c>
      <c r="S204" s="70">
        <v>3366</v>
      </c>
      <c r="V204" s="75"/>
      <c r="W204" s="73"/>
      <c r="X204" s="73"/>
      <c r="Y204" s="74"/>
      <c r="Z204" s="74"/>
      <c r="AA204" s="74"/>
    </row>
    <row r="205" spans="1:27">
      <c r="A205" s="139">
        <v>43739</v>
      </c>
      <c r="B205">
        <f t="shared" si="12"/>
        <v>2019</v>
      </c>
      <c r="C205" s="3" t="str">
        <f t="shared" si="11"/>
        <v>Q4</v>
      </c>
      <c r="D205" s="138">
        <v>7462.2</v>
      </c>
      <c r="E205" s="138">
        <v>7501.2</v>
      </c>
      <c r="F205" s="138">
        <v>260.39999999999998</v>
      </c>
      <c r="G205" s="138">
        <v>261.3</v>
      </c>
      <c r="H205" s="70">
        <v>752393.2</v>
      </c>
      <c r="I205" s="70">
        <v>8330.9</v>
      </c>
      <c r="J205" s="70">
        <v>7605</v>
      </c>
      <c r="K205" s="70">
        <v>443.8</v>
      </c>
      <c r="L205" s="70">
        <v>7208.6</v>
      </c>
      <c r="M205" s="70">
        <v>274.8</v>
      </c>
      <c r="N205" s="70">
        <v>1005.5</v>
      </c>
      <c r="O205" s="70">
        <f t="shared" si="13"/>
        <v>15539.5</v>
      </c>
      <c r="P205" s="70">
        <v>755868</v>
      </c>
      <c r="Q205" s="70">
        <v>8560</v>
      </c>
      <c r="R205" s="70">
        <v>7208</v>
      </c>
      <c r="S205" s="70">
        <v>3193</v>
      </c>
      <c r="V205" s="75"/>
      <c r="W205" s="73"/>
      <c r="X205" s="73"/>
      <c r="Y205" s="74"/>
      <c r="Z205" s="74"/>
      <c r="AA205" s="74"/>
    </row>
    <row r="206" spans="1:27">
      <c r="A206" s="139">
        <v>43770</v>
      </c>
      <c r="B206">
        <f t="shared" si="12"/>
        <v>2019</v>
      </c>
      <c r="C206" s="3" t="str">
        <f t="shared" si="11"/>
        <v>Q4</v>
      </c>
      <c r="D206" s="138">
        <v>7470.1</v>
      </c>
      <c r="E206" s="138">
        <v>7488.3</v>
      </c>
      <c r="F206" s="138">
        <v>265.7</v>
      </c>
      <c r="G206" s="138">
        <v>265.2</v>
      </c>
      <c r="H206" s="70">
        <v>752393.2</v>
      </c>
      <c r="I206" s="70">
        <v>8330.9</v>
      </c>
      <c r="J206" s="70">
        <v>7605</v>
      </c>
      <c r="K206" s="70">
        <v>443.8</v>
      </c>
      <c r="L206" s="70">
        <v>7208.6</v>
      </c>
      <c r="M206" s="70">
        <v>274.8</v>
      </c>
      <c r="N206" s="70">
        <v>1005.5</v>
      </c>
      <c r="O206" s="70">
        <f t="shared" si="13"/>
        <v>15539.5</v>
      </c>
      <c r="P206" s="70">
        <v>755868</v>
      </c>
      <c r="Q206" s="70">
        <v>8560</v>
      </c>
      <c r="R206" s="70">
        <v>7208</v>
      </c>
      <c r="S206" s="70">
        <v>3193</v>
      </c>
      <c r="V206" s="75"/>
      <c r="W206" s="73"/>
      <c r="X206" s="73"/>
      <c r="Y206" s="74"/>
      <c r="Z206" s="74"/>
      <c r="AA206" s="74"/>
    </row>
    <row r="207" spans="1:27">
      <c r="A207" s="139">
        <v>43800</v>
      </c>
      <c r="B207">
        <f t="shared" si="12"/>
        <v>2019</v>
      </c>
      <c r="C207" s="3" t="str">
        <f t="shared" si="11"/>
        <v>Q4</v>
      </c>
      <c r="D207" s="138">
        <v>7482.6</v>
      </c>
      <c r="E207" s="138">
        <v>7493.8</v>
      </c>
      <c r="F207" s="138">
        <v>266.10000000000002</v>
      </c>
      <c r="G207" s="138">
        <v>264.5</v>
      </c>
      <c r="H207" s="70">
        <v>752393.2</v>
      </c>
      <c r="I207" s="70">
        <v>8330.9</v>
      </c>
      <c r="J207" s="70">
        <v>7605</v>
      </c>
      <c r="K207" s="70">
        <v>443.8</v>
      </c>
      <c r="L207" s="70">
        <v>7208.6</v>
      </c>
      <c r="M207" s="70">
        <v>274.8</v>
      </c>
      <c r="N207" s="70">
        <v>1005.5</v>
      </c>
      <c r="O207" s="70">
        <f t="shared" si="13"/>
        <v>15539.5</v>
      </c>
      <c r="P207" s="70">
        <v>755868</v>
      </c>
      <c r="Q207" s="70">
        <v>8560</v>
      </c>
      <c r="R207" s="70">
        <v>7208</v>
      </c>
      <c r="S207" s="70">
        <v>3193</v>
      </c>
      <c r="V207" s="75"/>
      <c r="W207" s="73"/>
      <c r="X207" s="73"/>
      <c r="Y207" s="74"/>
      <c r="Z207" s="74"/>
      <c r="AA207" s="74"/>
    </row>
    <row r="208" spans="1:27">
      <c r="A208" s="139">
        <v>43831</v>
      </c>
      <c r="B208">
        <f t="shared" si="12"/>
        <v>2020</v>
      </c>
      <c r="C208" s="3" t="str">
        <f t="shared" si="11"/>
        <v>Q1</v>
      </c>
      <c r="D208" s="138">
        <v>7504.9</v>
      </c>
      <c r="E208" s="138">
        <v>7471.6</v>
      </c>
      <c r="F208" s="138">
        <v>268.8</v>
      </c>
      <c r="G208" s="138">
        <v>266.39999999999998</v>
      </c>
      <c r="H208" s="70">
        <v>716151.8</v>
      </c>
      <c r="I208" s="70">
        <v>8734.2999999999993</v>
      </c>
      <c r="J208" s="70">
        <v>8058.6</v>
      </c>
      <c r="K208" s="70">
        <v>436.5</v>
      </c>
      <c r="L208" s="70">
        <v>6462.7</v>
      </c>
      <c r="M208" s="70">
        <v>261.60000000000002</v>
      </c>
      <c r="N208" s="70">
        <v>945</v>
      </c>
      <c r="O208" s="70">
        <f t="shared" si="13"/>
        <v>15197</v>
      </c>
      <c r="P208" s="70">
        <v>744929</v>
      </c>
      <c r="Q208" s="70">
        <v>8332</v>
      </c>
      <c r="R208" s="70">
        <v>7290</v>
      </c>
      <c r="S208" s="70">
        <v>3219</v>
      </c>
      <c r="V208" s="75"/>
      <c r="W208" s="73"/>
      <c r="X208" s="73"/>
      <c r="Y208" s="74"/>
      <c r="Z208" s="74"/>
      <c r="AA208" s="74"/>
    </row>
    <row r="209" spans="1:27">
      <c r="A209" s="139">
        <v>43862</v>
      </c>
      <c r="B209">
        <f t="shared" si="12"/>
        <v>2020</v>
      </c>
      <c r="C209" s="3" t="str">
        <f t="shared" ref="C209:C255" si="14">C197</f>
        <v>Q1</v>
      </c>
      <c r="D209" s="138">
        <v>7512.3</v>
      </c>
      <c r="E209" s="138">
        <v>7442.1</v>
      </c>
      <c r="F209" s="138">
        <v>269.39999999999998</v>
      </c>
      <c r="G209" s="138">
        <v>266</v>
      </c>
      <c r="H209" s="70">
        <v>716151.8</v>
      </c>
      <c r="I209" s="70">
        <v>8734.2999999999993</v>
      </c>
      <c r="J209" s="70">
        <v>8058.6</v>
      </c>
      <c r="K209" s="70">
        <v>436.5</v>
      </c>
      <c r="L209" s="70">
        <v>6462.7</v>
      </c>
      <c r="M209" s="70">
        <v>261.60000000000002</v>
      </c>
      <c r="N209" s="70">
        <v>945</v>
      </c>
      <c r="O209" s="70">
        <f t="shared" si="13"/>
        <v>15197</v>
      </c>
      <c r="P209" s="70">
        <v>744929</v>
      </c>
      <c r="Q209" s="70">
        <v>8332</v>
      </c>
      <c r="R209" s="70">
        <v>7290</v>
      </c>
      <c r="S209" s="70">
        <v>3219</v>
      </c>
      <c r="V209" s="75"/>
      <c r="W209" s="73"/>
      <c r="X209" s="73"/>
      <c r="Y209" s="74"/>
      <c r="Z209" s="74"/>
      <c r="AA209" s="74"/>
    </row>
    <row r="210" spans="1:27">
      <c r="A210" s="139">
        <v>43891</v>
      </c>
      <c r="B210">
        <f t="shared" si="12"/>
        <v>2020</v>
      </c>
      <c r="C210" s="3" t="str">
        <f t="shared" si="14"/>
        <v>Q1</v>
      </c>
      <c r="D210" s="138">
        <v>7358</v>
      </c>
      <c r="E210" s="138">
        <v>7256.2</v>
      </c>
      <c r="F210" s="138">
        <v>266.8</v>
      </c>
      <c r="G210" s="138">
        <v>264.10000000000002</v>
      </c>
      <c r="H210" s="70">
        <v>716151.8</v>
      </c>
      <c r="I210" s="70">
        <v>8734.2999999999993</v>
      </c>
      <c r="J210" s="70">
        <v>8058.6</v>
      </c>
      <c r="K210" s="70">
        <v>436.5</v>
      </c>
      <c r="L210" s="70">
        <v>6462.7</v>
      </c>
      <c r="M210" s="70">
        <v>261.60000000000002</v>
      </c>
      <c r="N210" s="70">
        <v>945</v>
      </c>
      <c r="O210" s="70">
        <f t="shared" si="13"/>
        <v>15197</v>
      </c>
      <c r="P210" s="70">
        <v>744929</v>
      </c>
      <c r="Q210" s="70">
        <v>8332</v>
      </c>
      <c r="R210" s="70">
        <v>7290</v>
      </c>
      <c r="S210" s="70">
        <v>3219</v>
      </c>
      <c r="V210" s="75"/>
      <c r="W210" s="73"/>
      <c r="X210" s="73"/>
      <c r="Y210" s="74"/>
      <c r="Z210" s="74"/>
      <c r="AA210" s="74"/>
    </row>
    <row r="211" spans="1:27">
      <c r="A211" s="139">
        <v>43922</v>
      </c>
      <c r="B211">
        <f t="shared" si="12"/>
        <v>2020</v>
      </c>
      <c r="C211" s="3" t="str">
        <f t="shared" si="14"/>
        <v>Q2</v>
      </c>
      <c r="D211" s="138">
        <v>6963.7</v>
      </c>
      <c r="E211" s="138">
        <v>6885.2</v>
      </c>
      <c r="F211" s="138">
        <v>250.7</v>
      </c>
      <c r="G211" s="138">
        <v>248.2</v>
      </c>
      <c r="H211" s="70">
        <v>716151.8</v>
      </c>
      <c r="I211" s="70">
        <v>8734.2999999999993</v>
      </c>
      <c r="J211" s="70">
        <v>8058.6</v>
      </c>
      <c r="K211" s="70">
        <v>436.5</v>
      </c>
      <c r="L211" s="70">
        <v>6462.7</v>
      </c>
      <c r="M211" s="70">
        <v>261.60000000000002</v>
      </c>
      <c r="N211" s="70">
        <v>945</v>
      </c>
      <c r="O211" s="70">
        <f t="shared" si="13"/>
        <v>15197</v>
      </c>
      <c r="P211" s="70">
        <v>657308</v>
      </c>
      <c r="Q211" s="70">
        <v>8622</v>
      </c>
      <c r="R211" s="70">
        <v>5997</v>
      </c>
      <c r="S211" s="70">
        <v>3067</v>
      </c>
      <c r="V211" s="75"/>
      <c r="W211" s="73"/>
      <c r="X211" s="73"/>
      <c r="Y211" s="74"/>
      <c r="Z211" s="74"/>
      <c r="AA211" s="74"/>
    </row>
    <row r="212" spans="1:27">
      <c r="A212" s="139">
        <v>43952</v>
      </c>
      <c r="B212">
        <f t="shared" si="12"/>
        <v>2020</v>
      </c>
      <c r="C212" s="3" t="str">
        <f t="shared" si="14"/>
        <v>Q2</v>
      </c>
      <c r="D212" s="138">
        <v>6568.2</v>
      </c>
      <c r="E212" s="138">
        <v>6536.7</v>
      </c>
      <c r="F212" s="138">
        <v>239.5</v>
      </c>
      <c r="G212" s="138">
        <v>238.2</v>
      </c>
      <c r="H212" s="70">
        <v>716151.8</v>
      </c>
      <c r="I212" s="70">
        <v>8734.2999999999993</v>
      </c>
      <c r="J212" s="70">
        <v>8058.6</v>
      </c>
      <c r="K212" s="70">
        <v>436.5</v>
      </c>
      <c r="L212" s="70">
        <v>6462.7</v>
      </c>
      <c r="M212" s="70">
        <v>261.60000000000002</v>
      </c>
      <c r="N212" s="70">
        <v>945</v>
      </c>
      <c r="O212" s="70">
        <f t="shared" si="13"/>
        <v>15197</v>
      </c>
      <c r="P212" s="70">
        <v>657308</v>
      </c>
      <c r="Q212" s="70">
        <v>8622</v>
      </c>
      <c r="R212" s="70">
        <v>5997</v>
      </c>
      <c r="S212" s="70">
        <v>3067</v>
      </c>
      <c r="V212" s="75"/>
      <c r="W212" s="73"/>
      <c r="X212" s="73"/>
      <c r="Y212" s="74"/>
      <c r="Z212" s="74"/>
      <c r="AA212" s="74"/>
    </row>
    <row r="213" spans="1:27">
      <c r="A213" s="139">
        <v>43983</v>
      </c>
      <c r="B213">
        <f t="shared" si="12"/>
        <v>2020</v>
      </c>
      <c r="C213" s="3" t="str">
        <f t="shared" si="14"/>
        <v>Q2</v>
      </c>
      <c r="D213" s="138">
        <v>6459.7</v>
      </c>
      <c r="E213" s="138">
        <v>6498.5</v>
      </c>
      <c r="F213" s="138">
        <v>237.9</v>
      </c>
      <c r="G213" s="138">
        <v>240.3</v>
      </c>
      <c r="H213" s="70">
        <v>716151.8</v>
      </c>
      <c r="I213" s="70">
        <v>8734.2999999999993</v>
      </c>
      <c r="J213" s="70">
        <v>8058.6</v>
      </c>
      <c r="K213" s="70">
        <v>436.5</v>
      </c>
      <c r="L213" s="70">
        <v>6462.7</v>
      </c>
      <c r="M213" s="70">
        <v>261.60000000000002</v>
      </c>
      <c r="N213" s="70">
        <v>945</v>
      </c>
      <c r="O213" s="70">
        <f t="shared" si="13"/>
        <v>15197</v>
      </c>
      <c r="P213" s="70">
        <v>657308</v>
      </c>
      <c r="Q213" s="70">
        <v>8622</v>
      </c>
      <c r="R213" s="70">
        <v>5997</v>
      </c>
      <c r="S213" s="70">
        <v>3067</v>
      </c>
      <c r="V213" s="75"/>
      <c r="W213" s="73"/>
      <c r="X213" s="73"/>
      <c r="Y213" s="74"/>
      <c r="Z213" s="74"/>
      <c r="AA213" s="74"/>
    </row>
    <row r="214" spans="1:27">
      <c r="A214" s="139">
        <v>44013</v>
      </c>
      <c r="B214">
        <f t="shared" si="12"/>
        <v>2020</v>
      </c>
      <c r="C214" s="3" t="str">
        <f t="shared" si="14"/>
        <v>Q3</v>
      </c>
      <c r="D214" s="138">
        <v>6643.5</v>
      </c>
      <c r="E214" s="138">
        <v>6711.9</v>
      </c>
      <c r="F214" s="138">
        <v>248.9</v>
      </c>
      <c r="G214" s="138">
        <v>253.1</v>
      </c>
      <c r="H214" s="70">
        <v>716151.8</v>
      </c>
      <c r="I214" s="70">
        <v>8734.2999999999993</v>
      </c>
      <c r="J214" s="70">
        <v>8058.6</v>
      </c>
      <c r="K214" s="70">
        <v>436.5</v>
      </c>
      <c r="L214" s="70">
        <v>6462.7</v>
      </c>
      <c r="M214" s="70">
        <v>261.60000000000002</v>
      </c>
      <c r="N214" s="70">
        <v>945</v>
      </c>
      <c r="O214" s="70">
        <f t="shared" si="13"/>
        <v>15197</v>
      </c>
      <c r="P214" s="70">
        <v>722716</v>
      </c>
      <c r="Q214" s="70">
        <v>8730</v>
      </c>
      <c r="R214" s="70">
        <v>6125</v>
      </c>
      <c r="S214" s="70">
        <v>3155</v>
      </c>
      <c r="V214" s="75"/>
      <c r="W214" s="73"/>
      <c r="X214" s="73"/>
      <c r="Y214" s="74"/>
      <c r="Z214" s="74"/>
      <c r="AA214" s="74"/>
    </row>
    <row r="215" spans="1:27">
      <c r="A215" s="139">
        <v>44044</v>
      </c>
      <c r="B215">
        <f t="shared" si="12"/>
        <v>2020</v>
      </c>
      <c r="C215" s="3" t="str">
        <f t="shared" si="14"/>
        <v>Q3</v>
      </c>
      <c r="D215" s="138">
        <v>6879.1</v>
      </c>
      <c r="E215" s="138">
        <v>6950.9</v>
      </c>
      <c r="F215" s="138">
        <v>256.5</v>
      </c>
      <c r="G215" s="138">
        <v>262.10000000000002</v>
      </c>
      <c r="H215" s="70">
        <v>716151.8</v>
      </c>
      <c r="I215" s="70">
        <v>8734.2999999999993</v>
      </c>
      <c r="J215" s="70">
        <v>8058.6</v>
      </c>
      <c r="K215" s="70">
        <v>436.5</v>
      </c>
      <c r="L215" s="70">
        <v>6462.7</v>
      </c>
      <c r="M215" s="70">
        <v>261.60000000000002</v>
      </c>
      <c r="N215" s="70">
        <v>945</v>
      </c>
      <c r="O215" s="70">
        <f t="shared" si="13"/>
        <v>15197</v>
      </c>
      <c r="P215" s="70">
        <v>722716</v>
      </c>
      <c r="Q215" s="70">
        <v>8730</v>
      </c>
      <c r="R215" s="70">
        <v>6125</v>
      </c>
      <c r="S215" s="70">
        <v>3155</v>
      </c>
      <c r="V215" s="75"/>
      <c r="W215" s="73"/>
      <c r="X215" s="73"/>
      <c r="Y215" s="74"/>
      <c r="Z215" s="74"/>
      <c r="AA215" s="74"/>
    </row>
    <row r="216" spans="1:27">
      <c r="A216" s="139">
        <v>44075</v>
      </c>
      <c r="B216">
        <f t="shared" si="12"/>
        <v>2020</v>
      </c>
      <c r="C216" s="3" t="str">
        <f t="shared" si="14"/>
        <v>Q3</v>
      </c>
      <c r="D216" s="138">
        <v>7040.8</v>
      </c>
      <c r="E216" s="138">
        <v>7075.5</v>
      </c>
      <c r="F216" s="138">
        <v>260.8</v>
      </c>
      <c r="G216" s="138">
        <v>263</v>
      </c>
      <c r="H216" s="70">
        <v>716151.8</v>
      </c>
      <c r="I216" s="70">
        <v>8734.2999999999993</v>
      </c>
      <c r="J216" s="70">
        <v>8058.6</v>
      </c>
      <c r="K216" s="70">
        <v>436.5</v>
      </c>
      <c r="L216" s="70">
        <v>6462.7</v>
      </c>
      <c r="M216" s="70">
        <v>261.60000000000002</v>
      </c>
      <c r="N216" s="70">
        <v>945</v>
      </c>
      <c r="O216" s="70">
        <f t="shared" si="13"/>
        <v>15197</v>
      </c>
      <c r="P216" s="70">
        <v>722716</v>
      </c>
      <c r="Q216" s="70">
        <v>8730</v>
      </c>
      <c r="R216" s="70">
        <v>6125</v>
      </c>
      <c r="S216" s="70">
        <v>3155</v>
      </c>
      <c r="V216" s="75"/>
      <c r="W216" s="73"/>
      <c r="X216" s="73"/>
      <c r="Y216" s="74"/>
      <c r="Z216" s="74"/>
      <c r="AA216" s="74"/>
    </row>
    <row r="217" spans="1:27">
      <c r="A217" s="139">
        <v>44105</v>
      </c>
      <c r="B217">
        <f t="shared" si="12"/>
        <v>2020</v>
      </c>
      <c r="C217" s="3" t="str">
        <f t="shared" si="14"/>
        <v>Q4</v>
      </c>
      <c r="D217" s="138">
        <v>7159.1</v>
      </c>
      <c r="E217" s="138">
        <v>7184.1</v>
      </c>
      <c r="F217" s="138">
        <v>262.89999999999998</v>
      </c>
      <c r="G217" s="138">
        <v>263.60000000000002</v>
      </c>
      <c r="H217" s="70">
        <v>716151.8</v>
      </c>
      <c r="I217" s="70">
        <v>8734.2999999999993</v>
      </c>
      <c r="J217" s="70">
        <v>8058.6</v>
      </c>
      <c r="K217" s="70">
        <v>436.5</v>
      </c>
      <c r="L217" s="70">
        <v>6462.7</v>
      </c>
      <c r="M217" s="70">
        <v>261.60000000000002</v>
      </c>
      <c r="N217" s="70">
        <v>945</v>
      </c>
      <c r="O217" s="70">
        <f t="shared" si="13"/>
        <v>15197</v>
      </c>
      <c r="P217" s="70">
        <v>739655</v>
      </c>
      <c r="Q217" s="70">
        <v>9253</v>
      </c>
      <c r="R217" s="70">
        <v>6439</v>
      </c>
      <c r="S217" s="70">
        <v>3233</v>
      </c>
      <c r="V217" s="75"/>
      <c r="W217" s="73"/>
      <c r="X217" s="73"/>
      <c r="Y217" s="74"/>
      <c r="Z217" s="74"/>
      <c r="AA217" s="74"/>
    </row>
    <row r="218" spans="1:27">
      <c r="A218" s="139">
        <v>44136</v>
      </c>
      <c r="B218">
        <f t="shared" si="12"/>
        <v>2020</v>
      </c>
      <c r="C218" s="3" t="str">
        <f t="shared" si="14"/>
        <v>Q4</v>
      </c>
      <c r="D218" s="138">
        <v>7242.5</v>
      </c>
      <c r="E218" s="138">
        <v>7255.2</v>
      </c>
      <c r="F218" s="138">
        <v>263.3</v>
      </c>
      <c r="G218" s="138">
        <v>261.89999999999998</v>
      </c>
      <c r="H218" s="70">
        <v>716151.8</v>
      </c>
      <c r="I218" s="70">
        <v>8734.2999999999993</v>
      </c>
      <c r="J218" s="70">
        <v>8058.6</v>
      </c>
      <c r="K218" s="70">
        <v>436.5</v>
      </c>
      <c r="L218" s="70">
        <v>6462.7</v>
      </c>
      <c r="M218" s="70">
        <v>261.60000000000002</v>
      </c>
      <c r="N218" s="70">
        <v>945</v>
      </c>
      <c r="O218" s="70">
        <f t="shared" si="13"/>
        <v>15197</v>
      </c>
      <c r="P218" s="70">
        <v>739655</v>
      </c>
      <c r="Q218" s="70">
        <v>9253</v>
      </c>
      <c r="R218" s="70">
        <v>6439</v>
      </c>
      <c r="S218" s="70">
        <v>3233</v>
      </c>
      <c r="V218" s="75"/>
      <c r="W218" s="73"/>
      <c r="X218" s="73"/>
      <c r="Y218" s="74"/>
      <c r="Z218" s="74"/>
      <c r="AA218" s="74"/>
    </row>
    <row r="219" spans="1:27">
      <c r="A219" s="139">
        <v>44166</v>
      </c>
      <c r="B219">
        <f t="shared" si="12"/>
        <v>2020</v>
      </c>
      <c r="C219" s="3" t="str">
        <f t="shared" si="14"/>
        <v>Q4</v>
      </c>
      <c r="D219" s="138">
        <v>7258.1</v>
      </c>
      <c r="E219" s="138">
        <v>7273.3</v>
      </c>
      <c r="F219" s="138">
        <v>266</v>
      </c>
      <c r="G219" s="138">
        <v>264.10000000000002</v>
      </c>
      <c r="H219" s="70">
        <v>716151.8</v>
      </c>
      <c r="I219" s="70">
        <v>8734.2999999999993</v>
      </c>
      <c r="J219" s="70">
        <v>8058.6</v>
      </c>
      <c r="K219" s="70">
        <v>436.5</v>
      </c>
      <c r="L219" s="70">
        <v>6462.7</v>
      </c>
      <c r="M219" s="70">
        <v>261.60000000000002</v>
      </c>
      <c r="N219" s="70">
        <v>945</v>
      </c>
      <c r="O219" s="70">
        <f t="shared" si="13"/>
        <v>15197</v>
      </c>
      <c r="P219" s="70">
        <v>739655</v>
      </c>
      <c r="Q219" s="70">
        <v>9253</v>
      </c>
      <c r="R219" s="70">
        <v>6439</v>
      </c>
      <c r="S219" s="70">
        <v>3233</v>
      </c>
      <c r="V219" s="75"/>
      <c r="W219" s="73"/>
      <c r="X219" s="73"/>
      <c r="Y219" s="74"/>
      <c r="Z219" s="74"/>
      <c r="AA219" s="74"/>
    </row>
    <row r="220" spans="1:27">
      <c r="A220" s="139">
        <v>44197</v>
      </c>
      <c r="B220">
        <f t="shared" si="12"/>
        <v>2021</v>
      </c>
      <c r="C220" s="3" t="str">
        <f t="shared" si="14"/>
        <v>Q1</v>
      </c>
      <c r="D220" s="138">
        <v>7204.5</v>
      </c>
      <c r="E220" s="138">
        <v>7180.4</v>
      </c>
      <c r="F220" s="138">
        <v>267.89999999999998</v>
      </c>
      <c r="G220" s="138">
        <v>265.5</v>
      </c>
      <c r="H220" s="70">
        <v>752340.8</v>
      </c>
      <c r="I220" s="70">
        <v>9469.7000000000007</v>
      </c>
      <c r="J220" s="70">
        <v>8822.4</v>
      </c>
      <c r="K220" s="70">
        <v>443.3</v>
      </c>
      <c r="L220" s="70">
        <v>6279.5</v>
      </c>
      <c r="M220" s="70">
        <v>257.5</v>
      </c>
      <c r="N220" s="70">
        <v>1095.0999999999999</v>
      </c>
      <c r="O220" s="70">
        <f t="shared" si="13"/>
        <v>15749.2</v>
      </c>
      <c r="P220" s="70">
        <v>748506</v>
      </c>
      <c r="Q220" s="70">
        <v>9310</v>
      </c>
      <c r="R220" s="70">
        <v>6620</v>
      </c>
      <c r="S220" s="70">
        <v>3174</v>
      </c>
      <c r="V220" s="75"/>
      <c r="W220" s="73"/>
      <c r="X220" s="73"/>
      <c r="Y220" s="74"/>
      <c r="Z220" s="74"/>
      <c r="AA220" s="74"/>
    </row>
    <row r="221" spans="1:27">
      <c r="A221" s="139">
        <v>44228</v>
      </c>
      <c r="B221">
        <f t="shared" si="12"/>
        <v>2021</v>
      </c>
      <c r="C221" s="3" t="str">
        <f t="shared" si="14"/>
        <v>Q1</v>
      </c>
      <c r="D221" s="138">
        <v>7182.2</v>
      </c>
      <c r="E221" s="138">
        <v>7124.8</v>
      </c>
      <c r="F221" s="138">
        <v>271.60000000000002</v>
      </c>
      <c r="G221" s="138">
        <v>269.3</v>
      </c>
      <c r="H221" s="70">
        <v>752340.8</v>
      </c>
      <c r="I221" s="70">
        <v>9469.7000000000007</v>
      </c>
      <c r="J221" s="70">
        <v>8822.4</v>
      </c>
      <c r="K221" s="70">
        <v>443.3</v>
      </c>
      <c r="L221" s="70">
        <v>6279.5</v>
      </c>
      <c r="M221" s="70">
        <v>257.5</v>
      </c>
      <c r="N221" s="70">
        <v>1095.0999999999999</v>
      </c>
      <c r="O221" s="70">
        <f t="shared" si="13"/>
        <v>15749.2</v>
      </c>
      <c r="P221" s="70">
        <v>748506</v>
      </c>
      <c r="Q221" s="70">
        <v>9310</v>
      </c>
      <c r="R221" s="70">
        <v>6620</v>
      </c>
      <c r="S221" s="70">
        <v>3174</v>
      </c>
      <c r="V221" s="75"/>
      <c r="W221" s="73"/>
      <c r="X221" s="73"/>
      <c r="Y221" s="74"/>
      <c r="Z221" s="74"/>
      <c r="AA221" s="74"/>
    </row>
    <row r="222" spans="1:27">
      <c r="A222" s="139">
        <v>44256</v>
      </c>
      <c r="B222">
        <f t="shared" si="12"/>
        <v>2021</v>
      </c>
      <c r="C222" s="3" t="str">
        <f t="shared" si="14"/>
        <v>Q1</v>
      </c>
      <c r="D222" s="138">
        <v>7223</v>
      </c>
      <c r="E222" s="138">
        <v>7129.5</v>
      </c>
      <c r="F222" s="138">
        <v>273.8</v>
      </c>
      <c r="G222" s="138">
        <v>271.60000000000002</v>
      </c>
      <c r="H222" s="70">
        <v>752340.8</v>
      </c>
      <c r="I222" s="70">
        <v>9469.7000000000007</v>
      </c>
      <c r="J222" s="70">
        <v>8822.4</v>
      </c>
      <c r="K222" s="70">
        <v>443.3</v>
      </c>
      <c r="L222" s="70">
        <v>6279.5</v>
      </c>
      <c r="M222" s="70">
        <v>257.5</v>
      </c>
      <c r="N222" s="70">
        <v>1095.0999999999999</v>
      </c>
      <c r="O222" s="70">
        <f t="shared" si="13"/>
        <v>15749.2</v>
      </c>
      <c r="P222" s="70">
        <v>748506</v>
      </c>
      <c r="Q222" s="70">
        <v>9310</v>
      </c>
      <c r="R222" s="70">
        <v>6620</v>
      </c>
      <c r="S222" s="70">
        <v>3174</v>
      </c>
      <c r="V222" s="75"/>
      <c r="W222" s="73"/>
      <c r="X222" s="73"/>
      <c r="Y222" s="74"/>
      <c r="Z222" s="74"/>
      <c r="AA222" s="74"/>
    </row>
    <row r="223" spans="1:27">
      <c r="A223" s="139">
        <v>44287</v>
      </c>
      <c r="B223">
        <f t="shared" si="12"/>
        <v>2021</v>
      </c>
      <c r="C223" s="3" t="str">
        <f t="shared" si="14"/>
        <v>Q2</v>
      </c>
      <c r="D223" s="138">
        <v>7274</v>
      </c>
      <c r="E223" s="138">
        <v>7197</v>
      </c>
      <c r="F223" s="138">
        <v>277.5</v>
      </c>
      <c r="G223" s="138">
        <v>275.60000000000002</v>
      </c>
      <c r="H223" s="70">
        <v>752340.8</v>
      </c>
      <c r="I223" s="70">
        <v>9469.7000000000007</v>
      </c>
      <c r="J223" s="70">
        <v>8822.4</v>
      </c>
      <c r="K223" s="70">
        <v>443.3</v>
      </c>
      <c r="L223" s="70">
        <v>6279.5</v>
      </c>
      <c r="M223" s="70">
        <v>257.5</v>
      </c>
      <c r="N223" s="70">
        <v>1095.0999999999999</v>
      </c>
      <c r="O223" s="70">
        <f t="shared" si="13"/>
        <v>15749.2</v>
      </c>
      <c r="P223" s="70">
        <v>739507</v>
      </c>
      <c r="Q223" s="70">
        <v>9505</v>
      </c>
      <c r="R223" s="70">
        <v>6372</v>
      </c>
      <c r="S223" s="70">
        <v>3125</v>
      </c>
      <c r="V223" s="75"/>
      <c r="W223" s="73"/>
      <c r="X223" s="73"/>
      <c r="Y223" s="74"/>
      <c r="Z223" s="74"/>
      <c r="AA223" s="74"/>
    </row>
    <row r="224" spans="1:27">
      <c r="A224" s="139">
        <v>44317</v>
      </c>
      <c r="B224">
        <f t="shared" si="12"/>
        <v>2021</v>
      </c>
      <c r="C224" s="3" t="str">
        <f t="shared" si="14"/>
        <v>Q2</v>
      </c>
      <c r="D224" s="138">
        <v>7269.7</v>
      </c>
      <c r="E224" s="138">
        <v>7237.7</v>
      </c>
      <c r="F224" s="138">
        <v>278.7</v>
      </c>
      <c r="G224" s="138">
        <v>277.10000000000002</v>
      </c>
      <c r="H224" s="70">
        <v>752340.8</v>
      </c>
      <c r="I224" s="70">
        <v>9469.7000000000007</v>
      </c>
      <c r="J224" s="70">
        <v>8822.4</v>
      </c>
      <c r="K224" s="70">
        <v>443.3</v>
      </c>
      <c r="L224" s="70">
        <v>6279.5</v>
      </c>
      <c r="M224" s="70">
        <v>257.5</v>
      </c>
      <c r="N224" s="70">
        <v>1095.0999999999999</v>
      </c>
      <c r="O224" s="70">
        <f t="shared" si="13"/>
        <v>15749.2</v>
      </c>
      <c r="P224" s="70">
        <v>739507</v>
      </c>
      <c r="Q224" s="70">
        <v>9505</v>
      </c>
      <c r="R224" s="70">
        <v>6372</v>
      </c>
      <c r="S224" s="70">
        <v>3125</v>
      </c>
      <c r="V224" s="75"/>
      <c r="W224" s="73"/>
      <c r="X224" s="73"/>
      <c r="Y224" s="74"/>
      <c r="Z224" s="74"/>
      <c r="AA224" s="74"/>
    </row>
    <row r="225" spans="1:19">
      <c r="A225" s="139">
        <v>44348</v>
      </c>
      <c r="B225">
        <f t="shared" si="12"/>
        <v>2021</v>
      </c>
      <c r="C225" s="3" t="str">
        <f t="shared" si="14"/>
        <v>Q2</v>
      </c>
      <c r="D225" s="138">
        <v>7250.5</v>
      </c>
      <c r="E225" s="138">
        <v>7293</v>
      </c>
      <c r="F225" s="138">
        <v>279.2</v>
      </c>
      <c r="G225" s="138">
        <v>281.2</v>
      </c>
      <c r="H225" s="70">
        <v>752340.8</v>
      </c>
      <c r="I225" s="70">
        <v>9469.7000000000007</v>
      </c>
      <c r="J225" s="70">
        <v>8822.4</v>
      </c>
      <c r="K225" s="70">
        <v>443.3</v>
      </c>
      <c r="L225" s="70">
        <v>6279.5</v>
      </c>
      <c r="M225" s="70">
        <v>257.5</v>
      </c>
      <c r="N225" s="70">
        <v>1095.0999999999999</v>
      </c>
      <c r="O225" s="70">
        <f t="shared" si="13"/>
        <v>15749.2</v>
      </c>
      <c r="P225" s="70">
        <v>739507</v>
      </c>
      <c r="Q225" s="70">
        <v>9505</v>
      </c>
      <c r="R225" s="70">
        <v>6372</v>
      </c>
      <c r="S225" s="70">
        <v>3125</v>
      </c>
    </row>
    <row r="226" spans="1:19">
      <c r="A226" s="139">
        <v>44378</v>
      </c>
      <c r="B226">
        <f t="shared" si="12"/>
        <v>2021</v>
      </c>
      <c r="C226" s="3" t="str">
        <f t="shared" si="14"/>
        <v>Q3</v>
      </c>
      <c r="D226" s="138">
        <v>7313.3</v>
      </c>
      <c r="E226" s="138">
        <v>7391.8</v>
      </c>
      <c r="F226" s="138">
        <v>279.7</v>
      </c>
      <c r="G226" s="138">
        <v>283.5</v>
      </c>
      <c r="H226" s="70">
        <v>752340.8</v>
      </c>
      <c r="I226" s="70">
        <v>9469.7000000000007</v>
      </c>
      <c r="J226" s="70">
        <v>8822.4</v>
      </c>
      <c r="K226" s="70">
        <v>443.3</v>
      </c>
      <c r="L226" s="70">
        <v>6279.5</v>
      </c>
      <c r="M226" s="70">
        <v>257.5</v>
      </c>
      <c r="N226" s="70">
        <v>1095.0999999999999</v>
      </c>
      <c r="O226" s="70">
        <f t="shared" si="13"/>
        <v>15749.2</v>
      </c>
      <c r="P226" s="70">
        <v>753546</v>
      </c>
      <c r="Q226" s="70">
        <v>8980</v>
      </c>
      <c r="R226" s="70">
        <v>6225</v>
      </c>
      <c r="S226" s="70">
        <v>3311</v>
      </c>
    </row>
    <row r="227" spans="1:19">
      <c r="A227" s="139">
        <v>44409</v>
      </c>
      <c r="B227">
        <f t="shared" si="12"/>
        <v>2021</v>
      </c>
      <c r="C227" s="3" t="str">
        <f t="shared" si="14"/>
        <v>Q3</v>
      </c>
      <c r="D227" s="138">
        <v>7398.8</v>
      </c>
      <c r="E227" s="138">
        <v>7475.2</v>
      </c>
      <c r="F227" s="138">
        <v>282.2</v>
      </c>
      <c r="G227" s="138">
        <v>286.60000000000002</v>
      </c>
      <c r="H227" s="70">
        <v>752340.8</v>
      </c>
      <c r="I227" s="70">
        <v>9469.7000000000007</v>
      </c>
      <c r="J227" s="70">
        <v>8822.4</v>
      </c>
      <c r="K227" s="70">
        <v>443.3</v>
      </c>
      <c r="L227" s="70">
        <v>6279.5</v>
      </c>
      <c r="M227" s="70">
        <v>257.5</v>
      </c>
      <c r="N227" s="70">
        <v>1095.0999999999999</v>
      </c>
      <c r="O227" s="70">
        <f t="shared" si="13"/>
        <v>15749.2</v>
      </c>
      <c r="P227" s="70">
        <v>753546</v>
      </c>
      <c r="Q227" s="70">
        <v>8980</v>
      </c>
      <c r="R227" s="70">
        <v>6225</v>
      </c>
      <c r="S227" s="70">
        <v>3311</v>
      </c>
    </row>
    <row r="228" spans="1:19">
      <c r="A228" s="139">
        <v>44440</v>
      </c>
      <c r="B228">
        <f t="shared" si="12"/>
        <v>2021</v>
      </c>
      <c r="C228" s="3" t="str">
        <f t="shared" si="14"/>
        <v>Q3</v>
      </c>
      <c r="D228" s="138">
        <v>7473.3</v>
      </c>
      <c r="E228" s="138">
        <v>7503.2</v>
      </c>
      <c r="F228" s="138">
        <v>282.60000000000002</v>
      </c>
      <c r="G228" s="138">
        <v>283.60000000000002</v>
      </c>
      <c r="H228" s="70">
        <v>752340.8</v>
      </c>
      <c r="I228" s="70">
        <v>9469.7000000000007</v>
      </c>
      <c r="J228" s="70">
        <v>8822.4</v>
      </c>
      <c r="K228" s="70">
        <v>443.3</v>
      </c>
      <c r="L228" s="70">
        <v>6279.5</v>
      </c>
      <c r="M228" s="70">
        <v>257.5</v>
      </c>
      <c r="N228" s="70">
        <v>1095.0999999999999</v>
      </c>
      <c r="O228" s="70">
        <f t="shared" si="13"/>
        <v>15749.2</v>
      </c>
      <c r="P228" s="70">
        <v>753546</v>
      </c>
      <c r="Q228" s="70">
        <v>8980</v>
      </c>
      <c r="R228" s="70">
        <v>6225</v>
      </c>
      <c r="S228" s="70">
        <v>3311</v>
      </c>
    </row>
    <row r="229" spans="1:19">
      <c r="A229" s="139">
        <v>44470</v>
      </c>
      <c r="B229">
        <f t="shared" si="12"/>
        <v>2021</v>
      </c>
      <c r="C229" s="3" t="str">
        <f t="shared" si="14"/>
        <v>Q4</v>
      </c>
      <c r="D229" s="138">
        <v>7523</v>
      </c>
      <c r="E229" s="138">
        <v>7538.5</v>
      </c>
      <c r="F229" s="138">
        <v>285</v>
      </c>
      <c r="G229" s="138">
        <v>284.3</v>
      </c>
      <c r="H229" s="70">
        <v>752340.8</v>
      </c>
      <c r="I229" s="70">
        <v>9469.7000000000007</v>
      </c>
      <c r="J229" s="70">
        <v>8822.4</v>
      </c>
      <c r="K229" s="70">
        <v>443.3</v>
      </c>
      <c r="L229" s="70">
        <v>6279.5</v>
      </c>
      <c r="M229" s="70">
        <v>257.5</v>
      </c>
      <c r="N229" s="70">
        <v>1095.0999999999999</v>
      </c>
      <c r="O229" s="70">
        <f t="shared" si="13"/>
        <v>15749.2</v>
      </c>
      <c r="P229" s="70">
        <v>767803</v>
      </c>
      <c r="Q229" s="70">
        <v>10085</v>
      </c>
      <c r="R229" s="70">
        <v>5901</v>
      </c>
      <c r="S229" s="70">
        <v>3379</v>
      </c>
    </row>
    <row r="230" spans="1:19">
      <c r="A230" s="139">
        <v>44501</v>
      </c>
      <c r="B230">
        <f t="shared" si="12"/>
        <v>2021</v>
      </c>
      <c r="C230" s="3" t="str">
        <f t="shared" si="14"/>
        <v>Q4</v>
      </c>
      <c r="D230" s="138">
        <v>7584.2</v>
      </c>
      <c r="E230" s="138">
        <v>7590.1</v>
      </c>
      <c r="F230" s="138">
        <v>288.2</v>
      </c>
      <c r="G230" s="138">
        <v>286</v>
      </c>
      <c r="H230" s="70">
        <v>752340.8</v>
      </c>
      <c r="I230" s="70">
        <v>9469.7000000000007</v>
      </c>
      <c r="J230" s="70">
        <v>8822.4</v>
      </c>
      <c r="K230" s="70">
        <v>443.3</v>
      </c>
      <c r="L230" s="70">
        <v>6279.5</v>
      </c>
      <c r="M230" s="70">
        <v>257.5</v>
      </c>
      <c r="N230" s="70">
        <v>1095.0999999999999</v>
      </c>
      <c r="O230" s="70">
        <f t="shared" si="13"/>
        <v>15749.2</v>
      </c>
      <c r="P230" s="70">
        <v>767803</v>
      </c>
      <c r="Q230" s="70">
        <v>10085</v>
      </c>
      <c r="R230" s="70">
        <v>5901</v>
      </c>
      <c r="S230" s="70">
        <v>3379</v>
      </c>
    </row>
    <row r="231" spans="1:19">
      <c r="A231" s="139">
        <v>44531</v>
      </c>
      <c r="B231">
        <f t="shared" si="12"/>
        <v>2021</v>
      </c>
      <c r="C231" s="3" t="str">
        <f t="shared" si="14"/>
        <v>Q4</v>
      </c>
      <c r="D231" s="138">
        <v>7632.7</v>
      </c>
      <c r="E231" s="138">
        <v>7647.5</v>
      </c>
      <c r="F231" s="138">
        <v>292.89999999999998</v>
      </c>
      <c r="G231" s="138">
        <v>290.60000000000002</v>
      </c>
      <c r="H231" s="70">
        <v>752340.8</v>
      </c>
      <c r="I231" s="70">
        <v>9469.7000000000007</v>
      </c>
      <c r="J231" s="70">
        <v>8822.4</v>
      </c>
      <c r="K231" s="70">
        <v>443.3</v>
      </c>
      <c r="L231" s="70">
        <v>6279.5</v>
      </c>
      <c r="M231" s="70">
        <v>257.5</v>
      </c>
      <c r="N231" s="70">
        <v>1095.0999999999999</v>
      </c>
      <c r="O231" s="70">
        <f t="shared" si="13"/>
        <v>15749.2</v>
      </c>
      <c r="P231" s="70">
        <v>767803</v>
      </c>
      <c r="Q231" s="70">
        <v>10085</v>
      </c>
      <c r="R231" s="70">
        <v>5901</v>
      </c>
      <c r="S231" s="70">
        <v>3379</v>
      </c>
    </row>
    <row r="232" spans="1:19">
      <c r="A232" s="140">
        <v>44562</v>
      </c>
      <c r="B232" s="89">
        <f t="shared" si="12"/>
        <v>2022</v>
      </c>
      <c r="C232" s="140" t="str">
        <f t="shared" si="14"/>
        <v>Q1</v>
      </c>
      <c r="D232" s="138">
        <v>7620</v>
      </c>
      <c r="E232" s="138">
        <v>7595.1</v>
      </c>
      <c r="F232" s="138">
        <v>294.8</v>
      </c>
      <c r="G232" s="138">
        <v>292.3</v>
      </c>
      <c r="H232" s="142">
        <f t="shared" ref="H232:N232" si="15">H220*(1+$AB$7)</f>
        <v>779801.23920000007</v>
      </c>
      <c r="I232" s="142">
        <f t="shared" si="15"/>
        <v>9815.3440499999997</v>
      </c>
      <c r="J232" s="142">
        <f t="shared" si="15"/>
        <v>9144.4175999999989</v>
      </c>
      <c r="K232" s="142">
        <f t="shared" si="15"/>
        <v>459.48045000000002</v>
      </c>
      <c r="L232" s="142">
        <f t="shared" si="15"/>
        <v>6508.7017500000002</v>
      </c>
      <c r="M232" s="142">
        <f t="shared" si="15"/>
        <v>266.89875000000001</v>
      </c>
      <c r="N232" s="142">
        <f t="shared" si="15"/>
        <v>1135.07115</v>
      </c>
      <c r="O232" s="142">
        <f t="shared" si="13"/>
        <v>16324.0458</v>
      </c>
      <c r="P232" s="70">
        <v>775472</v>
      </c>
      <c r="Q232" s="70">
        <v>10700</v>
      </c>
      <c r="R232" s="70">
        <v>5836</v>
      </c>
      <c r="S232" s="70">
        <v>3528</v>
      </c>
    </row>
    <row r="233" spans="1:19">
      <c r="A233" s="140">
        <v>44593</v>
      </c>
      <c r="B233" s="89">
        <f t="shared" si="12"/>
        <v>2022</v>
      </c>
      <c r="C233" s="140" t="str">
        <f t="shared" si="14"/>
        <v>Q1</v>
      </c>
      <c r="D233" s="138">
        <v>7649</v>
      </c>
      <c r="E233" s="138">
        <v>7588.8</v>
      </c>
      <c r="F233" s="138">
        <v>295.2</v>
      </c>
      <c r="G233" s="138">
        <v>293</v>
      </c>
      <c r="H233" s="142">
        <f t="shared" ref="H233:N233" si="16">H221*(1+$AB$7)</f>
        <v>779801.23920000007</v>
      </c>
      <c r="I233" s="142">
        <f t="shared" si="16"/>
        <v>9815.3440499999997</v>
      </c>
      <c r="J233" s="142">
        <f t="shared" si="16"/>
        <v>9144.4175999999989</v>
      </c>
      <c r="K233" s="142">
        <f t="shared" si="16"/>
        <v>459.48045000000002</v>
      </c>
      <c r="L233" s="142">
        <f t="shared" si="16"/>
        <v>6508.7017500000002</v>
      </c>
      <c r="M233" s="142">
        <f t="shared" si="16"/>
        <v>266.89875000000001</v>
      </c>
      <c r="N233" s="142">
        <f t="shared" si="16"/>
        <v>1135.07115</v>
      </c>
      <c r="O233" s="142">
        <f t="shared" ref="O233:O255" si="17">L233+I233</f>
        <v>16324.0458</v>
      </c>
      <c r="P233" s="70">
        <v>775472</v>
      </c>
      <c r="Q233" s="70">
        <v>10700</v>
      </c>
      <c r="R233" s="70">
        <v>5836</v>
      </c>
      <c r="S233" s="70">
        <v>3528</v>
      </c>
    </row>
    <row r="234" spans="1:19">
      <c r="A234" s="140">
        <v>44621</v>
      </c>
      <c r="B234" s="89">
        <f t="shared" si="12"/>
        <v>2022</v>
      </c>
      <c r="C234" s="140" t="str">
        <f t="shared" si="14"/>
        <v>Q1</v>
      </c>
      <c r="D234" s="138">
        <v>7670</v>
      </c>
      <c r="E234" s="138">
        <v>7573.4</v>
      </c>
      <c r="F234" s="138">
        <v>297.2</v>
      </c>
      <c r="G234" s="138">
        <v>294.8</v>
      </c>
      <c r="H234" s="142">
        <f t="shared" ref="H234:N234" si="18">H222*(1+$AB$7)</f>
        <v>779801.23920000007</v>
      </c>
      <c r="I234" s="142">
        <f t="shared" si="18"/>
        <v>9815.3440499999997</v>
      </c>
      <c r="J234" s="142">
        <f t="shared" si="18"/>
        <v>9144.4175999999989</v>
      </c>
      <c r="K234" s="142">
        <f t="shared" si="18"/>
        <v>459.48045000000002</v>
      </c>
      <c r="L234" s="142">
        <f t="shared" si="18"/>
        <v>6508.7017500000002</v>
      </c>
      <c r="M234" s="142">
        <f t="shared" si="18"/>
        <v>266.89875000000001</v>
      </c>
      <c r="N234" s="142">
        <f t="shared" si="18"/>
        <v>1135.07115</v>
      </c>
      <c r="O234" s="142">
        <f t="shared" si="17"/>
        <v>16324.0458</v>
      </c>
      <c r="P234" s="70">
        <v>775472</v>
      </c>
      <c r="Q234" s="70">
        <v>10700</v>
      </c>
      <c r="R234" s="70">
        <v>5836</v>
      </c>
      <c r="S234" s="70">
        <v>3528</v>
      </c>
    </row>
    <row r="235" spans="1:19">
      <c r="A235" s="140">
        <v>44652</v>
      </c>
      <c r="B235" s="89">
        <f t="shared" si="12"/>
        <v>2022</v>
      </c>
      <c r="C235" s="140" t="str">
        <f t="shared" si="14"/>
        <v>Q2</v>
      </c>
      <c r="D235" s="138">
        <v>7750.7</v>
      </c>
      <c r="E235" s="138">
        <v>7670</v>
      </c>
      <c r="F235" s="138">
        <v>298.60000000000002</v>
      </c>
      <c r="G235" s="138">
        <v>296.8</v>
      </c>
      <c r="H235" s="142">
        <f t="shared" ref="H235:N235" si="19">H223*(1+$AB$7)</f>
        <v>779801.23920000007</v>
      </c>
      <c r="I235" s="142">
        <f t="shared" si="19"/>
        <v>9815.3440499999997</v>
      </c>
      <c r="J235" s="142">
        <f t="shared" si="19"/>
        <v>9144.4175999999989</v>
      </c>
      <c r="K235" s="142">
        <f t="shared" si="19"/>
        <v>459.48045000000002</v>
      </c>
      <c r="L235" s="142">
        <f t="shared" si="19"/>
        <v>6508.7017500000002</v>
      </c>
      <c r="M235" s="142">
        <f t="shared" si="19"/>
        <v>266.89875000000001</v>
      </c>
      <c r="N235" s="142">
        <f t="shared" si="19"/>
        <v>1135.07115</v>
      </c>
      <c r="O235" s="142">
        <f t="shared" si="17"/>
        <v>16324.0458</v>
      </c>
      <c r="P235" s="70">
        <v>781588</v>
      </c>
      <c r="Q235" s="70">
        <v>11160</v>
      </c>
      <c r="R235" s="70">
        <v>6110</v>
      </c>
      <c r="S235" s="70">
        <v>3466</v>
      </c>
    </row>
    <row r="236" spans="1:19">
      <c r="A236" s="140">
        <v>44682</v>
      </c>
      <c r="B236" s="89">
        <f t="shared" si="12"/>
        <v>2022</v>
      </c>
      <c r="C236" s="140" t="str">
        <f t="shared" si="14"/>
        <v>Q2</v>
      </c>
      <c r="D236" s="138">
        <v>7765</v>
      </c>
      <c r="E236" s="138">
        <v>7738.6</v>
      </c>
      <c r="F236" s="138">
        <v>298.5</v>
      </c>
      <c r="G236" s="138">
        <v>299.2</v>
      </c>
      <c r="H236" s="142">
        <f t="shared" ref="H236:N236" si="20">H224*(1+$AB$7)</f>
        <v>779801.23920000007</v>
      </c>
      <c r="I236" s="142">
        <f t="shared" si="20"/>
        <v>9815.3440499999997</v>
      </c>
      <c r="J236" s="142">
        <f t="shared" si="20"/>
        <v>9144.4175999999989</v>
      </c>
      <c r="K236" s="142">
        <f t="shared" si="20"/>
        <v>459.48045000000002</v>
      </c>
      <c r="L236" s="142">
        <f t="shared" si="20"/>
        <v>6508.7017500000002</v>
      </c>
      <c r="M236" s="142">
        <f t="shared" si="20"/>
        <v>266.89875000000001</v>
      </c>
      <c r="N236" s="142">
        <f t="shared" si="20"/>
        <v>1135.07115</v>
      </c>
      <c r="O236" s="142">
        <f t="shared" si="17"/>
        <v>16324.0458</v>
      </c>
      <c r="P236" s="70">
        <v>781588</v>
      </c>
      <c r="Q236" s="70">
        <v>11160</v>
      </c>
      <c r="R236" s="70">
        <v>6110</v>
      </c>
      <c r="S236" s="70">
        <v>3466</v>
      </c>
    </row>
    <row r="237" spans="1:19">
      <c r="A237" s="140">
        <v>44713</v>
      </c>
      <c r="B237" s="89">
        <f t="shared" si="12"/>
        <v>2022</v>
      </c>
      <c r="C237" s="140" t="str">
        <f t="shared" si="14"/>
        <v>Q2</v>
      </c>
      <c r="D237" s="138">
        <v>7761.1</v>
      </c>
      <c r="E237" s="138">
        <v>7809.2</v>
      </c>
      <c r="F237" s="138">
        <v>294.5</v>
      </c>
      <c r="G237" s="138">
        <v>298.5</v>
      </c>
      <c r="H237" s="142">
        <f t="shared" ref="H237:N237" si="21">H225*(1+$AB$7)</f>
        <v>779801.23920000007</v>
      </c>
      <c r="I237" s="142">
        <f t="shared" si="21"/>
        <v>9815.3440499999997</v>
      </c>
      <c r="J237" s="142">
        <f t="shared" si="21"/>
        <v>9144.4175999999989</v>
      </c>
      <c r="K237" s="142">
        <f t="shared" si="21"/>
        <v>459.48045000000002</v>
      </c>
      <c r="L237" s="142">
        <f t="shared" si="21"/>
        <v>6508.7017500000002</v>
      </c>
      <c r="M237" s="142">
        <f t="shared" si="21"/>
        <v>266.89875000000001</v>
      </c>
      <c r="N237" s="142">
        <f t="shared" si="21"/>
        <v>1135.07115</v>
      </c>
      <c r="O237" s="142">
        <f t="shared" si="17"/>
        <v>16324.0458</v>
      </c>
      <c r="P237" s="70">
        <v>781588</v>
      </c>
      <c r="Q237" s="70">
        <v>11160</v>
      </c>
      <c r="R237" s="70">
        <v>6110</v>
      </c>
      <c r="S237" s="70">
        <v>3466</v>
      </c>
    </row>
    <row r="238" spans="1:19">
      <c r="A238" s="140">
        <v>44743</v>
      </c>
      <c r="B238" s="89">
        <f t="shared" si="12"/>
        <v>2022</v>
      </c>
      <c r="C238" s="140" t="str">
        <f t="shared" si="14"/>
        <v>Q3</v>
      </c>
      <c r="D238" s="138">
        <v>7756.4</v>
      </c>
      <c r="E238" s="138">
        <v>7843.6</v>
      </c>
      <c r="F238" s="138">
        <v>293.2</v>
      </c>
      <c r="G238" s="138">
        <v>298.7</v>
      </c>
      <c r="H238" s="142">
        <f t="shared" ref="H238:N238" si="22">H226*(1+$AB$7)</f>
        <v>779801.23920000007</v>
      </c>
      <c r="I238" s="142">
        <f t="shared" si="22"/>
        <v>9815.3440499999997</v>
      </c>
      <c r="J238" s="142">
        <f t="shared" si="22"/>
        <v>9144.4175999999989</v>
      </c>
      <c r="K238" s="142">
        <f t="shared" si="22"/>
        <v>459.48045000000002</v>
      </c>
      <c r="L238" s="142">
        <f t="shared" si="22"/>
        <v>6508.7017500000002</v>
      </c>
      <c r="M238" s="142">
        <f t="shared" si="22"/>
        <v>266.89875000000001</v>
      </c>
      <c r="N238" s="142">
        <f t="shared" si="22"/>
        <v>1135.07115</v>
      </c>
      <c r="O238" s="142">
        <f t="shared" si="17"/>
        <v>16324.0458</v>
      </c>
      <c r="P238" s="70">
        <v>784730</v>
      </c>
      <c r="Q238" s="70">
        <v>12271</v>
      </c>
      <c r="R238" s="70">
        <v>6217</v>
      </c>
      <c r="S238" s="70">
        <v>3632</v>
      </c>
    </row>
    <row r="239" spans="1:19">
      <c r="A239" s="140">
        <v>44774</v>
      </c>
      <c r="B239" s="89">
        <f t="shared" si="12"/>
        <v>2022</v>
      </c>
      <c r="C239" s="140" t="str">
        <f t="shared" si="14"/>
        <v>Q3</v>
      </c>
      <c r="D239" s="138">
        <v>7746.5</v>
      </c>
      <c r="E239" s="138">
        <v>7825.4</v>
      </c>
      <c r="F239" s="138">
        <v>291.3</v>
      </c>
      <c r="G239" s="138">
        <v>295.39999999999998</v>
      </c>
      <c r="H239" s="142">
        <f t="shared" ref="H239:N239" si="23">H227*(1+$AB$7)</f>
        <v>779801.23920000007</v>
      </c>
      <c r="I239" s="142">
        <f t="shared" si="23"/>
        <v>9815.3440499999997</v>
      </c>
      <c r="J239" s="142">
        <f t="shared" si="23"/>
        <v>9144.4175999999989</v>
      </c>
      <c r="K239" s="142">
        <f t="shared" si="23"/>
        <v>459.48045000000002</v>
      </c>
      <c r="L239" s="142">
        <f t="shared" si="23"/>
        <v>6508.7017500000002</v>
      </c>
      <c r="M239" s="142">
        <f t="shared" si="23"/>
        <v>266.89875000000001</v>
      </c>
      <c r="N239" s="142">
        <f t="shared" si="23"/>
        <v>1135.07115</v>
      </c>
      <c r="O239" s="142">
        <f t="shared" si="17"/>
        <v>16324.0458</v>
      </c>
      <c r="P239" s="70">
        <v>784730</v>
      </c>
      <c r="Q239" s="70">
        <v>12271</v>
      </c>
      <c r="R239" s="70">
        <v>6217</v>
      </c>
      <c r="S239" s="70">
        <v>3632</v>
      </c>
    </row>
    <row r="240" spans="1:19">
      <c r="A240" s="140">
        <v>44805</v>
      </c>
      <c r="B240" s="89">
        <f t="shared" si="12"/>
        <v>2022</v>
      </c>
      <c r="C240" s="140" t="str">
        <f t="shared" si="14"/>
        <v>Q3</v>
      </c>
      <c r="D240" s="138">
        <v>7738.7</v>
      </c>
      <c r="E240" s="138">
        <v>7766.7</v>
      </c>
      <c r="F240" s="138">
        <v>294.3</v>
      </c>
      <c r="G240" s="138">
        <v>295.3</v>
      </c>
      <c r="H240" s="142">
        <f t="shared" ref="H240:N240" si="24">H228*(1+$AB$7)</f>
        <v>779801.23920000007</v>
      </c>
      <c r="I240" s="142">
        <f t="shared" si="24"/>
        <v>9815.3440499999997</v>
      </c>
      <c r="J240" s="142">
        <f t="shared" si="24"/>
        <v>9144.4175999999989</v>
      </c>
      <c r="K240" s="142">
        <f t="shared" si="24"/>
        <v>459.48045000000002</v>
      </c>
      <c r="L240" s="142">
        <f t="shared" si="24"/>
        <v>6508.7017500000002</v>
      </c>
      <c r="M240" s="142">
        <f t="shared" si="24"/>
        <v>266.89875000000001</v>
      </c>
      <c r="N240" s="142">
        <f t="shared" si="24"/>
        <v>1135.07115</v>
      </c>
      <c r="O240" s="142">
        <f t="shared" si="17"/>
        <v>16324.0458</v>
      </c>
      <c r="P240" s="70">
        <v>784730</v>
      </c>
      <c r="Q240" s="70">
        <v>12271</v>
      </c>
      <c r="R240" s="70">
        <v>6217</v>
      </c>
      <c r="S240" s="70">
        <v>3632</v>
      </c>
    </row>
    <row r="241" spans="1:19">
      <c r="A241" s="140">
        <v>44835</v>
      </c>
      <c r="B241" s="89">
        <f t="shared" si="12"/>
        <v>2022</v>
      </c>
      <c r="C241" s="140" t="str">
        <f t="shared" si="14"/>
        <v>Q4</v>
      </c>
      <c r="D241" s="138">
        <v>7731.5</v>
      </c>
      <c r="E241" s="138">
        <v>7743.5</v>
      </c>
      <c r="F241" s="138">
        <v>294.2</v>
      </c>
      <c r="G241" s="138">
        <v>293.3</v>
      </c>
      <c r="H241" s="142">
        <f t="shared" ref="H241:N241" si="25">H229*(1+$AB$7)</f>
        <v>779801.23920000007</v>
      </c>
      <c r="I241" s="142">
        <f t="shared" si="25"/>
        <v>9815.3440499999997</v>
      </c>
      <c r="J241" s="142">
        <f t="shared" si="25"/>
        <v>9144.4175999999989</v>
      </c>
      <c r="K241" s="142">
        <f t="shared" si="25"/>
        <v>459.48045000000002</v>
      </c>
      <c r="L241" s="142">
        <f t="shared" si="25"/>
        <v>6508.7017500000002</v>
      </c>
      <c r="M241" s="142">
        <f t="shared" si="25"/>
        <v>266.89875000000001</v>
      </c>
      <c r="N241" s="142">
        <f t="shared" si="25"/>
        <v>1135.07115</v>
      </c>
      <c r="O241" s="142">
        <f t="shared" si="17"/>
        <v>16324.0458</v>
      </c>
      <c r="P241" s="142">
        <f t="shared" ref="P241:R241" si="26">P229*(1+$AB$7)</f>
        <v>795827.80949999997</v>
      </c>
      <c r="Q241" s="142">
        <f t="shared" si="26"/>
        <v>10453.102499999999</v>
      </c>
      <c r="R241" s="142">
        <f t="shared" si="26"/>
        <v>6116.3864999999996</v>
      </c>
      <c r="S241" s="142">
        <f>S229*(1+$AB$7)</f>
        <v>3502.3334999999997</v>
      </c>
    </row>
    <row r="242" spans="1:19">
      <c r="A242" s="140">
        <v>44866</v>
      </c>
      <c r="B242" s="89">
        <f t="shared" si="12"/>
        <v>2022</v>
      </c>
      <c r="C242" s="140" t="str">
        <f t="shared" si="14"/>
        <v>Q4</v>
      </c>
      <c r="D242" s="138">
        <v>7736.9</v>
      </c>
      <c r="E242" s="138">
        <v>7738.9</v>
      </c>
      <c r="F242" s="138">
        <v>295.5</v>
      </c>
      <c r="G242" s="138">
        <v>292.7</v>
      </c>
      <c r="H242" s="142">
        <f t="shared" ref="H242:N242" si="27">H230*(1+$AB$7)</f>
        <v>779801.23920000007</v>
      </c>
      <c r="I242" s="142">
        <f t="shared" si="27"/>
        <v>9815.3440499999997</v>
      </c>
      <c r="J242" s="142">
        <f t="shared" si="27"/>
        <v>9144.4175999999989</v>
      </c>
      <c r="K242" s="142">
        <f t="shared" si="27"/>
        <v>459.48045000000002</v>
      </c>
      <c r="L242" s="142">
        <f t="shared" si="27"/>
        <v>6508.7017500000002</v>
      </c>
      <c r="M242" s="142">
        <f t="shared" si="27"/>
        <v>266.89875000000001</v>
      </c>
      <c r="N242" s="142">
        <f t="shared" si="27"/>
        <v>1135.07115</v>
      </c>
      <c r="O242" s="142">
        <f t="shared" si="17"/>
        <v>16324.0458</v>
      </c>
      <c r="P242" s="142">
        <f t="shared" ref="P242:S242" si="28">P230*(1+$AB$7)</f>
        <v>795827.80949999997</v>
      </c>
      <c r="Q242" s="142">
        <f t="shared" si="28"/>
        <v>10453.102499999999</v>
      </c>
      <c r="R242" s="142">
        <f t="shared" si="28"/>
        <v>6116.3864999999996</v>
      </c>
      <c r="S242" s="142">
        <f t="shared" si="28"/>
        <v>3502.3334999999997</v>
      </c>
    </row>
    <row r="243" spans="1:19">
      <c r="A243" s="140">
        <v>44896</v>
      </c>
      <c r="B243" s="89">
        <f t="shared" si="12"/>
        <v>2022</v>
      </c>
      <c r="C243" s="140" t="str">
        <f t="shared" si="14"/>
        <v>Q4</v>
      </c>
      <c r="D243" s="138">
        <v>7760.9</v>
      </c>
      <c r="E243" s="138">
        <v>7777.2</v>
      </c>
      <c r="F243" s="138">
        <v>295.5</v>
      </c>
      <c r="G243" s="138">
        <v>293.2</v>
      </c>
      <c r="H243" s="142">
        <f t="shared" ref="H243:N243" si="29">H231*(1+$AB$7)</f>
        <v>779801.23920000007</v>
      </c>
      <c r="I243" s="142">
        <f t="shared" si="29"/>
        <v>9815.3440499999997</v>
      </c>
      <c r="J243" s="142">
        <f t="shared" si="29"/>
        <v>9144.4175999999989</v>
      </c>
      <c r="K243" s="142">
        <f t="shared" si="29"/>
        <v>459.48045000000002</v>
      </c>
      <c r="L243" s="142">
        <f t="shared" si="29"/>
        <v>6508.7017500000002</v>
      </c>
      <c r="M243" s="142">
        <f t="shared" si="29"/>
        <v>266.89875000000001</v>
      </c>
      <c r="N243" s="142">
        <f t="shared" si="29"/>
        <v>1135.07115</v>
      </c>
      <c r="O243" s="142">
        <f t="shared" si="17"/>
        <v>16324.0458</v>
      </c>
      <c r="P243" s="142">
        <f t="shared" ref="P243:S243" si="30">P231*(1+$AB$7)</f>
        <v>795827.80949999997</v>
      </c>
      <c r="Q243" s="142">
        <f t="shared" si="30"/>
        <v>10453.102499999999</v>
      </c>
      <c r="R243" s="142">
        <f t="shared" si="30"/>
        <v>6116.3864999999996</v>
      </c>
      <c r="S243" s="142">
        <f t="shared" si="30"/>
        <v>3502.3334999999997</v>
      </c>
    </row>
    <row r="244" spans="1:19">
      <c r="A244" s="140">
        <v>44927</v>
      </c>
      <c r="B244" s="89">
        <f t="shared" si="12"/>
        <v>2023</v>
      </c>
      <c r="C244" s="140" t="str">
        <f t="shared" si="14"/>
        <v>Q1</v>
      </c>
      <c r="D244" s="141">
        <f>D232*(1+$AB$13)</f>
        <v>7671.4350000000004</v>
      </c>
      <c r="E244" s="141">
        <f t="shared" ref="E244:G244" si="31">E232*(1+$AB$13)</f>
        <v>7646.3669250000003</v>
      </c>
      <c r="F244" s="141">
        <f t="shared" si="31"/>
        <v>296.78990000000005</v>
      </c>
      <c r="G244" s="141">
        <f t="shared" si="31"/>
        <v>294.27302500000002</v>
      </c>
      <c r="H244" s="142">
        <f>H232*(1+$AB$8)</f>
        <v>785259.84787439997</v>
      </c>
      <c r="I244" s="142">
        <f t="shared" ref="I244:S244" si="32">I232*(1+$AB$8)</f>
        <v>9884.0514583499989</v>
      </c>
      <c r="J244" s="142">
        <f t="shared" si="32"/>
        <v>9208.4285231999984</v>
      </c>
      <c r="K244" s="142">
        <f t="shared" si="32"/>
        <v>462.69681314999997</v>
      </c>
      <c r="L244" s="142">
        <f t="shared" si="32"/>
        <v>6554.2626622499993</v>
      </c>
      <c r="M244" s="142">
        <f t="shared" si="32"/>
        <v>268.76704124999998</v>
      </c>
      <c r="N244" s="142">
        <f t="shared" si="32"/>
        <v>1143.01664805</v>
      </c>
      <c r="O244" s="142">
        <f t="shared" si="17"/>
        <v>16438.3141206</v>
      </c>
      <c r="P244" s="142">
        <f t="shared" si="32"/>
        <v>780900.30399999989</v>
      </c>
      <c r="Q244" s="142">
        <f t="shared" si="32"/>
        <v>10774.9</v>
      </c>
      <c r="R244" s="142">
        <f t="shared" si="32"/>
        <v>5876.851999999999</v>
      </c>
      <c r="S244" s="142">
        <f t="shared" si="32"/>
        <v>3552.6959999999995</v>
      </c>
    </row>
    <row r="245" spans="1:19">
      <c r="A245" s="140">
        <v>44958</v>
      </c>
      <c r="B245" s="89">
        <f t="shared" si="12"/>
        <v>2023</v>
      </c>
      <c r="C245" s="140" t="str">
        <f t="shared" si="14"/>
        <v>Q1</v>
      </c>
      <c r="D245" s="141">
        <f t="shared" ref="D245:G245" si="33">D233*(1+$AB$13)</f>
        <v>7700.6307500000003</v>
      </c>
      <c r="E245" s="141">
        <f t="shared" si="33"/>
        <v>7640.0244000000002</v>
      </c>
      <c r="F245" s="141">
        <f t="shared" si="33"/>
        <v>297.19259999999997</v>
      </c>
      <c r="G245" s="141">
        <f t="shared" si="33"/>
        <v>294.97775000000001</v>
      </c>
      <c r="H245" s="142">
        <f t="shared" ref="H245:N245" si="34">H233*(1+$AB$8)</f>
        <v>785259.84787439997</v>
      </c>
      <c r="I245" s="142">
        <f t="shared" si="34"/>
        <v>9884.0514583499989</v>
      </c>
      <c r="J245" s="142">
        <f t="shared" si="34"/>
        <v>9208.4285231999984</v>
      </c>
      <c r="K245" s="142">
        <f t="shared" si="34"/>
        <v>462.69681314999997</v>
      </c>
      <c r="L245" s="142">
        <f t="shared" si="34"/>
        <v>6554.2626622499993</v>
      </c>
      <c r="M245" s="142">
        <f t="shared" si="34"/>
        <v>268.76704124999998</v>
      </c>
      <c r="N245" s="142">
        <f t="shared" si="34"/>
        <v>1143.01664805</v>
      </c>
      <c r="O245" s="142">
        <f t="shared" si="17"/>
        <v>16438.3141206</v>
      </c>
      <c r="P245" s="142">
        <f t="shared" ref="P245:S245" si="35">P233*(1+$AB$8)</f>
        <v>780900.30399999989</v>
      </c>
      <c r="Q245" s="142">
        <f t="shared" si="35"/>
        <v>10774.9</v>
      </c>
      <c r="R245" s="142">
        <f t="shared" si="35"/>
        <v>5876.851999999999</v>
      </c>
      <c r="S245" s="142">
        <f t="shared" si="35"/>
        <v>3552.6959999999995</v>
      </c>
    </row>
    <row r="246" spans="1:19">
      <c r="A246" s="140">
        <v>44986</v>
      </c>
      <c r="B246" s="89">
        <f t="shared" si="12"/>
        <v>2023</v>
      </c>
      <c r="C246" s="140" t="str">
        <f t="shared" si="14"/>
        <v>Q1</v>
      </c>
      <c r="D246" s="141">
        <f t="shared" ref="D246:G246" si="36">D234*(1+$AB$13)</f>
        <v>7721.7725</v>
      </c>
      <c r="E246" s="141">
        <f t="shared" si="36"/>
        <v>7624.52045</v>
      </c>
      <c r="F246" s="141">
        <f t="shared" si="36"/>
        <v>299.20609999999999</v>
      </c>
      <c r="G246" s="141">
        <f t="shared" si="36"/>
        <v>296.78990000000005</v>
      </c>
      <c r="H246" s="142">
        <f t="shared" ref="H246:N246" si="37">H234*(1+$AB$8)</f>
        <v>785259.84787439997</v>
      </c>
      <c r="I246" s="142">
        <f t="shared" si="37"/>
        <v>9884.0514583499989</v>
      </c>
      <c r="J246" s="142">
        <f t="shared" si="37"/>
        <v>9208.4285231999984</v>
      </c>
      <c r="K246" s="142">
        <f t="shared" si="37"/>
        <v>462.69681314999997</v>
      </c>
      <c r="L246" s="142">
        <f t="shared" si="37"/>
        <v>6554.2626622499993</v>
      </c>
      <c r="M246" s="142">
        <f t="shared" si="37"/>
        <v>268.76704124999998</v>
      </c>
      <c r="N246" s="142">
        <f t="shared" si="37"/>
        <v>1143.01664805</v>
      </c>
      <c r="O246" s="142">
        <f t="shared" si="17"/>
        <v>16438.3141206</v>
      </c>
      <c r="P246" s="142">
        <f t="shared" ref="P246:S246" si="38">P234*(1+$AB$8)</f>
        <v>780900.30399999989</v>
      </c>
      <c r="Q246" s="142">
        <f t="shared" si="38"/>
        <v>10774.9</v>
      </c>
      <c r="R246" s="142">
        <f t="shared" si="38"/>
        <v>5876.851999999999</v>
      </c>
      <c r="S246" s="142">
        <f t="shared" si="38"/>
        <v>3552.6959999999995</v>
      </c>
    </row>
    <row r="247" spans="1:19">
      <c r="A247" s="140">
        <v>45017</v>
      </c>
      <c r="B247" s="89">
        <f t="shared" si="12"/>
        <v>2023</v>
      </c>
      <c r="C247" s="140" t="str">
        <f t="shared" si="14"/>
        <v>Q2</v>
      </c>
      <c r="D247" s="141">
        <f t="shared" ref="D247:G247" si="39">D235*(1+$AB$13)</f>
        <v>7803.0172250000005</v>
      </c>
      <c r="E247" s="141">
        <f t="shared" si="39"/>
        <v>7721.7725</v>
      </c>
      <c r="F247" s="141">
        <f t="shared" si="39"/>
        <v>300.61555000000004</v>
      </c>
      <c r="G247" s="141">
        <f t="shared" si="39"/>
        <v>298.80340000000001</v>
      </c>
      <c r="H247" s="142">
        <f t="shared" ref="H247:N247" si="40">H235*(1+$AB$8)</f>
        <v>785259.84787439997</v>
      </c>
      <c r="I247" s="142">
        <f t="shared" si="40"/>
        <v>9884.0514583499989</v>
      </c>
      <c r="J247" s="142">
        <f t="shared" si="40"/>
        <v>9208.4285231999984</v>
      </c>
      <c r="K247" s="142">
        <f t="shared" si="40"/>
        <v>462.69681314999997</v>
      </c>
      <c r="L247" s="142">
        <f t="shared" si="40"/>
        <v>6554.2626622499993</v>
      </c>
      <c r="M247" s="142">
        <f t="shared" si="40"/>
        <v>268.76704124999998</v>
      </c>
      <c r="N247" s="142">
        <f t="shared" si="40"/>
        <v>1143.01664805</v>
      </c>
      <c r="O247" s="142">
        <f t="shared" si="17"/>
        <v>16438.3141206</v>
      </c>
      <c r="P247" s="142">
        <f t="shared" ref="P247:S247" si="41">P235*(1+$AB$8)</f>
        <v>787059.11599999992</v>
      </c>
      <c r="Q247" s="142">
        <f t="shared" si="41"/>
        <v>11238.119999999999</v>
      </c>
      <c r="R247" s="142">
        <f t="shared" si="41"/>
        <v>6152.7699999999995</v>
      </c>
      <c r="S247" s="142">
        <f t="shared" si="41"/>
        <v>3490.2619999999997</v>
      </c>
    </row>
    <row r="248" spans="1:19">
      <c r="A248" s="140">
        <v>45047</v>
      </c>
      <c r="B248" s="89">
        <f t="shared" si="12"/>
        <v>2023</v>
      </c>
      <c r="C248" s="140" t="str">
        <f t="shared" si="14"/>
        <v>Q2</v>
      </c>
      <c r="D248" s="141">
        <f t="shared" ref="D248:G248" si="42">D236*(1+$AB$13)</f>
        <v>7817.4137500000006</v>
      </c>
      <c r="E248" s="141">
        <f t="shared" si="42"/>
        <v>7790.8355500000007</v>
      </c>
      <c r="F248" s="141">
        <f t="shared" si="42"/>
        <v>300.51487500000002</v>
      </c>
      <c r="G248" s="141">
        <f t="shared" si="42"/>
        <v>301.21960000000001</v>
      </c>
      <c r="H248" s="142">
        <f t="shared" ref="H248:N248" si="43">H236*(1+$AB$8)</f>
        <v>785259.84787439997</v>
      </c>
      <c r="I248" s="142">
        <f t="shared" si="43"/>
        <v>9884.0514583499989</v>
      </c>
      <c r="J248" s="142">
        <f t="shared" si="43"/>
        <v>9208.4285231999984</v>
      </c>
      <c r="K248" s="142">
        <f t="shared" si="43"/>
        <v>462.69681314999997</v>
      </c>
      <c r="L248" s="142">
        <f t="shared" si="43"/>
        <v>6554.2626622499993</v>
      </c>
      <c r="M248" s="142">
        <f t="shared" si="43"/>
        <v>268.76704124999998</v>
      </c>
      <c r="N248" s="142">
        <f t="shared" si="43"/>
        <v>1143.01664805</v>
      </c>
      <c r="O248" s="142">
        <f t="shared" si="17"/>
        <v>16438.3141206</v>
      </c>
      <c r="P248" s="142">
        <f t="shared" ref="P248:S248" si="44">P236*(1+$AB$8)</f>
        <v>787059.11599999992</v>
      </c>
      <c r="Q248" s="142">
        <f t="shared" si="44"/>
        <v>11238.119999999999</v>
      </c>
      <c r="R248" s="142">
        <f t="shared" si="44"/>
        <v>6152.7699999999995</v>
      </c>
      <c r="S248" s="142">
        <f t="shared" si="44"/>
        <v>3490.2619999999997</v>
      </c>
    </row>
    <row r="249" spans="1:19">
      <c r="A249" s="140">
        <v>45078</v>
      </c>
      <c r="B249" s="89">
        <f t="shared" si="12"/>
        <v>2023</v>
      </c>
      <c r="C249" s="140" t="str">
        <f t="shared" si="14"/>
        <v>Q2</v>
      </c>
      <c r="D249" s="141">
        <f t="shared" ref="D249:G249" si="45">D237*(1+$AB$13)</f>
        <v>7813.4874250000003</v>
      </c>
      <c r="E249" s="141">
        <f t="shared" si="45"/>
        <v>7861.9121000000005</v>
      </c>
      <c r="F249" s="141">
        <f t="shared" si="45"/>
        <v>296.48787500000003</v>
      </c>
      <c r="G249" s="141">
        <f t="shared" si="45"/>
        <v>300.51487500000002</v>
      </c>
      <c r="H249" s="142">
        <f t="shared" ref="H249:N249" si="46">H237*(1+$AB$8)</f>
        <v>785259.84787439997</v>
      </c>
      <c r="I249" s="142">
        <f t="shared" si="46"/>
        <v>9884.0514583499989</v>
      </c>
      <c r="J249" s="142">
        <f t="shared" si="46"/>
        <v>9208.4285231999984</v>
      </c>
      <c r="K249" s="142">
        <f t="shared" si="46"/>
        <v>462.69681314999997</v>
      </c>
      <c r="L249" s="142">
        <f t="shared" si="46"/>
        <v>6554.2626622499993</v>
      </c>
      <c r="M249" s="142">
        <f t="shared" si="46"/>
        <v>268.76704124999998</v>
      </c>
      <c r="N249" s="142">
        <f t="shared" si="46"/>
        <v>1143.01664805</v>
      </c>
      <c r="O249" s="142">
        <f t="shared" si="17"/>
        <v>16438.3141206</v>
      </c>
      <c r="P249" s="142">
        <f t="shared" ref="P249:S249" si="47">P237*(1+$AB$8)</f>
        <v>787059.11599999992</v>
      </c>
      <c r="Q249" s="142">
        <f t="shared" si="47"/>
        <v>11238.119999999999</v>
      </c>
      <c r="R249" s="142">
        <f t="shared" si="47"/>
        <v>6152.7699999999995</v>
      </c>
      <c r="S249" s="142">
        <f t="shared" si="47"/>
        <v>3490.2619999999997</v>
      </c>
    </row>
    <row r="250" spans="1:19">
      <c r="A250" s="140">
        <v>45108</v>
      </c>
      <c r="B250" s="89">
        <f t="shared" si="12"/>
        <v>2023</v>
      </c>
      <c r="C250" s="140" t="str">
        <f t="shared" si="14"/>
        <v>Q3</v>
      </c>
      <c r="D250" s="141">
        <f t="shared" ref="D250:G250" si="48">D238*(1+$AB$13)</f>
        <v>7808.7556999999997</v>
      </c>
      <c r="E250" s="141">
        <f t="shared" si="48"/>
        <v>7896.5443000000005</v>
      </c>
      <c r="F250" s="141">
        <f t="shared" si="48"/>
        <v>295.17910000000001</v>
      </c>
      <c r="G250" s="141">
        <f t="shared" si="48"/>
        <v>300.71622500000001</v>
      </c>
      <c r="H250" s="142">
        <f t="shared" ref="H250:N250" si="49">H238*(1+$AB$8)</f>
        <v>785259.84787439997</v>
      </c>
      <c r="I250" s="142">
        <f t="shared" si="49"/>
        <v>9884.0514583499989</v>
      </c>
      <c r="J250" s="142">
        <f t="shared" si="49"/>
        <v>9208.4285231999984</v>
      </c>
      <c r="K250" s="142">
        <f t="shared" si="49"/>
        <v>462.69681314999997</v>
      </c>
      <c r="L250" s="142">
        <f t="shared" si="49"/>
        <v>6554.2626622499993</v>
      </c>
      <c r="M250" s="142">
        <f t="shared" si="49"/>
        <v>268.76704124999998</v>
      </c>
      <c r="N250" s="142">
        <f t="shared" si="49"/>
        <v>1143.01664805</v>
      </c>
      <c r="O250" s="142">
        <f t="shared" si="17"/>
        <v>16438.3141206</v>
      </c>
      <c r="P250" s="142">
        <f t="shared" ref="P250:S250" si="50">P238*(1+$AB$8)</f>
        <v>790223.10999999987</v>
      </c>
      <c r="Q250" s="142">
        <f t="shared" si="50"/>
        <v>12356.896999999999</v>
      </c>
      <c r="R250" s="142">
        <f t="shared" si="50"/>
        <v>6260.5189999999993</v>
      </c>
      <c r="S250" s="142">
        <f t="shared" si="50"/>
        <v>3657.4239999999995</v>
      </c>
    </row>
    <row r="251" spans="1:19">
      <c r="A251" s="140">
        <v>45139</v>
      </c>
      <c r="B251" s="89">
        <f t="shared" si="12"/>
        <v>2023</v>
      </c>
      <c r="C251" s="140" t="str">
        <f t="shared" si="14"/>
        <v>Q3</v>
      </c>
      <c r="D251" s="141">
        <f t="shared" ref="D251:G251" si="51">D239*(1+$AB$13)</f>
        <v>7798.7888750000002</v>
      </c>
      <c r="E251" s="141">
        <f t="shared" si="51"/>
        <v>7878.22145</v>
      </c>
      <c r="F251" s="141">
        <f t="shared" si="51"/>
        <v>293.26627500000001</v>
      </c>
      <c r="G251" s="141">
        <f t="shared" si="51"/>
        <v>297.39394999999996</v>
      </c>
      <c r="H251" s="142">
        <f t="shared" ref="H251:N251" si="52">H239*(1+$AB$8)</f>
        <v>785259.84787439997</v>
      </c>
      <c r="I251" s="142">
        <f t="shared" si="52"/>
        <v>9884.0514583499989</v>
      </c>
      <c r="J251" s="142">
        <f t="shared" si="52"/>
        <v>9208.4285231999984</v>
      </c>
      <c r="K251" s="142">
        <f t="shared" si="52"/>
        <v>462.69681314999997</v>
      </c>
      <c r="L251" s="142">
        <f t="shared" si="52"/>
        <v>6554.2626622499993</v>
      </c>
      <c r="M251" s="142">
        <f t="shared" si="52"/>
        <v>268.76704124999998</v>
      </c>
      <c r="N251" s="142">
        <f t="shared" si="52"/>
        <v>1143.01664805</v>
      </c>
      <c r="O251" s="142">
        <f t="shared" si="17"/>
        <v>16438.3141206</v>
      </c>
      <c r="P251" s="142">
        <f t="shared" ref="P251:S251" si="53">P239*(1+$AB$8)</f>
        <v>790223.10999999987</v>
      </c>
      <c r="Q251" s="142">
        <f t="shared" si="53"/>
        <v>12356.896999999999</v>
      </c>
      <c r="R251" s="142">
        <f t="shared" si="53"/>
        <v>6260.5189999999993</v>
      </c>
      <c r="S251" s="142">
        <f t="shared" si="53"/>
        <v>3657.4239999999995</v>
      </c>
    </row>
    <row r="252" spans="1:19">
      <c r="A252" s="140">
        <v>45170</v>
      </c>
      <c r="B252" s="89">
        <f t="shared" si="12"/>
        <v>2023</v>
      </c>
      <c r="C252" s="140" t="str">
        <f t="shared" si="14"/>
        <v>Q3</v>
      </c>
      <c r="D252" s="141">
        <f t="shared" ref="D252:G252" si="54">D240*(1+$AB$13)</f>
        <v>7790.9362250000004</v>
      </c>
      <c r="E252" s="141">
        <f t="shared" si="54"/>
        <v>7819.1252249999998</v>
      </c>
      <c r="F252" s="141">
        <f t="shared" si="54"/>
        <v>296.28652500000004</v>
      </c>
      <c r="G252" s="141">
        <f t="shared" si="54"/>
        <v>297.29327499999999</v>
      </c>
      <c r="H252" s="142">
        <f t="shared" ref="H252:N252" si="55">H240*(1+$AB$8)</f>
        <v>785259.84787439997</v>
      </c>
      <c r="I252" s="142">
        <f t="shared" si="55"/>
        <v>9884.0514583499989</v>
      </c>
      <c r="J252" s="142">
        <f t="shared" si="55"/>
        <v>9208.4285231999984</v>
      </c>
      <c r="K252" s="142">
        <f t="shared" si="55"/>
        <v>462.69681314999997</v>
      </c>
      <c r="L252" s="142">
        <f t="shared" si="55"/>
        <v>6554.2626622499993</v>
      </c>
      <c r="M252" s="142">
        <f t="shared" si="55"/>
        <v>268.76704124999998</v>
      </c>
      <c r="N252" s="142">
        <f t="shared" si="55"/>
        <v>1143.01664805</v>
      </c>
      <c r="O252" s="142">
        <f t="shared" si="17"/>
        <v>16438.3141206</v>
      </c>
      <c r="P252" s="142">
        <f t="shared" ref="P252:S252" si="56">P240*(1+$AB$8)</f>
        <v>790223.10999999987</v>
      </c>
      <c r="Q252" s="142">
        <f t="shared" si="56"/>
        <v>12356.896999999999</v>
      </c>
      <c r="R252" s="142">
        <f t="shared" si="56"/>
        <v>6260.5189999999993</v>
      </c>
      <c r="S252" s="142">
        <f t="shared" si="56"/>
        <v>3657.4239999999995</v>
      </c>
    </row>
    <row r="253" spans="1:19">
      <c r="A253" s="140">
        <v>45200</v>
      </c>
      <c r="B253" s="89">
        <f t="shared" si="12"/>
        <v>2023</v>
      </c>
      <c r="C253" s="140" t="str">
        <f t="shared" si="14"/>
        <v>Q4</v>
      </c>
      <c r="D253" s="141">
        <f t="shared" ref="D253:G253" si="57">D241*(1+$AB$13)</f>
        <v>7783.6876250000005</v>
      </c>
      <c r="E253" s="141">
        <f t="shared" si="57"/>
        <v>7795.7686250000006</v>
      </c>
      <c r="F253" s="141">
        <f t="shared" si="57"/>
        <v>296.18585000000002</v>
      </c>
      <c r="G253" s="141">
        <f t="shared" si="57"/>
        <v>295.27977500000003</v>
      </c>
      <c r="H253" s="142">
        <f t="shared" ref="H253:N253" si="58">H241*(1+$AB$8)</f>
        <v>785259.84787439997</v>
      </c>
      <c r="I253" s="142">
        <f t="shared" si="58"/>
        <v>9884.0514583499989</v>
      </c>
      <c r="J253" s="142">
        <f t="shared" si="58"/>
        <v>9208.4285231999984</v>
      </c>
      <c r="K253" s="142">
        <f t="shared" si="58"/>
        <v>462.69681314999997</v>
      </c>
      <c r="L253" s="142">
        <f t="shared" si="58"/>
        <v>6554.2626622499993</v>
      </c>
      <c r="M253" s="142">
        <f t="shared" si="58"/>
        <v>268.76704124999998</v>
      </c>
      <c r="N253" s="142">
        <f t="shared" si="58"/>
        <v>1143.01664805</v>
      </c>
      <c r="O253" s="142">
        <f t="shared" si="17"/>
        <v>16438.3141206</v>
      </c>
      <c r="P253" s="142">
        <f t="shared" ref="P253:S253" si="59">P241*(1+$AB$8)</f>
        <v>801398.60416649992</v>
      </c>
      <c r="Q253" s="142">
        <f t="shared" si="59"/>
        <v>10526.274217499998</v>
      </c>
      <c r="R253" s="142">
        <f t="shared" si="59"/>
        <v>6159.2012054999987</v>
      </c>
      <c r="S253" s="142">
        <f t="shared" si="59"/>
        <v>3526.8498344999994</v>
      </c>
    </row>
    <row r="254" spans="1:19">
      <c r="A254" s="140">
        <v>45231</v>
      </c>
      <c r="B254" s="89">
        <f t="shared" si="12"/>
        <v>2023</v>
      </c>
      <c r="C254" s="140" t="str">
        <f t="shared" si="14"/>
        <v>Q4</v>
      </c>
      <c r="D254" s="141">
        <f t="shared" ref="D254:G254" si="60">D242*(1+$AB$13)</f>
        <v>7789.1240749999997</v>
      </c>
      <c r="E254" s="141">
        <f t="shared" si="60"/>
        <v>7791.1375749999997</v>
      </c>
      <c r="F254" s="141">
        <f t="shared" si="60"/>
        <v>297.49462499999998</v>
      </c>
      <c r="G254" s="141">
        <f t="shared" si="60"/>
        <v>294.675725</v>
      </c>
      <c r="H254" s="142">
        <f t="shared" ref="H254:N254" si="61">H242*(1+$AB$8)</f>
        <v>785259.84787439997</v>
      </c>
      <c r="I254" s="142">
        <f t="shared" si="61"/>
        <v>9884.0514583499989</v>
      </c>
      <c r="J254" s="142">
        <f t="shared" si="61"/>
        <v>9208.4285231999984</v>
      </c>
      <c r="K254" s="142">
        <f t="shared" si="61"/>
        <v>462.69681314999997</v>
      </c>
      <c r="L254" s="142">
        <f t="shared" si="61"/>
        <v>6554.2626622499993</v>
      </c>
      <c r="M254" s="142">
        <f t="shared" si="61"/>
        <v>268.76704124999998</v>
      </c>
      <c r="N254" s="142">
        <f t="shared" si="61"/>
        <v>1143.01664805</v>
      </c>
      <c r="O254" s="142">
        <f t="shared" si="17"/>
        <v>16438.3141206</v>
      </c>
      <c r="P254" s="142">
        <f t="shared" ref="P254:S254" si="62">P242*(1+$AB$8)</f>
        <v>801398.60416649992</v>
      </c>
      <c r="Q254" s="142">
        <f t="shared" si="62"/>
        <v>10526.274217499998</v>
      </c>
      <c r="R254" s="142">
        <f t="shared" si="62"/>
        <v>6159.2012054999987</v>
      </c>
      <c r="S254" s="142">
        <f t="shared" si="62"/>
        <v>3526.8498344999994</v>
      </c>
    </row>
    <row r="255" spans="1:19">
      <c r="A255" s="140">
        <v>45261</v>
      </c>
      <c r="B255" s="89">
        <f t="shared" si="12"/>
        <v>2023</v>
      </c>
      <c r="C255" s="140" t="str">
        <f t="shared" si="14"/>
        <v>Q4</v>
      </c>
      <c r="D255" s="141">
        <f t="shared" ref="D255:G255" si="63">D243*(1+$AB$13)</f>
        <v>7813.286075</v>
      </c>
      <c r="E255" s="141">
        <f t="shared" si="63"/>
        <v>7829.6961000000001</v>
      </c>
      <c r="F255" s="141">
        <f t="shared" si="63"/>
        <v>297.49462499999998</v>
      </c>
      <c r="G255" s="141">
        <f t="shared" si="63"/>
        <v>295.17910000000001</v>
      </c>
      <c r="H255" s="142">
        <f t="shared" ref="H255:N255" si="64">H243*(1+$AB$8)</f>
        <v>785259.84787439997</v>
      </c>
      <c r="I255" s="142">
        <f t="shared" si="64"/>
        <v>9884.0514583499989</v>
      </c>
      <c r="J255" s="142">
        <f t="shared" si="64"/>
        <v>9208.4285231999984</v>
      </c>
      <c r="K255" s="142">
        <f t="shared" si="64"/>
        <v>462.69681314999997</v>
      </c>
      <c r="L255" s="142">
        <f t="shared" si="64"/>
        <v>6554.2626622499993</v>
      </c>
      <c r="M255" s="142">
        <f t="shared" si="64"/>
        <v>268.76704124999998</v>
      </c>
      <c r="N255" s="142">
        <f t="shared" si="64"/>
        <v>1143.01664805</v>
      </c>
      <c r="O255" s="142">
        <f t="shared" si="17"/>
        <v>16438.3141206</v>
      </c>
      <c r="P255" s="142">
        <f t="shared" ref="P255:S255" si="65">P243*(1+$AB$8)</f>
        <v>801398.60416649992</v>
      </c>
      <c r="Q255" s="142">
        <f t="shared" si="65"/>
        <v>10526.274217499998</v>
      </c>
      <c r="R255" s="142">
        <f t="shared" si="65"/>
        <v>6159.2012054999987</v>
      </c>
      <c r="S255" s="142">
        <f t="shared" si="65"/>
        <v>3526.8498344999994</v>
      </c>
    </row>
    <row r="256" spans="1:19">
      <c r="A256" s="30"/>
      <c r="C256" s="3"/>
      <c r="D256" s="72"/>
      <c r="E256" s="72"/>
      <c r="F256" s="72"/>
      <c r="G256" s="72"/>
      <c r="H256" s="90"/>
      <c r="I256" s="90"/>
      <c r="J256" s="90"/>
      <c r="K256" s="90"/>
      <c r="L256" s="90"/>
      <c r="M256" s="90"/>
      <c r="N256" s="90"/>
      <c r="O256" s="70"/>
      <c r="P256" s="70"/>
      <c r="Q256" s="70"/>
      <c r="R256" s="70"/>
      <c r="S256" s="70"/>
    </row>
    <row r="257" spans="3:19" ht="120">
      <c r="C257" s="3"/>
      <c r="H257" s="47" t="s">
        <v>196</v>
      </c>
      <c r="I257" s="47" t="s">
        <v>197</v>
      </c>
      <c r="J257" s="47" t="s">
        <v>198</v>
      </c>
      <c r="K257" s="47" t="s">
        <v>199</v>
      </c>
      <c r="L257" s="47" t="s">
        <v>200</v>
      </c>
      <c r="M257" s="47" t="s">
        <v>201</v>
      </c>
      <c r="N257" s="47" t="s">
        <v>202</v>
      </c>
      <c r="P257" s="70">
        <v>0</v>
      </c>
      <c r="Q257" s="70">
        <v>0</v>
      </c>
      <c r="R257" s="70">
        <v>0</v>
      </c>
      <c r="S257" s="70">
        <v>0</v>
      </c>
    </row>
    <row r="261" spans="3:19">
      <c r="H261" s="18"/>
      <c r="I261" s="18"/>
      <c r="J261" s="18"/>
      <c r="L261" s="18"/>
    </row>
    <row r="262" spans="3:19">
      <c r="H262" s="18"/>
      <c r="I262" s="18"/>
      <c r="J262" s="18"/>
      <c r="L262" s="18"/>
      <c r="N262" s="18"/>
    </row>
    <row r="263" spans="3:19">
      <c r="H263" s="18"/>
      <c r="I263" s="18"/>
      <c r="J263" s="18"/>
      <c r="L263" s="18"/>
      <c r="N263" s="18"/>
    </row>
    <row r="264" spans="3:19">
      <c r="H264" s="18"/>
      <c r="I264" s="18"/>
      <c r="J264" s="18"/>
      <c r="L264" s="18"/>
    </row>
    <row r="265" spans="3:19">
      <c r="H265" s="18"/>
      <c r="I265" s="18"/>
      <c r="J265" s="18"/>
      <c r="L265" s="18"/>
      <c r="N265" s="18"/>
    </row>
  </sheetData>
  <mergeCells count="7">
    <mergeCell ref="P1:S1"/>
    <mergeCell ref="P3:S3"/>
    <mergeCell ref="F1:G1"/>
    <mergeCell ref="D1:E1"/>
    <mergeCell ref="D3:G3"/>
    <mergeCell ref="H3:N3"/>
    <mergeCell ref="H1:O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3" tint="0.79998168889431442"/>
  </sheetPr>
  <dimension ref="A1:AF159"/>
  <sheetViews>
    <sheetView topLeftCell="R13" workbookViewId="0">
      <selection activeCell="Y134" sqref="Y134"/>
    </sheetView>
  </sheetViews>
  <sheetFormatPr defaultRowHeight="15"/>
  <cols>
    <col min="1" max="1" width="11.7109375" customWidth="1"/>
    <col min="4" max="4" width="17.7109375" customWidth="1"/>
    <col min="7" max="7" width="11.85546875" bestFit="1" customWidth="1"/>
    <col min="9" max="9" width="11.42578125" bestFit="1" customWidth="1"/>
    <col min="10" max="11" width="11.42578125" customWidth="1"/>
    <col min="14" max="24" width="12.5703125" customWidth="1"/>
    <col min="25" max="25" width="13.42578125" customWidth="1"/>
    <col min="28" max="28" width="14" bestFit="1" customWidth="1"/>
    <col min="29" max="29" width="17.140625" customWidth="1"/>
    <col min="30" max="30" width="13.28515625" bestFit="1" customWidth="1"/>
    <col min="31" max="31" width="11.42578125" customWidth="1"/>
  </cols>
  <sheetData>
    <row r="1" spans="1:32">
      <c r="A1" t="s">
        <v>0</v>
      </c>
      <c r="B1" t="s">
        <v>52</v>
      </c>
      <c r="C1" t="s">
        <v>53</v>
      </c>
      <c r="D1" t="s">
        <v>75</v>
      </c>
      <c r="E1" t="s">
        <v>179</v>
      </c>
      <c r="F1" t="s">
        <v>178</v>
      </c>
      <c r="G1" t="s">
        <v>187</v>
      </c>
      <c r="H1" t="s">
        <v>43</v>
      </c>
      <c r="I1" t="s">
        <v>68</v>
      </c>
      <c r="J1" t="str">
        <f>'Monthly Data'!CE1</f>
        <v>Shoulder</v>
      </c>
      <c r="K1" t="str">
        <f>'Monthly Data'!CQ1</f>
        <v>COVIDHDD14</v>
      </c>
      <c r="L1" t="str">
        <f>'Monthly Data'!CP1</f>
        <v>COVIDCDD16</v>
      </c>
      <c r="N1" t="s">
        <v>85</v>
      </c>
      <c r="O1" t="str">
        <f t="shared" ref="O1:V1" si="0">E1</f>
        <v>HDD14</v>
      </c>
      <c r="P1" t="str">
        <f t="shared" si="0"/>
        <v>CDD16</v>
      </c>
      <c r="Q1" t="str">
        <f t="shared" si="0"/>
        <v>Adj.Ont_FTE</v>
      </c>
      <c r="R1" t="str">
        <f t="shared" si="0"/>
        <v>Dec</v>
      </c>
      <c r="S1" t="str">
        <f t="shared" si="0"/>
        <v>Month Days</v>
      </c>
      <c r="T1" t="str">
        <f t="shared" si="0"/>
        <v>Shoulder</v>
      </c>
      <c r="U1" t="str">
        <f t="shared" si="0"/>
        <v>COVIDHDD14</v>
      </c>
      <c r="V1" t="str">
        <f t="shared" si="0"/>
        <v>COVIDCDD16</v>
      </c>
      <c r="W1" t="s">
        <v>86</v>
      </c>
      <c r="Y1" t="s">
        <v>87</v>
      </c>
    </row>
    <row r="2" spans="1:32">
      <c r="A2" s="245">
        <v>40909</v>
      </c>
      <c r="B2">
        <f t="shared" ref="B2:B21" si="1">MONTH(A2)</f>
        <v>1</v>
      </c>
      <c r="C2">
        <f t="shared" ref="C2:C21" si="2">YEAR(A2)</f>
        <v>2012</v>
      </c>
      <c r="D2" s="6">
        <v>22940442.075525835</v>
      </c>
      <c r="E2">
        <v>488.59999999999997</v>
      </c>
      <c r="F2">
        <v>0</v>
      </c>
      <c r="G2">
        <v>6611.1</v>
      </c>
      <c r="H2">
        <v>0</v>
      </c>
      <c r="I2">
        <v>31</v>
      </c>
      <c r="J2">
        <f>'Monthly Data'!CE2</f>
        <v>0</v>
      </c>
      <c r="K2">
        <f>'Monthly Data'!CQ2</f>
        <v>0</v>
      </c>
      <c r="L2">
        <f>'Monthly Data'!CP2</f>
        <v>0</v>
      </c>
      <c r="N2" s="6">
        <f>$AC$7</f>
        <v>-12141897.0683104</v>
      </c>
      <c r="O2" s="6">
        <f>E2*$AC$8</f>
        <v>5535249.9138120916</v>
      </c>
      <c r="P2" s="6">
        <f>F2*$AC$9</f>
        <v>0</v>
      </c>
      <c r="Q2" s="6">
        <f>G2*$AC$10</f>
        <v>9262529.1419620197</v>
      </c>
      <c r="R2" s="6">
        <f>H2*$AC$11</f>
        <v>0</v>
      </c>
      <c r="S2" s="6">
        <f>I2*$AC$12</f>
        <v>19225004.128495038</v>
      </c>
      <c r="T2" s="6">
        <f>J2*$AC$13</f>
        <v>0</v>
      </c>
      <c r="U2" s="6">
        <f>K2*$AC$14</f>
        <v>0</v>
      </c>
      <c r="V2" s="6">
        <f>L2*$AC$15</f>
        <v>0</v>
      </c>
      <c r="W2" s="6">
        <f>SUM(N2:V2)</f>
        <v>21880886.11595875</v>
      </c>
      <c r="X2" s="6">
        <f>W2-D2</f>
        <v>-1059555.9595670849</v>
      </c>
      <c r="Y2" s="15">
        <f t="shared" ref="Y2:Y21" si="3">ABS(W2-D2)/D2</f>
        <v>4.6187251147068314E-2</v>
      </c>
      <c r="AB2" t="s">
        <v>381</v>
      </c>
    </row>
    <row r="3" spans="1:32">
      <c r="A3" s="245">
        <v>40940</v>
      </c>
      <c r="B3">
        <f t="shared" si="1"/>
        <v>2</v>
      </c>
      <c r="C3">
        <f t="shared" si="2"/>
        <v>2012</v>
      </c>
      <c r="D3" s="6">
        <v>19750182.603521436</v>
      </c>
      <c r="E3">
        <v>405.99999999999994</v>
      </c>
      <c r="F3">
        <v>0</v>
      </c>
      <c r="G3">
        <v>6571.2</v>
      </c>
      <c r="H3">
        <v>0</v>
      </c>
      <c r="I3">
        <v>29</v>
      </c>
      <c r="J3">
        <f>'Monthly Data'!CE3</f>
        <v>0</v>
      </c>
      <c r="K3">
        <f>'Monthly Data'!CQ3</f>
        <v>0</v>
      </c>
      <c r="L3">
        <f>'Monthly Data'!CP3</f>
        <v>0</v>
      </c>
      <c r="N3" s="6">
        <f t="shared" ref="N3:N66" si="4">$AC$7</f>
        <v>-12141897.0683104</v>
      </c>
      <c r="O3" s="6">
        <f t="shared" ref="O3:O66" si="5">E3*$AC$8</f>
        <v>4599491.3323940011</v>
      </c>
      <c r="P3" s="6">
        <f t="shared" ref="P3:P66" si="6">F3*$AC$9</f>
        <v>0</v>
      </c>
      <c r="Q3" s="6">
        <f t="shared" ref="Q3:Q66" si="7">G3*$AC$10</f>
        <v>9206626.960363755</v>
      </c>
      <c r="R3" s="6">
        <f t="shared" ref="R3:R66" si="8">H3*$AC$11</f>
        <v>0</v>
      </c>
      <c r="S3" s="6">
        <f t="shared" ref="S3:S66" si="9">I3*$AC$12</f>
        <v>17984681.281495359</v>
      </c>
      <c r="T3" s="6">
        <f t="shared" ref="T3:T66" si="10">J3*$AC$13</f>
        <v>0</v>
      </c>
      <c r="U3" s="6">
        <f t="shared" ref="U3:U66" si="11">K3*$AC$14</f>
        <v>0</v>
      </c>
      <c r="V3" s="6">
        <f t="shared" ref="V3:V66" si="12">L3*$AC$15</f>
        <v>0</v>
      </c>
      <c r="W3" s="6">
        <f t="shared" ref="W3:W66" si="13">SUM(N3:V3)</f>
        <v>19648902.505942713</v>
      </c>
      <c r="X3" s="6">
        <f t="shared" ref="X3:X21" si="14">W3-D3</f>
        <v>-101280.09757872298</v>
      </c>
      <c r="Y3" s="15">
        <f t="shared" si="3"/>
        <v>5.1280587937786891E-3</v>
      </c>
      <c r="AB3" t="s">
        <v>88</v>
      </c>
    </row>
    <row r="4" spans="1:32">
      <c r="A4" s="245">
        <v>40969</v>
      </c>
      <c r="B4">
        <f t="shared" si="1"/>
        <v>3</v>
      </c>
      <c r="C4">
        <f t="shared" si="2"/>
        <v>2012</v>
      </c>
      <c r="D4" s="6">
        <v>18667532.484367538</v>
      </c>
      <c r="E4">
        <v>216.19999999999996</v>
      </c>
      <c r="F4">
        <v>13.300000000000004</v>
      </c>
      <c r="G4">
        <v>6541.5</v>
      </c>
      <c r="H4">
        <v>0</v>
      </c>
      <c r="I4">
        <v>31</v>
      </c>
      <c r="J4">
        <f>'Monthly Data'!CE4</f>
        <v>1</v>
      </c>
      <c r="K4">
        <f>'Monthly Data'!CQ4</f>
        <v>0</v>
      </c>
      <c r="L4">
        <f>'Monthly Data'!CP4</f>
        <v>0</v>
      </c>
      <c r="N4" s="6">
        <f t="shared" si="4"/>
        <v>-12141897.0683104</v>
      </c>
      <c r="O4" s="6">
        <f t="shared" si="5"/>
        <v>2449285.7784817317</v>
      </c>
      <c r="P4" s="6">
        <f t="shared" si="6"/>
        <v>838148.58348918334</v>
      </c>
      <c r="Q4" s="6">
        <f t="shared" si="7"/>
        <v>9165015.5620312113</v>
      </c>
      <c r="R4" s="6">
        <f t="shared" si="8"/>
        <v>0</v>
      </c>
      <c r="S4" s="6">
        <f t="shared" si="9"/>
        <v>19225004.128495038</v>
      </c>
      <c r="T4" s="6">
        <f t="shared" si="10"/>
        <v>-730615.53830697597</v>
      </c>
      <c r="U4" s="6">
        <f t="shared" si="11"/>
        <v>0</v>
      </c>
      <c r="V4" s="6">
        <f t="shared" si="12"/>
        <v>0</v>
      </c>
      <c r="W4" s="6">
        <f t="shared" si="13"/>
        <v>18804941.445879783</v>
      </c>
      <c r="X4" s="6">
        <f t="shared" si="14"/>
        <v>137408.96151224524</v>
      </c>
      <c r="Y4" s="15">
        <f t="shared" si="3"/>
        <v>7.3608529476144472E-3</v>
      </c>
      <c r="AB4" t="s">
        <v>369</v>
      </c>
    </row>
    <row r="5" spans="1:32">
      <c r="A5" s="245">
        <v>41000</v>
      </c>
      <c r="B5">
        <f t="shared" si="1"/>
        <v>4</v>
      </c>
      <c r="C5">
        <f t="shared" si="2"/>
        <v>2012</v>
      </c>
      <c r="D5" s="6">
        <v>17185932.248962335</v>
      </c>
      <c r="E5">
        <v>223.79999999999995</v>
      </c>
      <c r="F5">
        <v>2</v>
      </c>
      <c r="G5">
        <v>6574.2</v>
      </c>
      <c r="H5">
        <v>0</v>
      </c>
      <c r="I5">
        <v>30</v>
      </c>
      <c r="J5">
        <f>'Monthly Data'!CE5</f>
        <v>1</v>
      </c>
      <c r="K5">
        <f>'Monthly Data'!CQ5</f>
        <v>0</v>
      </c>
      <c r="L5">
        <f>'Monthly Data'!CP5</f>
        <v>0</v>
      </c>
      <c r="N5" s="6">
        <f t="shared" si="4"/>
        <v>-12141897.0683104</v>
      </c>
      <c r="O5" s="6">
        <f t="shared" si="5"/>
        <v>2535384.631009304</v>
      </c>
      <c r="P5" s="6">
        <f t="shared" si="6"/>
        <v>126037.380975817</v>
      </c>
      <c r="Q5" s="6">
        <f t="shared" si="7"/>
        <v>9210830.1319124959</v>
      </c>
      <c r="R5" s="6">
        <f t="shared" si="8"/>
        <v>0</v>
      </c>
      <c r="S5" s="6">
        <f t="shared" si="9"/>
        <v>18604842.7049952</v>
      </c>
      <c r="T5" s="6">
        <f t="shared" si="10"/>
        <v>-730615.53830697597</v>
      </c>
      <c r="U5" s="6">
        <f t="shared" si="11"/>
        <v>0</v>
      </c>
      <c r="V5" s="6">
        <f t="shared" si="12"/>
        <v>0</v>
      </c>
      <c r="W5" s="6">
        <f t="shared" si="13"/>
        <v>17604582.242275439</v>
      </c>
      <c r="X5" s="6">
        <f t="shared" si="14"/>
        <v>418649.99331310391</v>
      </c>
      <c r="Y5" s="15">
        <f t="shared" si="3"/>
        <v>2.4360039784189273E-2</v>
      </c>
    </row>
    <row r="6" spans="1:32">
      <c r="A6" s="245">
        <v>41030</v>
      </c>
      <c r="B6">
        <f t="shared" si="1"/>
        <v>5</v>
      </c>
      <c r="C6">
        <f t="shared" si="2"/>
        <v>2012</v>
      </c>
      <c r="D6" s="6">
        <v>18842238.561853837</v>
      </c>
      <c r="E6">
        <v>33.5</v>
      </c>
      <c r="F6">
        <v>47.099999999999994</v>
      </c>
      <c r="G6">
        <v>6626.1</v>
      </c>
      <c r="H6">
        <v>0</v>
      </c>
      <c r="I6">
        <v>31</v>
      </c>
      <c r="J6">
        <f>'Monthly Data'!CE6</f>
        <v>1</v>
      </c>
      <c r="K6">
        <f>'Monthly Data'!CQ6</f>
        <v>0</v>
      </c>
      <c r="L6">
        <f>'Monthly Data'!CP6</f>
        <v>0</v>
      </c>
      <c r="N6" s="6">
        <f t="shared" si="4"/>
        <v>-12141897.0683104</v>
      </c>
      <c r="O6" s="6">
        <f t="shared" si="5"/>
        <v>379514.67890443117</v>
      </c>
      <c r="P6" s="6">
        <f t="shared" si="6"/>
        <v>2968180.3219804899</v>
      </c>
      <c r="Q6" s="6">
        <f t="shared" si="7"/>
        <v>9283544.9997057281</v>
      </c>
      <c r="R6" s="6">
        <f t="shared" si="8"/>
        <v>0</v>
      </c>
      <c r="S6" s="6">
        <f t="shared" si="9"/>
        <v>19225004.128495038</v>
      </c>
      <c r="T6" s="6">
        <f t="shared" si="10"/>
        <v>-730615.53830697597</v>
      </c>
      <c r="U6" s="6">
        <f t="shared" si="11"/>
        <v>0</v>
      </c>
      <c r="V6" s="6">
        <f t="shared" si="12"/>
        <v>0</v>
      </c>
      <c r="W6" s="6">
        <f t="shared" si="13"/>
        <v>18983731.52246831</v>
      </c>
      <c r="X6" s="6">
        <f t="shared" si="14"/>
        <v>141492.96061447263</v>
      </c>
      <c r="Y6" s="15">
        <f t="shared" si="3"/>
        <v>7.5093498126557797E-3</v>
      </c>
      <c r="AC6" s="6" t="s">
        <v>89</v>
      </c>
      <c r="AD6" t="s">
        <v>90</v>
      </c>
      <c r="AE6" t="s">
        <v>91</v>
      </c>
      <c r="AF6" s="21" t="s">
        <v>92</v>
      </c>
    </row>
    <row r="7" spans="1:32">
      <c r="A7" s="245">
        <v>41061</v>
      </c>
      <c r="B7">
        <f t="shared" si="1"/>
        <v>6</v>
      </c>
      <c r="C7">
        <f t="shared" si="2"/>
        <v>2012</v>
      </c>
      <c r="D7" s="6">
        <v>24330964.085286837</v>
      </c>
      <c r="E7">
        <v>2.7999999999999989</v>
      </c>
      <c r="F7">
        <v>139.40000000000003</v>
      </c>
      <c r="G7">
        <v>6702</v>
      </c>
      <c r="H7">
        <v>0</v>
      </c>
      <c r="I7">
        <v>30</v>
      </c>
      <c r="J7">
        <f>'Monthly Data'!CE7</f>
        <v>0</v>
      </c>
      <c r="K7">
        <f>'Monthly Data'!CQ7</f>
        <v>0</v>
      </c>
      <c r="L7">
        <f>'Monthly Data'!CP7</f>
        <v>0</v>
      </c>
      <c r="N7" s="6">
        <f t="shared" si="4"/>
        <v>-12141897.0683104</v>
      </c>
      <c r="O7" s="6">
        <f t="shared" si="5"/>
        <v>31720.629878579308</v>
      </c>
      <c r="P7" s="6">
        <f t="shared" si="6"/>
        <v>8784805.4540144466</v>
      </c>
      <c r="Q7" s="6">
        <f t="shared" si="7"/>
        <v>9389885.2398888916</v>
      </c>
      <c r="R7" s="6">
        <f t="shared" si="8"/>
        <v>0</v>
      </c>
      <c r="S7" s="6">
        <f t="shared" si="9"/>
        <v>18604842.7049952</v>
      </c>
      <c r="T7" s="6">
        <f t="shared" si="10"/>
        <v>0</v>
      </c>
      <c r="U7" s="6">
        <f t="shared" si="11"/>
        <v>0</v>
      </c>
      <c r="V7" s="6">
        <f t="shared" si="12"/>
        <v>0</v>
      </c>
      <c r="W7" s="6">
        <f t="shared" si="13"/>
        <v>24669356.960466716</v>
      </c>
      <c r="X7" s="6">
        <f t="shared" si="14"/>
        <v>338392.87517987937</v>
      </c>
      <c r="Y7" s="15">
        <f t="shared" si="3"/>
        <v>1.3907910676852658E-2</v>
      </c>
      <c r="AB7" t="s">
        <v>85</v>
      </c>
      <c r="AC7" s="6">
        <v>-12141897.0683104</v>
      </c>
      <c r="AD7" s="70">
        <v>2605352.20659312</v>
      </c>
      <c r="AE7" s="85">
        <v>-4.6603668546555896</v>
      </c>
      <c r="AF7" s="240">
        <v>8.07107408093822E-6</v>
      </c>
    </row>
    <row r="8" spans="1:32">
      <c r="A8" s="245">
        <v>41091</v>
      </c>
      <c r="B8">
        <f t="shared" si="1"/>
        <v>7</v>
      </c>
      <c r="C8">
        <f t="shared" si="2"/>
        <v>2012</v>
      </c>
      <c r="D8" s="6">
        <v>30485698.764678538</v>
      </c>
      <c r="E8">
        <v>0</v>
      </c>
      <c r="F8">
        <v>215.9</v>
      </c>
      <c r="G8">
        <v>6741.1</v>
      </c>
      <c r="H8">
        <v>0</v>
      </c>
      <c r="I8">
        <v>31</v>
      </c>
      <c r="J8">
        <f>'Monthly Data'!CE8</f>
        <v>0</v>
      </c>
      <c r="K8">
        <f>'Monthly Data'!CQ8</f>
        <v>0</v>
      </c>
      <c r="L8">
        <f>'Monthly Data'!CP8</f>
        <v>0</v>
      </c>
      <c r="N8" s="6">
        <f t="shared" si="4"/>
        <v>-12141897.0683104</v>
      </c>
      <c r="O8" s="6">
        <f t="shared" si="5"/>
        <v>0</v>
      </c>
      <c r="P8" s="6">
        <f t="shared" si="6"/>
        <v>13605735.276339445</v>
      </c>
      <c r="Q8" s="6">
        <f t="shared" si="7"/>
        <v>9444666.5757408254</v>
      </c>
      <c r="R8" s="6">
        <f t="shared" si="8"/>
        <v>0</v>
      </c>
      <c r="S8" s="6">
        <f t="shared" si="9"/>
        <v>19225004.128495038</v>
      </c>
      <c r="T8" s="6">
        <f t="shared" si="10"/>
        <v>0</v>
      </c>
      <c r="U8" s="6">
        <f t="shared" si="11"/>
        <v>0</v>
      </c>
      <c r="V8" s="6">
        <f t="shared" si="12"/>
        <v>0</v>
      </c>
      <c r="W8" s="6">
        <f t="shared" si="13"/>
        <v>30133508.912264906</v>
      </c>
      <c r="X8" s="6">
        <f t="shared" si="14"/>
        <v>-352189.85241363198</v>
      </c>
      <c r="Y8" s="15">
        <f t="shared" si="3"/>
        <v>1.1552625220507906E-2</v>
      </c>
      <c r="AB8" t="s">
        <v>179</v>
      </c>
      <c r="AC8" s="6">
        <v>11328.796385206901</v>
      </c>
      <c r="AD8" s="70">
        <v>533.10288471963895</v>
      </c>
      <c r="AE8" s="85">
        <v>21.250675451071199</v>
      </c>
      <c r="AF8" s="240">
        <v>5.4457486274447803E-43</v>
      </c>
    </row>
    <row r="9" spans="1:32">
      <c r="A9" s="245">
        <v>41122</v>
      </c>
      <c r="B9">
        <f t="shared" si="1"/>
        <v>8</v>
      </c>
      <c r="C9">
        <f t="shared" si="2"/>
        <v>2012</v>
      </c>
      <c r="D9" s="6">
        <v>25829575.968242534</v>
      </c>
      <c r="E9">
        <v>0</v>
      </c>
      <c r="F9">
        <v>147.50000000000003</v>
      </c>
      <c r="G9">
        <v>6758.8</v>
      </c>
      <c r="H9">
        <v>0</v>
      </c>
      <c r="I9">
        <v>31</v>
      </c>
      <c r="J9">
        <f>'Monthly Data'!CE9</f>
        <v>0</v>
      </c>
      <c r="K9">
        <f>'Monthly Data'!CQ9</f>
        <v>0</v>
      </c>
      <c r="L9">
        <f>'Monthly Data'!CP9</f>
        <v>0</v>
      </c>
      <c r="N9" s="6">
        <f t="shared" si="4"/>
        <v>-12141897.0683104</v>
      </c>
      <c r="O9" s="6">
        <f t="shared" si="5"/>
        <v>0</v>
      </c>
      <c r="P9" s="6">
        <f t="shared" si="6"/>
        <v>9295256.8469665051</v>
      </c>
      <c r="Q9" s="6">
        <f t="shared" si="7"/>
        <v>9469465.2878783997</v>
      </c>
      <c r="R9" s="6">
        <f t="shared" si="8"/>
        <v>0</v>
      </c>
      <c r="S9" s="6">
        <f t="shared" si="9"/>
        <v>19225004.128495038</v>
      </c>
      <c r="T9" s="6">
        <f t="shared" si="10"/>
        <v>0</v>
      </c>
      <c r="U9" s="6">
        <f t="shared" si="11"/>
        <v>0</v>
      </c>
      <c r="V9" s="6">
        <f t="shared" si="12"/>
        <v>0</v>
      </c>
      <c r="W9" s="6">
        <f t="shared" si="13"/>
        <v>25847829.195029542</v>
      </c>
      <c r="X9" s="6">
        <f t="shared" si="14"/>
        <v>18253.226787008345</v>
      </c>
      <c r="Y9" s="15">
        <f t="shared" si="3"/>
        <v>7.0667930474161442E-4</v>
      </c>
      <c r="AB9" t="s">
        <v>178</v>
      </c>
      <c r="AC9" s="6">
        <v>63018.690487908498</v>
      </c>
      <c r="AD9" s="70">
        <v>1878.35415724375</v>
      </c>
      <c r="AE9" s="85">
        <v>33.549951293732903</v>
      </c>
      <c r="AF9" s="240">
        <v>9.4927391094578204E-64</v>
      </c>
    </row>
    <row r="10" spans="1:32">
      <c r="A10" s="245">
        <v>41153</v>
      </c>
      <c r="B10">
        <f t="shared" si="1"/>
        <v>9</v>
      </c>
      <c r="C10">
        <f t="shared" si="2"/>
        <v>2012</v>
      </c>
      <c r="D10" s="6">
        <v>19738217.869771238</v>
      </c>
      <c r="E10">
        <v>26.4</v>
      </c>
      <c r="F10">
        <v>52.199999999999996</v>
      </c>
      <c r="G10">
        <v>6722.8</v>
      </c>
      <c r="H10">
        <v>0</v>
      </c>
      <c r="I10">
        <v>30</v>
      </c>
      <c r="J10">
        <f>'Monthly Data'!CE10</f>
        <v>1</v>
      </c>
      <c r="K10">
        <f>'Monthly Data'!CQ10</f>
        <v>0</v>
      </c>
      <c r="L10">
        <f>'Monthly Data'!CP10</f>
        <v>0</v>
      </c>
      <c r="N10" s="6">
        <f t="shared" si="4"/>
        <v>-12141897.0683104</v>
      </c>
      <c r="O10" s="6">
        <f t="shared" si="5"/>
        <v>299080.22456946218</v>
      </c>
      <c r="P10" s="6">
        <f t="shared" si="6"/>
        <v>3289575.6434688233</v>
      </c>
      <c r="Q10" s="6">
        <f t="shared" si="7"/>
        <v>9419027.229293501</v>
      </c>
      <c r="R10" s="6">
        <f t="shared" si="8"/>
        <v>0</v>
      </c>
      <c r="S10" s="6">
        <f t="shared" si="9"/>
        <v>18604842.7049952</v>
      </c>
      <c r="T10" s="6">
        <f t="shared" si="10"/>
        <v>-730615.53830697597</v>
      </c>
      <c r="U10" s="6">
        <f t="shared" si="11"/>
        <v>0</v>
      </c>
      <c r="V10" s="6">
        <f t="shared" si="12"/>
        <v>0</v>
      </c>
      <c r="W10" s="6">
        <f t="shared" si="13"/>
        <v>18740013.195709608</v>
      </c>
      <c r="X10" s="6">
        <f t="shared" si="14"/>
        <v>-998204.67406162992</v>
      </c>
      <c r="Y10" s="15">
        <f t="shared" si="3"/>
        <v>5.0572178331781625E-2</v>
      </c>
      <c r="AB10" t="s">
        <v>191</v>
      </c>
      <c r="AC10" s="6">
        <v>1401.0571829138901</v>
      </c>
      <c r="AD10" s="70">
        <v>250.60886535453099</v>
      </c>
      <c r="AE10" s="85">
        <v>5.5906130093675799</v>
      </c>
      <c r="AF10" s="240">
        <v>1.3882729311346399E-7</v>
      </c>
    </row>
    <row r="11" spans="1:32">
      <c r="A11" s="245">
        <v>41183</v>
      </c>
      <c r="B11">
        <f t="shared" si="1"/>
        <v>10</v>
      </c>
      <c r="C11">
        <f t="shared" si="2"/>
        <v>2012</v>
      </c>
      <c r="D11" s="6">
        <v>18150877.194894433</v>
      </c>
      <c r="E11">
        <v>118.29999999999998</v>
      </c>
      <c r="F11">
        <v>9.8000000000000007</v>
      </c>
      <c r="G11">
        <v>6699.2</v>
      </c>
      <c r="H11">
        <v>0</v>
      </c>
      <c r="I11">
        <v>31</v>
      </c>
      <c r="J11">
        <f>'Monthly Data'!CE11</f>
        <v>1</v>
      </c>
      <c r="K11">
        <f>'Monthly Data'!CQ11</f>
        <v>0</v>
      </c>
      <c r="L11">
        <f>'Monthly Data'!CP11</f>
        <v>0</v>
      </c>
      <c r="N11" s="6">
        <f t="shared" si="4"/>
        <v>-12141897.0683104</v>
      </c>
      <c r="O11" s="6">
        <f t="shared" si="5"/>
        <v>1340196.6123699762</v>
      </c>
      <c r="P11" s="6">
        <f t="shared" si="6"/>
        <v>617583.16678150336</v>
      </c>
      <c r="Q11" s="6">
        <f t="shared" si="7"/>
        <v>9385962.2797767315</v>
      </c>
      <c r="R11" s="6">
        <f t="shared" si="8"/>
        <v>0</v>
      </c>
      <c r="S11" s="6">
        <f t="shared" si="9"/>
        <v>19225004.128495038</v>
      </c>
      <c r="T11" s="6">
        <f t="shared" si="10"/>
        <v>-730615.53830697597</v>
      </c>
      <c r="U11" s="6">
        <f t="shared" si="11"/>
        <v>0</v>
      </c>
      <c r="V11" s="6">
        <f t="shared" si="12"/>
        <v>0</v>
      </c>
      <c r="W11" s="6">
        <f t="shared" si="13"/>
        <v>17696233.580805872</v>
      </c>
      <c r="X11" s="6">
        <f t="shared" si="14"/>
        <v>-454643.61408856139</v>
      </c>
      <c r="Y11" s="15">
        <f t="shared" si="3"/>
        <v>2.504802435754707E-2</v>
      </c>
      <c r="AB11" t="s">
        <v>43</v>
      </c>
      <c r="AC11" s="6">
        <v>695677.72202584799</v>
      </c>
      <c r="AD11" s="70">
        <v>201899.18245292001</v>
      </c>
      <c r="AE11" s="85">
        <v>3.4456688411210901</v>
      </c>
      <c r="AF11" s="240">
        <v>7.7992994966197E-4</v>
      </c>
    </row>
    <row r="12" spans="1:32">
      <c r="A12" s="245">
        <v>41214</v>
      </c>
      <c r="B12">
        <f t="shared" si="1"/>
        <v>11</v>
      </c>
      <c r="C12">
        <f t="shared" si="2"/>
        <v>2012</v>
      </c>
      <c r="D12" s="6">
        <v>19648132.137011733</v>
      </c>
      <c r="E12">
        <v>310.49999999999994</v>
      </c>
      <c r="F12">
        <v>0</v>
      </c>
      <c r="G12">
        <v>6685.6</v>
      </c>
      <c r="H12">
        <v>0</v>
      </c>
      <c r="I12">
        <v>30</v>
      </c>
      <c r="J12">
        <f>'Monthly Data'!CE12</f>
        <v>0</v>
      </c>
      <c r="K12">
        <f>'Monthly Data'!CQ12</f>
        <v>0</v>
      </c>
      <c r="L12">
        <f>'Monthly Data'!CP12</f>
        <v>0</v>
      </c>
      <c r="N12" s="6">
        <f t="shared" si="4"/>
        <v>-12141897.0683104</v>
      </c>
      <c r="O12" s="6">
        <f t="shared" si="5"/>
        <v>3517591.277606742</v>
      </c>
      <c r="P12" s="6">
        <f t="shared" si="6"/>
        <v>0</v>
      </c>
      <c r="Q12" s="6">
        <f t="shared" si="7"/>
        <v>9366907.9020891041</v>
      </c>
      <c r="R12" s="6">
        <f t="shared" si="8"/>
        <v>0</v>
      </c>
      <c r="S12" s="6">
        <f t="shared" si="9"/>
        <v>18604842.7049952</v>
      </c>
      <c r="T12" s="6">
        <f t="shared" si="10"/>
        <v>0</v>
      </c>
      <c r="U12" s="6">
        <f t="shared" si="11"/>
        <v>0</v>
      </c>
      <c r="V12" s="6">
        <f t="shared" si="12"/>
        <v>0</v>
      </c>
      <c r="W12" s="6">
        <f t="shared" si="13"/>
        <v>19347444.816380646</v>
      </c>
      <c r="X12" s="6">
        <f t="shared" si="14"/>
        <v>-300687.32063108683</v>
      </c>
      <c r="Y12" s="15">
        <f t="shared" si="3"/>
        <v>1.5303608431290716E-2</v>
      </c>
      <c r="AB12" t="s">
        <v>93</v>
      </c>
      <c r="AC12" s="6">
        <v>620161.42349983996</v>
      </c>
      <c r="AD12" s="70">
        <v>66799.537695531602</v>
      </c>
      <c r="AE12" s="85">
        <v>9.2839178966552005</v>
      </c>
      <c r="AF12" s="240">
        <v>7.2372263710082304E-16</v>
      </c>
    </row>
    <row r="13" spans="1:32">
      <c r="A13" s="245">
        <v>41244</v>
      </c>
      <c r="B13">
        <f t="shared" si="1"/>
        <v>12</v>
      </c>
      <c r="C13">
        <f t="shared" si="2"/>
        <v>2012</v>
      </c>
      <c r="D13" s="6">
        <v>22299512.088978134</v>
      </c>
      <c r="E13">
        <v>392.7</v>
      </c>
      <c r="F13">
        <v>0</v>
      </c>
      <c r="G13">
        <v>6700.5</v>
      </c>
      <c r="H13">
        <v>1</v>
      </c>
      <c r="I13">
        <v>31</v>
      </c>
      <c r="J13">
        <f>'Monthly Data'!CE13</f>
        <v>0</v>
      </c>
      <c r="K13">
        <f>'Monthly Data'!CQ13</f>
        <v>0</v>
      </c>
      <c r="L13">
        <f>'Monthly Data'!CP13</f>
        <v>0</v>
      </c>
      <c r="N13" s="6">
        <f t="shared" si="4"/>
        <v>-12141897.0683104</v>
      </c>
      <c r="O13" s="6">
        <f t="shared" si="5"/>
        <v>4448818.3404707499</v>
      </c>
      <c r="P13" s="6">
        <f t="shared" si="6"/>
        <v>0</v>
      </c>
      <c r="Q13" s="6">
        <f t="shared" si="7"/>
        <v>9387783.6541145202</v>
      </c>
      <c r="R13" s="6">
        <f t="shared" si="8"/>
        <v>695677.72202584799</v>
      </c>
      <c r="S13" s="6">
        <f t="shared" si="9"/>
        <v>19225004.128495038</v>
      </c>
      <c r="T13" s="6">
        <f t="shared" si="10"/>
        <v>0</v>
      </c>
      <c r="U13" s="6">
        <f t="shared" si="11"/>
        <v>0</v>
      </c>
      <c r="V13" s="6">
        <f t="shared" si="12"/>
        <v>0</v>
      </c>
      <c r="W13" s="6">
        <f t="shared" si="13"/>
        <v>21615386.776795756</v>
      </c>
      <c r="X13" s="6">
        <f t="shared" si="14"/>
        <v>-684125.31218237802</v>
      </c>
      <c r="Y13" s="15">
        <f t="shared" si="3"/>
        <v>3.0678936357559014E-2</v>
      </c>
      <c r="AB13" t="s">
        <v>67</v>
      </c>
      <c r="AC13" s="6">
        <v>-730615.53830697597</v>
      </c>
      <c r="AD13" s="70">
        <v>163941.03183147099</v>
      </c>
      <c r="AE13" s="85">
        <v>-4.45657520966465</v>
      </c>
      <c r="AF13" s="240">
        <v>1.84990900322372E-5</v>
      </c>
    </row>
    <row r="14" spans="1:32">
      <c r="A14" s="245">
        <v>41275</v>
      </c>
      <c r="B14">
        <f t="shared" si="1"/>
        <v>1</v>
      </c>
      <c r="C14">
        <f t="shared" si="2"/>
        <v>2013</v>
      </c>
      <c r="D14" s="6">
        <v>23220643.847864494</v>
      </c>
      <c r="E14">
        <v>520.09999999999991</v>
      </c>
      <c r="F14">
        <v>0</v>
      </c>
      <c r="G14">
        <v>6680.9</v>
      </c>
      <c r="H14">
        <v>0</v>
      </c>
      <c r="I14">
        <v>31</v>
      </c>
      <c r="J14">
        <f>'Monthly Data'!CE14</f>
        <v>0</v>
      </c>
      <c r="K14">
        <f>'Monthly Data'!CQ14</f>
        <v>0</v>
      </c>
      <c r="L14">
        <f>'Monthly Data'!CP14</f>
        <v>0</v>
      </c>
      <c r="N14" s="6">
        <f t="shared" si="4"/>
        <v>-12141897.0683104</v>
      </c>
      <c r="O14" s="6">
        <f t="shared" si="5"/>
        <v>5892106.9999461081</v>
      </c>
      <c r="P14" s="6">
        <f t="shared" si="6"/>
        <v>0</v>
      </c>
      <c r="Q14" s="6">
        <f t="shared" si="7"/>
        <v>9360322.9333294071</v>
      </c>
      <c r="R14" s="6">
        <f t="shared" si="8"/>
        <v>0</v>
      </c>
      <c r="S14" s="6">
        <f t="shared" si="9"/>
        <v>19225004.128495038</v>
      </c>
      <c r="T14" s="6">
        <f t="shared" si="10"/>
        <v>0</v>
      </c>
      <c r="U14" s="6">
        <f t="shared" si="11"/>
        <v>0</v>
      </c>
      <c r="V14" s="6">
        <f t="shared" si="12"/>
        <v>0</v>
      </c>
      <c r="W14" s="6">
        <f t="shared" si="13"/>
        <v>22335536.993460152</v>
      </c>
      <c r="X14" s="6">
        <f t="shared" si="14"/>
        <v>-885106.85440434143</v>
      </c>
      <c r="Y14" s="15">
        <f t="shared" si="3"/>
        <v>3.8117239995726519E-2</v>
      </c>
      <c r="AB14" t="s">
        <v>331</v>
      </c>
      <c r="AC14" s="6">
        <v>3650.6619286630798</v>
      </c>
      <c r="AD14" s="70">
        <v>761.52462475032496</v>
      </c>
      <c r="AE14" s="85">
        <v>4.7938855947829602</v>
      </c>
      <c r="AF14" s="240">
        <v>4.6290151502708999E-6</v>
      </c>
    </row>
    <row r="15" spans="1:32">
      <c r="A15" s="245">
        <v>41306</v>
      </c>
      <c r="B15">
        <f t="shared" si="1"/>
        <v>2</v>
      </c>
      <c r="C15">
        <f t="shared" si="2"/>
        <v>2013</v>
      </c>
      <c r="D15" s="6">
        <v>21070740.115142494</v>
      </c>
      <c r="E15">
        <v>507.19999999999993</v>
      </c>
      <c r="F15">
        <v>0</v>
      </c>
      <c r="G15">
        <v>6660.8</v>
      </c>
      <c r="H15">
        <v>0</v>
      </c>
      <c r="I15">
        <v>28</v>
      </c>
      <c r="J15">
        <f>'Monthly Data'!CE15</f>
        <v>0</v>
      </c>
      <c r="K15">
        <f>'Monthly Data'!CQ15</f>
        <v>0</v>
      </c>
      <c r="L15">
        <f>'Monthly Data'!CP15</f>
        <v>0</v>
      </c>
      <c r="N15" s="6">
        <f t="shared" si="4"/>
        <v>-12141897.0683104</v>
      </c>
      <c r="O15" s="6">
        <f t="shared" si="5"/>
        <v>5745965.526576939</v>
      </c>
      <c r="P15" s="6">
        <f t="shared" si="6"/>
        <v>0</v>
      </c>
      <c r="Q15" s="6">
        <f t="shared" si="7"/>
        <v>9332161.68395284</v>
      </c>
      <c r="R15" s="6">
        <f t="shared" si="8"/>
        <v>0</v>
      </c>
      <c r="S15" s="6">
        <f t="shared" si="9"/>
        <v>17364519.857995518</v>
      </c>
      <c r="T15" s="6">
        <f t="shared" si="10"/>
        <v>0</v>
      </c>
      <c r="U15" s="6">
        <f t="shared" si="11"/>
        <v>0</v>
      </c>
      <c r="V15" s="6">
        <f t="shared" si="12"/>
        <v>0</v>
      </c>
      <c r="W15" s="6">
        <f t="shared" si="13"/>
        <v>20300750.000214897</v>
      </c>
      <c r="X15" s="6">
        <f t="shared" si="14"/>
        <v>-769990.11492759734</v>
      </c>
      <c r="Y15" s="15">
        <f t="shared" si="3"/>
        <v>3.6543097713698423E-2</v>
      </c>
      <c r="AB15" t="s">
        <v>330</v>
      </c>
      <c r="AC15" s="6">
        <v>24773.139197590601</v>
      </c>
      <c r="AD15" s="70">
        <v>2161.3720931181501</v>
      </c>
      <c r="AE15" s="85">
        <v>11.461765087311299</v>
      </c>
      <c r="AF15" s="240">
        <v>3.8831907370949601E-21</v>
      </c>
    </row>
    <row r="16" spans="1:32">
      <c r="A16" s="245">
        <v>41334</v>
      </c>
      <c r="B16">
        <f t="shared" si="1"/>
        <v>3</v>
      </c>
      <c r="C16">
        <f t="shared" si="2"/>
        <v>2013</v>
      </c>
      <c r="D16" s="6">
        <v>21090139.995281495</v>
      </c>
      <c r="E16">
        <v>435.40000000000015</v>
      </c>
      <c r="F16">
        <v>0</v>
      </c>
      <c r="G16">
        <v>6634.8</v>
      </c>
      <c r="H16">
        <v>0</v>
      </c>
      <c r="I16">
        <v>31</v>
      </c>
      <c r="J16">
        <f>'Monthly Data'!CE16</f>
        <v>1</v>
      </c>
      <c r="K16">
        <f>'Monthly Data'!CQ16</f>
        <v>0</v>
      </c>
      <c r="L16">
        <f>'Monthly Data'!CP16</f>
        <v>0</v>
      </c>
      <c r="N16" s="6">
        <f t="shared" si="4"/>
        <v>-12141897.0683104</v>
      </c>
      <c r="O16" s="6">
        <f t="shared" si="5"/>
        <v>4932557.9461190859</v>
      </c>
      <c r="P16" s="6">
        <f t="shared" si="6"/>
        <v>0</v>
      </c>
      <c r="Q16" s="6">
        <f t="shared" si="7"/>
        <v>9295734.1971970778</v>
      </c>
      <c r="R16" s="6">
        <f t="shared" si="8"/>
        <v>0</v>
      </c>
      <c r="S16" s="6">
        <f t="shared" si="9"/>
        <v>19225004.128495038</v>
      </c>
      <c r="T16" s="6">
        <f t="shared" si="10"/>
        <v>-730615.53830697597</v>
      </c>
      <c r="U16" s="6">
        <f t="shared" si="11"/>
        <v>0</v>
      </c>
      <c r="V16" s="6">
        <f t="shared" si="12"/>
        <v>0</v>
      </c>
      <c r="W16" s="6">
        <f t="shared" si="13"/>
        <v>20580783.665193822</v>
      </c>
      <c r="X16" s="6">
        <f t="shared" si="14"/>
        <v>-509356.33008767292</v>
      </c>
      <c r="Y16" s="15">
        <f t="shared" si="3"/>
        <v>2.4151396349271811E-2</v>
      </c>
      <c r="AE16" s="21"/>
    </row>
    <row r="17" spans="1:31">
      <c r="A17" s="245">
        <v>41365</v>
      </c>
      <c r="B17">
        <f t="shared" si="1"/>
        <v>4</v>
      </c>
      <c r="C17">
        <f t="shared" si="2"/>
        <v>2013</v>
      </c>
      <c r="D17" s="6">
        <v>18442014.413735695</v>
      </c>
      <c r="E17">
        <v>243.3</v>
      </c>
      <c r="F17">
        <v>0.19999999999999929</v>
      </c>
      <c r="G17">
        <v>6662.1</v>
      </c>
      <c r="H17">
        <v>0</v>
      </c>
      <c r="I17">
        <v>30</v>
      </c>
      <c r="J17">
        <f>'Monthly Data'!CE17</f>
        <v>1</v>
      </c>
      <c r="K17">
        <f>'Monthly Data'!CQ17</f>
        <v>0</v>
      </c>
      <c r="L17">
        <f>'Monthly Data'!CP17</f>
        <v>0</v>
      </c>
      <c r="N17" s="6">
        <f t="shared" si="4"/>
        <v>-12141897.0683104</v>
      </c>
      <c r="O17" s="6">
        <f t="shared" si="5"/>
        <v>2756296.160520839</v>
      </c>
      <c r="P17" s="6">
        <f t="shared" si="6"/>
        <v>12603.738097581654</v>
      </c>
      <c r="Q17" s="6">
        <f t="shared" si="7"/>
        <v>9333983.0582906269</v>
      </c>
      <c r="R17" s="6">
        <f t="shared" si="8"/>
        <v>0</v>
      </c>
      <c r="S17" s="6">
        <f t="shared" si="9"/>
        <v>18604842.7049952</v>
      </c>
      <c r="T17" s="6">
        <f t="shared" si="10"/>
        <v>-730615.53830697597</v>
      </c>
      <c r="U17" s="6">
        <f t="shared" si="11"/>
        <v>0</v>
      </c>
      <c r="V17" s="6">
        <f t="shared" si="12"/>
        <v>0</v>
      </c>
      <c r="W17" s="6">
        <f t="shared" si="13"/>
        <v>17835213.055286869</v>
      </c>
      <c r="X17" s="6">
        <f t="shared" si="14"/>
        <v>-606801.35844882578</v>
      </c>
      <c r="Y17" s="15">
        <f t="shared" si="3"/>
        <v>3.2903203784336997E-2</v>
      </c>
      <c r="AB17" t="s">
        <v>190</v>
      </c>
      <c r="AE17" s="21"/>
    </row>
    <row r="18" spans="1:31">
      <c r="A18" s="245">
        <v>41395</v>
      </c>
      <c r="B18">
        <f t="shared" si="1"/>
        <v>5</v>
      </c>
      <c r="C18">
        <f t="shared" si="2"/>
        <v>2013</v>
      </c>
      <c r="D18" s="6">
        <v>18758766.803188898</v>
      </c>
      <c r="E18">
        <v>66.600000000000009</v>
      </c>
      <c r="F18">
        <v>58.900000000000006</v>
      </c>
      <c r="G18">
        <v>6726.6</v>
      </c>
      <c r="H18">
        <v>0</v>
      </c>
      <c r="I18">
        <v>31</v>
      </c>
      <c r="J18">
        <f>'Monthly Data'!CE18</f>
        <v>1</v>
      </c>
      <c r="K18">
        <f>'Monthly Data'!CQ18</f>
        <v>0</v>
      </c>
      <c r="L18">
        <f>'Monthly Data'!CP18</f>
        <v>0</v>
      </c>
      <c r="N18" s="6">
        <f t="shared" si="4"/>
        <v>-12141897.0683104</v>
      </c>
      <c r="O18" s="6">
        <f t="shared" si="5"/>
        <v>754497.83925477962</v>
      </c>
      <c r="P18" s="6">
        <f t="shared" si="6"/>
        <v>3711800.8697378109</v>
      </c>
      <c r="Q18" s="6">
        <f t="shared" si="7"/>
        <v>9424351.2465885729</v>
      </c>
      <c r="R18" s="6">
        <f t="shared" si="8"/>
        <v>0</v>
      </c>
      <c r="S18" s="6">
        <f t="shared" si="9"/>
        <v>19225004.128495038</v>
      </c>
      <c r="T18" s="6">
        <f t="shared" si="10"/>
        <v>-730615.53830697597</v>
      </c>
      <c r="U18" s="6">
        <f t="shared" si="11"/>
        <v>0</v>
      </c>
      <c r="V18" s="6">
        <f t="shared" si="12"/>
        <v>0</v>
      </c>
      <c r="W18" s="6">
        <f t="shared" si="13"/>
        <v>20243141.477458823</v>
      </c>
      <c r="X18" s="6">
        <f t="shared" si="14"/>
        <v>1484374.6742699258</v>
      </c>
      <c r="Y18" s="15">
        <f t="shared" si="3"/>
        <v>7.9129651210205862E-2</v>
      </c>
      <c r="AB18" t="s">
        <v>94</v>
      </c>
      <c r="AC18" s="6">
        <v>22319860.638132799</v>
      </c>
      <c r="AD18" t="s">
        <v>95</v>
      </c>
      <c r="AE18" s="6">
        <v>3827846.9399711802</v>
      </c>
    </row>
    <row r="19" spans="1:31">
      <c r="A19" s="245">
        <v>41426</v>
      </c>
      <c r="B19">
        <f t="shared" si="1"/>
        <v>6</v>
      </c>
      <c r="C19">
        <f t="shared" si="2"/>
        <v>2013</v>
      </c>
      <c r="D19" s="6">
        <v>21531298.069024794</v>
      </c>
      <c r="E19">
        <v>8</v>
      </c>
      <c r="F19">
        <v>89.3</v>
      </c>
      <c r="G19">
        <v>6812.7</v>
      </c>
      <c r="H19">
        <v>0</v>
      </c>
      <c r="I19">
        <v>30</v>
      </c>
      <c r="J19">
        <f>'Monthly Data'!CE19</f>
        <v>0</v>
      </c>
      <c r="K19">
        <f>'Monthly Data'!CQ19</f>
        <v>0</v>
      </c>
      <c r="L19">
        <f>'Monthly Data'!CP19</f>
        <v>0</v>
      </c>
      <c r="N19" s="6">
        <f t="shared" si="4"/>
        <v>-12141897.0683104</v>
      </c>
      <c r="O19" s="6">
        <f t="shared" si="5"/>
        <v>90630.371081655205</v>
      </c>
      <c r="P19" s="6">
        <f t="shared" si="6"/>
        <v>5627569.0605702288</v>
      </c>
      <c r="Q19" s="6">
        <f t="shared" si="7"/>
        <v>9544982.2700374592</v>
      </c>
      <c r="R19" s="6">
        <f t="shared" si="8"/>
        <v>0</v>
      </c>
      <c r="S19" s="6">
        <f t="shared" si="9"/>
        <v>18604842.7049952</v>
      </c>
      <c r="T19" s="6">
        <f t="shared" si="10"/>
        <v>0</v>
      </c>
      <c r="U19" s="6">
        <f t="shared" si="11"/>
        <v>0</v>
      </c>
      <c r="V19" s="6">
        <f t="shared" si="12"/>
        <v>0</v>
      </c>
      <c r="W19" s="6">
        <f t="shared" si="13"/>
        <v>21726127.338374145</v>
      </c>
      <c r="X19" s="6">
        <f t="shared" si="14"/>
        <v>194829.26934935153</v>
      </c>
      <c r="Y19" s="15">
        <f t="shared" si="3"/>
        <v>9.0486541370970782E-3</v>
      </c>
      <c r="AB19" t="s">
        <v>96</v>
      </c>
      <c r="AC19" s="241">
        <v>49266378006688</v>
      </c>
      <c r="AD19" t="s">
        <v>97</v>
      </c>
      <c r="AE19" s="6">
        <v>632882.02580809605</v>
      </c>
    </row>
    <row r="20" spans="1:31">
      <c r="A20" s="245">
        <v>41456</v>
      </c>
      <c r="B20">
        <f t="shared" si="1"/>
        <v>7</v>
      </c>
      <c r="C20">
        <f t="shared" si="2"/>
        <v>2013</v>
      </c>
      <c r="D20" s="6">
        <v>27101461.942128897</v>
      </c>
      <c r="E20">
        <v>0</v>
      </c>
      <c r="F20">
        <v>173.5</v>
      </c>
      <c r="G20">
        <v>6863.4</v>
      </c>
      <c r="H20">
        <v>0</v>
      </c>
      <c r="I20">
        <v>31</v>
      </c>
      <c r="J20">
        <f>'Monthly Data'!CE20</f>
        <v>0</v>
      </c>
      <c r="K20">
        <f>'Monthly Data'!CQ20</f>
        <v>0</v>
      </c>
      <c r="L20">
        <f>'Monthly Data'!CP20</f>
        <v>0</v>
      </c>
      <c r="N20" s="6">
        <f t="shared" si="4"/>
        <v>-12141897.0683104</v>
      </c>
      <c r="O20" s="6">
        <f t="shared" si="5"/>
        <v>0</v>
      </c>
      <c r="P20" s="6">
        <f t="shared" si="6"/>
        <v>10933742.799652124</v>
      </c>
      <c r="Q20" s="6">
        <f t="shared" si="7"/>
        <v>9616015.8692111932</v>
      </c>
      <c r="R20" s="6">
        <f t="shared" si="8"/>
        <v>0</v>
      </c>
      <c r="S20" s="6">
        <f t="shared" si="9"/>
        <v>19225004.128495038</v>
      </c>
      <c r="T20" s="6">
        <f t="shared" si="10"/>
        <v>0</v>
      </c>
      <c r="U20" s="6">
        <f t="shared" si="11"/>
        <v>0</v>
      </c>
      <c r="V20" s="6">
        <f t="shared" si="12"/>
        <v>0</v>
      </c>
      <c r="W20" s="6">
        <f t="shared" si="13"/>
        <v>27632865.729047954</v>
      </c>
      <c r="X20" s="6">
        <f t="shared" si="14"/>
        <v>531403.78691905737</v>
      </c>
      <c r="Y20" s="15">
        <f t="shared" si="3"/>
        <v>1.9607938053444879E-2</v>
      </c>
      <c r="AB20" t="s">
        <v>98</v>
      </c>
      <c r="AC20" s="242">
        <v>0.97462563726547202</v>
      </c>
      <c r="AD20" t="s">
        <v>99</v>
      </c>
      <c r="AE20" s="120">
        <v>0.97297527220956803</v>
      </c>
    </row>
    <row r="21" spans="1:31">
      <c r="A21" s="245">
        <v>41487</v>
      </c>
      <c r="B21">
        <f t="shared" si="1"/>
        <v>8</v>
      </c>
      <c r="C21">
        <f t="shared" si="2"/>
        <v>2013</v>
      </c>
      <c r="D21" s="6">
        <v>24091301.034046695</v>
      </c>
      <c r="E21">
        <v>0</v>
      </c>
      <c r="F21">
        <v>126.10000000000002</v>
      </c>
      <c r="G21">
        <v>6876.4</v>
      </c>
      <c r="H21">
        <v>0</v>
      </c>
      <c r="I21">
        <v>31</v>
      </c>
      <c r="J21">
        <f>'Monthly Data'!CE21</f>
        <v>0</v>
      </c>
      <c r="K21">
        <f>'Monthly Data'!CQ21</f>
        <v>0</v>
      </c>
      <c r="L21">
        <f>'Monthly Data'!CP21</f>
        <v>0</v>
      </c>
      <c r="N21" s="6">
        <f t="shared" si="4"/>
        <v>-12141897.0683104</v>
      </c>
      <c r="O21" s="6">
        <f t="shared" si="5"/>
        <v>0</v>
      </c>
      <c r="P21" s="6">
        <f t="shared" si="6"/>
        <v>7946656.8705252632</v>
      </c>
      <c r="Q21" s="6">
        <f t="shared" si="7"/>
        <v>9634229.6125890724</v>
      </c>
      <c r="R21" s="6">
        <f t="shared" si="8"/>
        <v>0</v>
      </c>
      <c r="S21" s="6">
        <f t="shared" si="9"/>
        <v>19225004.128495038</v>
      </c>
      <c r="T21" s="6">
        <f t="shared" si="10"/>
        <v>0</v>
      </c>
      <c r="U21" s="6">
        <f t="shared" si="11"/>
        <v>0</v>
      </c>
      <c r="V21" s="6">
        <f t="shared" si="12"/>
        <v>0</v>
      </c>
      <c r="W21" s="6">
        <f t="shared" si="13"/>
        <v>24663993.543298975</v>
      </c>
      <c r="X21" s="6">
        <f t="shared" si="14"/>
        <v>572692.50925228</v>
      </c>
      <c r="Y21" s="15">
        <f t="shared" si="3"/>
        <v>2.3771755142776654E-2</v>
      </c>
      <c r="AB21" t="s">
        <v>370</v>
      </c>
      <c r="AC21" s="244">
        <v>456.60490530877098</v>
      </c>
      <c r="AD21" t="s">
        <v>100</v>
      </c>
      <c r="AE21" s="120">
        <v>1.3503609736259799E-87</v>
      </c>
    </row>
    <row r="22" spans="1:31">
      <c r="A22" s="245">
        <v>41518</v>
      </c>
      <c r="B22">
        <f t="shared" ref="B22:B85" si="15">MONTH(A22)</f>
        <v>9</v>
      </c>
      <c r="C22">
        <f t="shared" ref="C22:C85" si="16">YEAR(A22)</f>
        <v>2013</v>
      </c>
      <c r="D22" s="6">
        <v>19743349.217510894</v>
      </c>
      <c r="E22">
        <v>24</v>
      </c>
      <c r="F22">
        <v>58.499999999999993</v>
      </c>
      <c r="G22">
        <v>6841.7</v>
      </c>
      <c r="H22">
        <v>0</v>
      </c>
      <c r="I22">
        <v>30</v>
      </c>
      <c r="J22">
        <f>'Monthly Data'!CE22</f>
        <v>1</v>
      </c>
      <c r="K22">
        <f>'Monthly Data'!CQ22</f>
        <v>0</v>
      </c>
      <c r="L22">
        <f>'Monthly Data'!CP22</f>
        <v>0</v>
      </c>
      <c r="N22" s="6">
        <f t="shared" si="4"/>
        <v>-12141897.0683104</v>
      </c>
      <c r="O22" s="6">
        <f t="shared" si="5"/>
        <v>271891.11324496561</v>
      </c>
      <c r="P22" s="6">
        <f t="shared" si="6"/>
        <v>3686593.3935426469</v>
      </c>
      <c r="Q22" s="6">
        <f t="shared" si="7"/>
        <v>9585612.9283419605</v>
      </c>
      <c r="R22" s="6">
        <f t="shared" si="8"/>
        <v>0</v>
      </c>
      <c r="S22" s="6">
        <f t="shared" si="9"/>
        <v>18604842.7049952</v>
      </c>
      <c r="T22" s="6">
        <f t="shared" si="10"/>
        <v>-730615.53830697597</v>
      </c>
      <c r="U22" s="6">
        <f t="shared" si="11"/>
        <v>0</v>
      </c>
      <c r="V22" s="6">
        <f t="shared" si="12"/>
        <v>0</v>
      </c>
      <c r="W22" s="6">
        <f t="shared" si="13"/>
        <v>19276427.533507396</v>
      </c>
      <c r="X22" s="6">
        <f t="shared" ref="X22:X85" si="17">W22-D22</f>
        <v>-466921.68400349841</v>
      </c>
      <c r="Y22" s="15">
        <f t="shared" ref="Y22:Y85" si="18">ABS(W22-D22)/D22</f>
        <v>2.3649568209499802E-2</v>
      </c>
      <c r="AB22" t="s">
        <v>101</v>
      </c>
      <c r="AC22" s="243">
        <v>-7.9704428257436795E-3</v>
      </c>
      <c r="AD22" t="s">
        <v>102</v>
      </c>
      <c r="AE22" s="120">
        <v>1.99510685102114</v>
      </c>
    </row>
    <row r="23" spans="1:31">
      <c r="A23" s="245">
        <v>41548</v>
      </c>
      <c r="B23">
        <f t="shared" si="15"/>
        <v>10</v>
      </c>
      <c r="C23">
        <f t="shared" si="16"/>
        <v>2013</v>
      </c>
      <c r="D23" s="6">
        <v>18636040.720456898</v>
      </c>
      <c r="E23">
        <v>111.4</v>
      </c>
      <c r="F23">
        <v>14.300000000000004</v>
      </c>
      <c r="G23">
        <v>6821.6</v>
      </c>
      <c r="H23">
        <v>0</v>
      </c>
      <c r="I23">
        <v>31</v>
      </c>
      <c r="J23">
        <f>'Monthly Data'!CE23</f>
        <v>1</v>
      </c>
      <c r="K23">
        <f>'Monthly Data'!CQ23</f>
        <v>0</v>
      </c>
      <c r="L23">
        <f>'Monthly Data'!CP23</f>
        <v>0</v>
      </c>
      <c r="N23" s="6">
        <f t="shared" si="4"/>
        <v>-12141897.0683104</v>
      </c>
      <c r="O23" s="6">
        <f t="shared" si="5"/>
        <v>1262027.9173120488</v>
      </c>
      <c r="P23" s="6">
        <f t="shared" si="6"/>
        <v>901167.27397709177</v>
      </c>
      <c r="Q23" s="6">
        <f t="shared" si="7"/>
        <v>9557451.6789653935</v>
      </c>
      <c r="R23" s="6">
        <f t="shared" si="8"/>
        <v>0</v>
      </c>
      <c r="S23" s="6">
        <f t="shared" si="9"/>
        <v>19225004.128495038</v>
      </c>
      <c r="T23" s="6">
        <f t="shared" si="10"/>
        <v>-730615.53830697597</v>
      </c>
      <c r="U23" s="6">
        <f t="shared" si="11"/>
        <v>0</v>
      </c>
      <c r="V23" s="6">
        <f t="shared" si="12"/>
        <v>0</v>
      </c>
      <c r="W23" s="6">
        <f t="shared" si="13"/>
        <v>18073138.392132193</v>
      </c>
      <c r="X23" s="6">
        <f t="shared" si="17"/>
        <v>-562902.32832470536</v>
      </c>
      <c r="Y23" s="15">
        <f t="shared" si="18"/>
        <v>3.0205038546991581E-2</v>
      </c>
    </row>
    <row r="24" spans="1:31">
      <c r="A24" s="245">
        <v>41579</v>
      </c>
      <c r="B24">
        <f t="shared" si="15"/>
        <v>11</v>
      </c>
      <c r="C24">
        <f t="shared" si="16"/>
        <v>2013</v>
      </c>
      <c r="D24" s="6">
        <v>20299657.892608896</v>
      </c>
      <c r="E24">
        <v>345.70000000000005</v>
      </c>
      <c r="F24">
        <v>0</v>
      </c>
      <c r="G24">
        <v>6794.8</v>
      </c>
      <c r="H24">
        <v>0</v>
      </c>
      <c r="I24">
        <v>30</v>
      </c>
      <c r="J24">
        <f>'Monthly Data'!CE24</f>
        <v>0</v>
      </c>
      <c r="K24">
        <f>'Monthly Data'!CQ24</f>
        <v>0</v>
      </c>
      <c r="L24">
        <f>'Monthly Data'!CP24</f>
        <v>0</v>
      </c>
      <c r="N24" s="6">
        <f t="shared" si="4"/>
        <v>-12141897.0683104</v>
      </c>
      <c r="O24" s="6">
        <f t="shared" si="5"/>
        <v>3916364.9103660262</v>
      </c>
      <c r="P24" s="6">
        <f t="shared" si="6"/>
        <v>0</v>
      </c>
      <c r="Q24" s="6">
        <f t="shared" si="7"/>
        <v>9519903.3464633003</v>
      </c>
      <c r="R24" s="6">
        <f t="shared" si="8"/>
        <v>0</v>
      </c>
      <c r="S24" s="6">
        <f t="shared" si="9"/>
        <v>18604842.7049952</v>
      </c>
      <c r="T24" s="6">
        <f t="shared" si="10"/>
        <v>0</v>
      </c>
      <c r="U24" s="6">
        <f t="shared" si="11"/>
        <v>0</v>
      </c>
      <c r="V24" s="6">
        <f t="shared" si="12"/>
        <v>0</v>
      </c>
      <c r="W24" s="6">
        <f t="shared" si="13"/>
        <v>19899213.893514127</v>
      </c>
      <c r="X24" s="6">
        <f t="shared" si="17"/>
        <v>-400443.99909476936</v>
      </c>
      <c r="Y24" s="15">
        <f t="shared" si="18"/>
        <v>1.9726637818885163E-2</v>
      </c>
    </row>
    <row r="25" spans="1:31">
      <c r="A25" s="245">
        <v>41609</v>
      </c>
      <c r="B25">
        <f t="shared" si="15"/>
        <v>12</v>
      </c>
      <c r="C25">
        <f t="shared" si="16"/>
        <v>2013</v>
      </c>
      <c r="D25" s="6">
        <v>23861647.359846197</v>
      </c>
      <c r="E25">
        <v>549.6</v>
      </c>
      <c r="F25">
        <v>0</v>
      </c>
      <c r="G25">
        <v>6783.1</v>
      </c>
      <c r="H25">
        <v>1</v>
      </c>
      <c r="I25">
        <v>31</v>
      </c>
      <c r="J25">
        <f>'Monthly Data'!CE25</f>
        <v>0</v>
      </c>
      <c r="K25">
        <f>'Monthly Data'!CQ25</f>
        <v>0</v>
      </c>
      <c r="L25">
        <f>'Monthly Data'!CP25</f>
        <v>0</v>
      </c>
      <c r="N25" s="6">
        <f t="shared" si="4"/>
        <v>-12141897.0683104</v>
      </c>
      <c r="O25" s="6">
        <f t="shared" si="5"/>
        <v>6226306.493309713</v>
      </c>
      <c r="P25" s="6">
        <f t="shared" si="6"/>
        <v>0</v>
      </c>
      <c r="Q25" s="6">
        <f t="shared" si="7"/>
        <v>9503510.9774232078</v>
      </c>
      <c r="R25" s="6">
        <f t="shared" si="8"/>
        <v>695677.72202584799</v>
      </c>
      <c r="S25" s="6">
        <f t="shared" si="9"/>
        <v>19225004.128495038</v>
      </c>
      <c r="T25" s="6">
        <f t="shared" si="10"/>
        <v>0</v>
      </c>
      <c r="U25" s="6">
        <f t="shared" si="11"/>
        <v>0</v>
      </c>
      <c r="V25" s="6">
        <f t="shared" si="12"/>
        <v>0</v>
      </c>
      <c r="W25" s="6">
        <f t="shared" si="13"/>
        <v>23508602.252943404</v>
      </c>
      <c r="X25" s="6">
        <f t="shared" si="17"/>
        <v>-353045.10690279305</v>
      </c>
      <c r="Y25" s="15">
        <f t="shared" si="18"/>
        <v>1.479550433290238E-2</v>
      </c>
    </row>
    <row r="26" spans="1:31">
      <c r="A26" s="245">
        <v>41640</v>
      </c>
      <c r="B26">
        <f t="shared" si="15"/>
        <v>1</v>
      </c>
      <c r="C26">
        <f t="shared" si="16"/>
        <v>2014</v>
      </c>
      <c r="D26" s="6">
        <v>25393202.293457907</v>
      </c>
      <c r="E26">
        <v>702.30000000000007</v>
      </c>
      <c r="F26">
        <v>0</v>
      </c>
      <c r="G26">
        <v>6741.6</v>
      </c>
      <c r="H26">
        <v>0</v>
      </c>
      <c r="I26">
        <v>31</v>
      </c>
      <c r="J26">
        <f>'Monthly Data'!CE26</f>
        <v>0</v>
      </c>
      <c r="K26">
        <f>'Monthly Data'!CQ26</f>
        <v>0</v>
      </c>
      <c r="L26">
        <f>'Monthly Data'!CP26</f>
        <v>0</v>
      </c>
      <c r="N26" s="6">
        <f t="shared" si="4"/>
        <v>-12141897.0683104</v>
      </c>
      <c r="O26" s="6">
        <f t="shared" si="5"/>
        <v>7956213.7013308071</v>
      </c>
      <c r="P26" s="6">
        <f t="shared" si="6"/>
        <v>0</v>
      </c>
      <c r="Q26" s="6">
        <f t="shared" si="7"/>
        <v>9445367.1043322813</v>
      </c>
      <c r="R26" s="6">
        <f t="shared" si="8"/>
        <v>0</v>
      </c>
      <c r="S26" s="6">
        <f t="shared" si="9"/>
        <v>19225004.128495038</v>
      </c>
      <c r="T26" s="6">
        <f t="shared" si="10"/>
        <v>0</v>
      </c>
      <c r="U26" s="6">
        <f t="shared" si="11"/>
        <v>0</v>
      </c>
      <c r="V26" s="6">
        <f t="shared" si="12"/>
        <v>0</v>
      </c>
      <c r="W26" s="6">
        <f t="shared" si="13"/>
        <v>24484687.865847725</v>
      </c>
      <c r="X26" s="6">
        <f t="shared" si="17"/>
        <v>-908514.42761018127</v>
      </c>
      <c r="Y26" s="15">
        <f t="shared" si="18"/>
        <v>3.5777859645699094E-2</v>
      </c>
    </row>
    <row r="27" spans="1:31">
      <c r="A27" s="245">
        <v>41671</v>
      </c>
      <c r="B27">
        <f t="shared" si="15"/>
        <v>2</v>
      </c>
      <c r="C27">
        <f t="shared" si="16"/>
        <v>2014</v>
      </c>
      <c r="D27" s="6">
        <v>21886278.818173807</v>
      </c>
      <c r="E27">
        <v>651.70000000000005</v>
      </c>
      <c r="F27">
        <v>0</v>
      </c>
      <c r="G27">
        <v>6707.8</v>
      </c>
      <c r="H27">
        <v>0</v>
      </c>
      <c r="I27">
        <v>28</v>
      </c>
      <c r="J27">
        <f>'Monthly Data'!CE27</f>
        <v>0</v>
      </c>
      <c r="K27">
        <f>'Monthly Data'!CQ27</f>
        <v>0</v>
      </c>
      <c r="L27">
        <f>'Monthly Data'!CP27</f>
        <v>0</v>
      </c>
      <c r="N27" s="6">
        <f t="shared" si="4"/>
        <v>-12141897.0683104</v>
      </c>
      <c r="O27" s="6">
        <f t="shared" si="5"/>
        <v>7382976.6042393381</v>
      </c>
      <c r="P27" s="6">
        <f t="shared" si="6"/>
        <v>0</v>
      </c>
      <c r="Q27" s="6">
        <f t="shared" si="7"/>
        <v>9398011.3715497926</v>
      </c>
      <c r="R27" s="6">
        <f t="shared" si="8"/>
        <v>0</v>
      </c>
      <c r="S27" s="6">
        <f t="shared" si="9"/>
        <v>17364519.857995518</v>
      </c>
      <c r="T27" s="6">
        <f t="shared" si="10"/>
        <v>0</v>
      </c>
      <c r="U27" s="6">
        <f t="shared" si="11"/>
        <v>0</v>
      </c>
      <c r="V27" s="6">
        <f t="shared" si="12"/>
        <v>0</v>
      </c>
      <c r="W27" s="6">
        <f t="shared" si="13"/>
        <v>22003610.765474249</v>
      </c>
      <c r="X27" s="6">
        <f t="shared" si="17"/>
        <v>117331.94730044156</v>
      </c>
      <c r="Y27" s="15">
        <f t="shared" si="18"/>
        <v>5.3609820232671124E-3</v>
      </c>
    </row>
    <row r="28" spans="1:31">
      <c r="A28" s="245">
        <v>41699</v>
      </c>
      <c r="B28">
        <f t="shared" si="15"/>
        <v>3</v>
      </c>
      <c r="C28">
        <f t="shared" si="16"/>
        <v>2014</v>
      </c>
      <c r="D28" s="6">
        <v>22125882.52608351</v>
      </c>
      <c r="E28">
        <v>561.30000000000007</v>
      </c>
      <c r="F28">
        <v>0</v>
      </c>
      <c r="G28">
        <v>6686.4</v>
      </c>
      <c r="H28">
        <v>0</v>
      </c>
      <c r="I28">
        <v>31</v>
      </c>
      <c r="J28">
        <f>'Monthly Data'!CE28</f>
        <v>1</v>
      </c>
      <c r="K28">
        <f>'Monthly Data'!CQ28</f>
        <v>0</v>
      </c>
      <c r="L28">
        <f>'Monthly Data'!CP28</f>
        <v>0</v>
      </c>
      <c r="N28" s="6">
        <f t="shared" si="4"/>
        <v>-12141897.0683104</v>
      </c>
      <c r="O28" s="6">
        <f t="shared" si="5"/>
        <v>6358853.4110166337</v>
      </c>
      <c r="P28" s="6">
        <f t="shared" si="6"/>
        <v>0</v>
      </c>
      <c r="Q28" s="6">
        <f t="shared" si="7"/>
        <v>9368028.747835435</v>
      </c>
      <c r="R28" s="6">
        <f t="shared" si="8"/>
        <v>0</v>
      </c>
      <c r="S28" s="6">
        <f t="shared" si="9"/>
        <v>19225004.128495038</v>
      </c>
      <c r="T28" s="6">
        <f t="shared" si="10"/>
        <v>-730615.53830697597</v>
      </c>
      <c r="U28" s="6">
        <f t="shared" si="11"/>
        <v>0</v>
      </c>
      <c r="V28" s="6">
        <f t="shared" si="12"/>
        <v>0</v>
      </c>
      <c r="W28" s="6">
        <f t="shared" si="13"/>
        <v>22079373.680729728</v>
      </c>
      <c r="X28" s="6">
        <f t="shared" si="17"/>
        <v>-46508.845353782177</v>
      </c>
      <c r="Y28" s="15">
        <f t="shared" si="18"/>
        <v>2.1020108598585551E-3</v>
      </c>
    </row>
    <row r="29" spans="1:31">
      <c r="A29" s="245">
        <v>41730</v>
      </c>
      <c r="B29">
        <f t="shared" si="15"/>
        <v>4</v>
      </c>
      <c r="C29">
        <f t="shared" si="16"/>
        <v>2014</v>
      </c>
      <c r="D29" s="6">
        <v>17847693.948654607</v>
      </c>
      <c r="E29">
        <v>226.79999999999998</v>
      </c>
      <c r="F29">
        <v>0</v>
      </c>
      <c r="G29">
        <v>6715.8</v>
      </c>
      <c r="H29">
        <v>0</v>
      </c>
      <c r="I29">
        <v>30</v>
      </c>
      <c r="J29">
        <f>'Monthly Data'!CE29</f>
        <v>1</v>
      </c>
      <c r="K29">
        <f>'Monthly Data'!CQ29</f>
        <v>0</v>
      </c>
      <c r="L29">
        <f>'Monthly Data'!CP29</f>
        <v>0</v>
      </c>
      <c r="N29" s="6">
        <f t="shared" si="4"/>
        <v>-12141897.0683104</v>
      </c>
      <c r="O29" s="6">
        <f t="shared" si="5"/>
        <v>2569371.0201649247</v>
      </c>
      <c r="P29" s="6">
        <f t="shared" si="6"/>
        <v>0</v>
      </c>
      <c r="Q29" s="6">
        <f t="shared" si="7"/>
        <v>9409219.8290131036</v>
      </c>
      <c r="R29" s="6">
        <f t="shared" si="8"/>
        <v>0</v>
      </c>
      <c r="S29" s="6">
        <f t="shared" si="9"/>
        <v>18604842.7049952</v>
      </c>
      <c r="T29" s="6">
        <f t="shared" si="10"/>
        <v>-730615.53830697597</v>
      </c>
      <c r="U29" s="6">
        <f t="shared" si="11"/>
        <v>0</v>
      </c>
      <c r="V29" s="6">
        <f t="shared" si="12"/>
        <v>0</v>
      </c>
      <c r="W29" s="6">
        <f t="shared" si="13"/>
        <v>17710920.947555851</v>
      </c>
      <c r="X29" s="6">
        <f t="shared" si="17"/>
        <v>-136773.00109875575</v>
      </c>
      <c r="Y29" s="15">
        <f t="shared" si="18"/>
        <v>7.6633430342448218E-3</v>
      </c>
    </row>
    <row r="30" spans="1:31">
      <c r="A30" s="245">
        <v>41760</v>
      </c>
      <c r="B30">
        <f t="shared" si="15"/>
        <v>5</v>
      </c>
      <c r="C30">
        <f t="shared" si="16"/>
        <v>2014</v>
      </c>
      <c r="D30" s="6">
        <v>17821762.58503991</v>
      </c>
      <c r="E30">
        <v>74.099999999999994</v>
      </c>
      <c r="F30">
        <v>27.500000000000004</v>
      </c>
      <c r="G30">
        <v>6770.1</v>
      </c>
      <c r="H30">
        <v>0</v>
      </c>
      <c r="I30">
        <v>31</v>
      </c>
      <c r="J30">
        <f>'Monthly Data'!CE30</f>
        <v>1</v>
      </c>
      <c r="K30">
        <f>'Monthly Data'!CQ30</f>
        <v>0</v>
      </c>
      <c r="L30">
        <f>'Monthly Data'!CP30</f>
        <v>0</v>
      </c>
      <c r="N30" s="6">
        <f t="shared" si="4"/>
        <v>-12141897.0683104</v>
      </c>
      <c r="O30" s="6">
        <f t="shared" si="5"/>
        <v>839463.81214383128</v>
      </c>
      <c r="P30" s="6">
        <f t="shared" si="6"/>
        <v>1733013.9884174839</v>
      </c>
      <c r="Q30" s="6">
        <f t="shared" si="7"/>
        <v>9485297.2340453286</v>
      </c>
      <c r="R30" s="6">
        <f t="shared" si="8"/>
        <v>0</v>
      </c>
      <c r="S30" s="6">
        <f t="shared" si="9"/>
        <v>19225004.128495038</v>
      </c>
      <c r="T30" s="6">
        <f t="shared" si="10"/>
        <v>-730615.53830697597</v>
      </c>
      <c r="U30" s="6">
        <f t="shared" si="11"/>
        <v>0</v>
      </c>
      <c r="V30" s="6">
        <f t="shared" si="12"/>
        <v>0</v>
      </c>
      <c r="W30" s="6">
        <f t="shared" si="13"/>
        <v>18410266.556484301</v>
      </c>
      <c r="X30" s="6">
        <f t="shared" si="17"/>
        <v>588503.97144439071</v>
      </c>
      <c r="Y30" s="15">
        <f t="shared" si="18"/>
        <v>3.3021648034880544E-2</v>
      </c>
    </row>
    <row r="31" spans="1:31">
      <c r="A31" s="245">
        <v>41791</v>
      </c>
      <c r="B31">
        <f t="shared" si="15"/>
        <v>6</v>
      </c>
      <c r="C31">
        <f t="shared" si="16"/>
        <v>2014</v>
      </c>
      <c r="D31" s="6">
        <v>20998414.369688809</v>
      </c>
      <c r="E31">
        <v>3.3000000000000007</v>
      </c>
      <c r="F31">
        <v>96.499999999999986</v>
      </c>
      <c r="G31">
        <v>6837.5</v>
      </c>
      <c r="H31">
        <v>0</v>
      </c>
      <c r="I31">
        <v>30</v>
      </c>
      <c r="J31">
        <f>'Monthly Data'!CE31</f>
        <v>0</v>
      </c>
      <c r="K31">
        <f>'Monthly Data'!CQ31</f>
        <v>0</v>
      </c>
      <c r="L31">
        <f>'Monthly Data'!CP31</f>
        <v>0</v>
      </c>
      <c r="N31" s="6">
        <f t="shared" si="4"/>
        <v>-12141897.0683104</v>
      </c>
      <c r="O31" s="6">
        <f t="shared" si="5"/>
        <v>37385.02807118278</v>
      </c>
      <c r="P31" s="6">
        <f t="shared" si="6"/>
        <v>6081303.6320831692</v>
      </c>
      <c r="Q31" s="6">
        <f t="shared" si="7"/>
        <v>9579728.4881737232</v>
      </c>
      <c r="R31" s="6">
        <f t="shared" si="8"/>
        <v>0</v>
      </c>
      <c r="S31" s="6">
        <f t="shared" si="9"/>
        <v>18604842.7049952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22161362.785012875</v>
      </c>
      <c r="X31" s="6">
        <f t="shared" si="17"/>
        <v>1162948.4153240658</v>
      </c>
      <c r="Y31" s="15">
        <f t="shared" si="18"/>
        <v>5.5382677703645126E-2</v>
      </c>
    </row>
    <row r="32" spans="1:31">
      <c r="A32" s="245">
        <v>41821</v>
      </c>
      <c r="B32">
        <f t="shared" si="15"/>
        <v>7</v>
      </c>
      <c r="C32">
        <f t="shared" si="16"/>
        <v>2014</v>
      </c>
      <c r="D32" s="6">
        <v>23086879.999604907</v>
      </c>
      <c r="E32">
        <v>0</v>
      </c>
      <c r="F32">
        <v>109.60000000000002</v>
      </c>
      <c r="G32">
        <v>6884</v>
      </c>
      <c r="H32">
        <v>0</v>
      </c>
      <c r="I32">
        <v>31</v>
      </c>
      <c r="J32">
        <f>'Monthly Data'!CE32</f>
        <v>0</v>
      </c>
      <c r="K32">
        <f>'Monthly Data'!CQ32</f>
        <v>0</v>
      </c>
      <c r="L32">
        <f>'Monthly Data'!CP32</f>
        <v>0</v>
      </c>
      <c r="N32" s="6">
        <f t="shared" si="4"/>
        <v>-12141897.0683104</v>
      </c>
      <c r="O32" s="6">
        <f t="shared" si="5"/>
        <v>0</v>
      </c>
      <c r="P32" s="6">
        <f t="shared" si="6"/>
        <v>6906848.4774747724</v>
      </c>
      <c r="Q32" s="6">
        <f t="shared" si="7"/>
        <v>9644877.6471792199</v>
      </c>
      <c r="R32" s="6">
        <f t="shared" si="8"/>
        <v>0</v>
      </c>
      <c r="S32" s="6">
        <f t="shared" si="9"/>
        <v>19225004.128495038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23634833.18483863</v>
      </c>
      <c r="X32" s="6">
        <f t="shared" si="17"/>
        <v>547953.18523372337</v>
      </c>
      <c r="Y32" s="15">
        <f t="shared" si="18"/>
        <v>2.3734397425858353E-2</v>
      </c>
    </row>
    <row r="33" spans="1:25">
      <c r="A33" s="245">
        <v>41852</v>
      </c>
      <c r="B33">
        <f t="shared" si="15"/>
        <v>8</v>
      </c>
      <c r="C33">
        <f t="shared" si="16"/>
        <v>2014</v>
      </c>
      <c r="D33" s="6">
        <v>22898517.649519607</v>
      </c>
      <c r="E33">
        <v>0</v>
      </c>
      <c r="F33">
        <v>113.39999999999999</v>
      </c>
      <c r="G33">
        <v>6897.1</v>
      </c>
      <c r="H33">
        <v>0</v>
      </c>
      <c r="I33">
        <v>31</v>
      </c>
      <c r="J33">
        <f>'Monthly Data'!CE33</f>
        <v>0</v>
      </c>
      <c r="K33">
        <f>'Monthly Data'!CQ33</f>
        <v>0</v>
      </c>
      <c r="L33">
        <f>'Monthly Data'!CP33</f>
        <v>0</v>
      </c>
      <c r="N33" s="6">
        <f t="shared" si="4"/>
        <v>-12141897.0683104</v>
      </c>
      <c r="O33" s="6">
        <f t="shared" si="5"/>
        <v>0</v>
      </c>
      <c r="P33" s="6">
        <f t="shared" si="6"/>
        <v>7146319.5013288232</v>
      </c>
      <c r="Q33" s="6">
        <f t="shared" si="7"/>
        <v>9663231.4962753914</v>
      </c>
      <c r="R33" s="6">
        <f t="shared" si="8"/>
        <v>0</v>
      </c>
      <c r="S33" s="6">
        <f t="shared" si="9"/>
        <v>19225004.128495038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23892658.057788853</v>
      </c>
      <c r="X33" s="6">
        <f t="shared" si="17"/>
        <v>994140.40826924518</v>
      </c>
      <c r="Y33" s="15">
        <f t="shared" si="18"/>
        <v>4.3415055222585618E-2</v>
      </c>
    </row>
    <row r="34" spans="1:25">
      <c r="A34" s="245">
        <v>41883</v>
      </c>
      <c r="B34">
        <f t="shared" si="15"/>
        <v>9</v>
      </c>
      <c r="C34">
        <f t="shared" si="16"/>
        <v>2014</v>
      </c>
      <c r="D34" s="6">
        <v>19497729.920137007</v>
      </c>
      <c r="E34">
        <v>22.200000000000003</v>
      </c>
      <c r="F34">
        <v>47.5</v>
      </c>
      <c r="G34">
        <v>6875.4</v>
      </c>
      <c r="H34">
        <v>0</v>
      </c>
      <c r="I34">
        <v>30</v>
      </c>
      <c r="J34">
        <f>'Monthly Data'!CE34</f>
        <v>1</v>
      </c>
      <c r="K34">
        <f>'Monthly Data'!CQ34</f>
        <v>0</v>
      </c>
      <c r="L34">
        <f>'Monthly Data'!CP34</f>
        <v>0</v>
      </c>
      <c r="N34" s="6">
        <f t="shared" si="4"/>
        <v>-12141897.0683104</v>
      </c>
      <c r="O34" s="6">
        <f t="shared" si="5"/>
        <v>251499.27975159322</v>
      </c>
      <c r="P34" s="6">
        <f t="shared" si="6"/>
        <v>2993387.7981756534</v>
      </c>
      <c r="Q34" s="6">
        <f t="shared" si="7"/>
        <v>9632828.5554061588</v>
      </c>
      <c r="R34" s="6">
        <f t="shared" si="8"/>
        <v>0</v>
      </c>
      <c r="S34" s="6">
        <f t="shared" si="9"/>
        <v>18604842.7049952</v>
      </c>
      <c r="T34" s="6">
        <f t="shared" si="10"/>
        <v>-730615.53830697597</v>
      </c>
      <c r="U34" s="6">
        <f t="shared" si="11"/>
        <v>0</v>
      </c>
      <c r="V34" s="6">
        <f t="shared" si="12"/>
        <v>0</v>
      </c>
      <c r="W34" s="6">
        <f t="shared" si="13"/>
        <v>18610045.731711227</v>
      </c>
      <c r="X34" s="6">
        <f t="shared" si="17"/>
        <v>-887684.18842577934</v>
      </c>
      <c r="Y34" s="15">
        <f t="shared" si="18"/>
        <v>4.5527566135224309E-2</v>
      </c>
    </row>
    <row r="35" spans="1:25">
      <c r="A35" s="245">
        <v>41913</v>
      </c>
      <c r="B35">
        <f t="shared" si="15"/>
        <v>10</v>
      </c>
      <c r="C35">
        <f t="shared" si="16"/>
        <v>2014</v>
      </c>
      <c r="D35" s="6">
        <v>18038933.076452006</v>
      </c>
      <c r="E35">
        <v>117.00000000000003</v>
      </c>
      <c r="F35">
        <v>4.1999999999999993</v>
      </c>
      <c r="G35">
        <v>6869.1</v>
      </c>
      <c r="H35">
        <v>0</v>
      </c>
      <c r="I35">
        <v>31</v>
      </c>
      <c r="J35">
        <f>'Monthly Data'!CE35</f>
        <v>1</v>
      </c>
      <c r="K35">
        <f>'Monthly Data'!CQ35</f>
        <v>0</v>
      </c>
      <c r="L35">
        <f>'Monthly Data'!CP35</f>
        <v>0</v>
      </c>
      <c r="N35" s="6">
        <f t="shared" si="4"/>
        <v>-12141897.0683104</v>
      </c>
      <c r="O35" s="6">
        <f t="shared" si="5"/>
        <v>1325469.1770692077</v>
      </c>
      <c r="P35" s="6">
        <f t="shared" si="6"/>
        <v>264678.50004921563</v>
      </c>
      <c r="Q35" s="6">
        <f t="shared" si="7"/>
        <v>9624001.8951538019</v>
      </c>
      <c r="R35" s="6">
        <f t="shared" si="8"/>
        <v>0</v>
      </c>
      <c r="S35" s="6">
        <f t="shared" si="9"/>
        <v>19225004.128495038</v>
      </c>
      <c r="T35" s="6">
        <f t="shared" si="10"/>
        <v>-730615.53830697597</v>
      </c>
      <c r="U35" s="6">
        <f t="shared" si="11"/>
        <v>0</v>
      </c>
      <c r="V35" s="6">
        <f t="shared" si="12"/>
        <v>0</v>
      </c>
      <c r="W35" s="6">
        <f t="shared" si="13"/>
        <v>17566641.094149884</v>
      </c>
      <c r="X35" s="6">
        <f t="shared" si="17"/>
        <v>-472291.98230212182</v>
      </c>
      <c r="Y35" s="15">
        <f t="shared" si="18"/>
        <v>2.6181813541880202E-2</v>
      </c>
    </row>
    <row r="36" spans="1:25">
      <c r="A36" s="245">
        <v>41944</v>
      </c>
      <c r="B36">
        <f t="shared" si="15"/>
        <v>11</v>
      </c>
      <c r="C36">
        <f t="shared" si="16"/>
        <v>2014</v>
      </c>
      <c r="D36" s="6">
        <v>20219734.067318108</v>
      </c>
      <c r="E36">
        <v>363.7</v>
      </c>
      <c r="F36">
        <v>0</v>
      </c>
      <c r="G36">
        <v>6850</v>
      </c>
      <c r="H36">
        <v>0</v>
      </c>
      <c r="I36">
        <v>30</v>
      </c>
      <c r="J36">
        <f>'Monthly Data'!CE36</f>
        <v>0</v>
      </c>
      <c r="K36">
        <f>'Monthly Data'!CQ36</f>
        <v>0</v>
      </c>
      <c r="L36">
        <f>'Monthly Data'!CP36</f>
        <v>0</v>
      </c>
      <c r="N36" s="6">
        <f t="shared" si="4"/>
        <v>-12141897.0683104</v>
      </c>
      <c r="O36" s="6">
        <f t="shared" si="5"/>
        <v>4120283.2452997495</v>
      </c>
      <c r="P36" s="6">
        <f t="shared" si="6"/>
        <v>0</v>
      </c>
      <c r="Q36" s="6">
        <f t="shared" si="7"/>
        <v>9597241.7029601466</v>
      </c>
      <c r="R36" s="6">
        <f t="shared" si="8"/>
        <v>0</v>
      </c>
      <c r="S36" s="6">
        <f t="shared" si="9"/>
        <v>18604842.7049952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20180470.584944695</v>
      </c>
      <c r="X36" s="6">
        <f t="shared" si="17"/>
        <v>-39263.482373412699</v>
      </c>
      <c r="Y36" s="15">
        <f t="shared" si="18"/>
        <v>1.9418397018819201E-3</v>
      </c>
    </row>
    <row r="37" spans="1:25">
      <c r="A37" s="245">
        <v>41974</v>
      </c>
      <c r="B37">
        <f t="shared" si="15"/>
        <v>12</v>
      </c>
      <c r="C37">
        <f t="shared" si="16"/>
        <v>2014</v>
      </c>
      <c r="D37" s="6">
        <v>22345974.245960809</v>
      </c>
      <c r="E37">
        <v>418.49999999999989</v>
      </c>
      <c r="F37">
        <v>0</v>
      </c>
      <c r="G37">
        <v>6837.3</v>
      </c>
      <c r="H37">
        <v>1</v>
      </c>
      <c r="I37">
        <v>31</v>
      </c>
      <c r="J37">
        <f>'Monthly Data'!CE37</f>
        <v>0</v>
      </c>
      <c r="K37">
        <f>'Monthly Data'!CQ37</f>
        <v>0</v>
      </c>
      <c r="L37">
        <f>'Monthly Data'!CP37</f>
        <v>0</v>
      </c>
      <c r="N37" s="6">
        <f t="shared" si="4"/>
        <v>-12141897.0683104</v>
      </c>
      <c r="O37" s="6">
        <f t="shared" si="5"/>
        <v>4741101.2872090871</v>
      </c>
      <c r="P37" s="6">
        <f t="shared" si="6"/>
        <v>0</v>
      </c>
      <c r="Q37" s="6">
        <f t="shared" si="7"/>
        <v>9579448.2767371405</v>
      </c>
      <c r="R37" s="6">
        <f t="shared" si="8"/>
        <v>695677.72202584799</v>
      </c>
      <c r="S37" s="6">
        <f t="shared" si="9"/>
        <v>19225004.128495038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22099334.346156713</v>
      </c>
      <c r="X37" s="6">
        <f t="shared" si="17"/>
        <v>-246639.89980409667</v>
      </c>
      <c r="Y37" s="15">
        <f t="shared" si="18"/>
        <v>1.1037330352632916E-2</v>
      </c>
    </row>
    <row r="38" spans="1:25">
      <c r="A38" s="245">
        <v>42005</v>
      </c>
      <c r="B38">
        <f t="shared" si="15"/>
        <v>1</v>
      </c>
      <c r="C38">
        <f t="shared" si="16"/>
        <v>2015</v>
      </c>
      <c r="D38" s="6">
        <v>24367178.229805239</v>
      </c>
      <c r="E38">
        <v>656.8</v>
      </c>
      <c r="F38">
        <v>0</v>
      </c>
      <c r="G38">
        <v>6777.3</v>
      </c>
      <c r="H38">
        <v>0</v>
      </c>
      <c r="I38">
        <v>31</v>
      </c>
      <c r="J38">
        <f>'Monthly Data'!CE38</f>
        <v>0</v>
      </c>
      <c r="K38">
        <f>'Monthly Data'!CQ38</f>
        <v>0</v>
      </c>
      <c r="L38">
        <f>'Monthly Data'!CP38</f>
        <v>0</v>
      </c>
      <c r="N38" s="6">
        <f t="shared" si="4"/>
        <v>-12141897.0683104</v>
      </c>
      <c r="O38" s="6">
        <f t="shared" si="5"/>
        <v>7440753.4658038914</v>
      </c>
      <c r="P38" s="6">
        <f t="shared" si="6"/>
        <v>0</v>
      </c>
      <c r="Q38" s="6">
        <f t="shared" si="7"/>
        <v>9495384.8457623068</v>
      </c>
      <c r="R38" s="6">
        <f t="shared" si="8"/>
        <v>0</v>
      </c>
      <c r="S38" s="6">
        <f t="shared" si="9"/>
        <v>19225004.128495038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24019245.371750835</v>
      </c>
      <c r="X38" s="6">
        <f t="shared" si="17"/>
        <v>-347932.85805440322</v>
      </c>
      <c r="Y38" s="15">
        <f t="shared" si="18"/>
        <v>1.4278750488590494E-2</v>
      </c>
    </row>
    <row r="39" spans="1:25">
      <c r="A39" s="245">
        <v>42036</v>
      </c>
      <c r="B39">
        <f t="shared" si="15"/>
        <v>2</v>
      </c>
      <c r="C39">
        <f t="shared" si="16"/>
        <v>2015</v>
      </c>
      <c r="D39" s="6">
        <v>22466482.311995439</v>
      </c>
      <c r="E39">
        <v>729.1</v>
      </c>
      <c r="F39">
        <v>0</v>
      </c>
      <c r="G39">
        <v>6740.1</v>
      </c>
      <c r="H39">
        <v>0</v>
      </c>
      <c r="I39">
        <v>28</v>
      </c>
      <c r="J39">
        <f>'Monthly Data'!CE39</f>
        <v>0</v>
      </c>
      <c r="K39">
        <f>'Monthly Data'!CQ39</f>
        <v>0</v>
      </c>
      <c r="L39">
        <f>'Monthly Data'!CP39</f>
        <v>0</v>
      </c>
      <c r="N39" s="6">
        <f t="shared" si="4"/>
        <v>-12141897.0683104</v>
      </c>
      <c r="O39" s="6">
        <f t="shared" si="5"/>
        <v>8259825.4444543514</v>
      </c>
      <c r="P39" s="6">
        <f t="shared" si="6"/>
        <v>0</v>
      </c>
      <c r="Q39" s="6">
        <f t="shared" si="7"/>
        <v>9443265.5185579117</v>
      </c>
      <c r="R39" s="6">
        <f t="shared" si="8"/>
        <v>0</v>
      </c>
      <c r="S39" s="6">
        <f t="shared" si="9"/>
        <v>17364519.857995518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22925713.752697378</v>
      </c>
      <c r="X39" s="6">
        <f t="shared" si="17"/>
        <v>459231.44070193917</v>
      </c>
      <c r="Y39" s="15">
        <f t="shared" si="18"/>
        <v>2.0440736307737128E-2</v>
      </c>
    </row>
    <row r="40" spans="1:25">
      <c r="A40" s="245">
        <v>42064</v>
      </c>
      <c r="B40">
        <f t="shared" si="15"/>
        <v>3</v>
      </c>
      <c r="C40">
        <f t="shared" si="16"/>
        <v>2015</v>
      </c>
      <c r="D40" s="6">
        <v>21013033.88442684</v>
      </c>
      <c r="E40">
        <v>474.69999999999993</v>
      </c>
      <c r="F40">
        <v>0</v>
      </c>
      <c r="G40">
        <v>6712.3</v>
      </c>
      <c r="H40">
        <v>0</v>
      </c>
      <c r="I40">
        <v>31</v>
      </c>
      <c r="J40">
        <f>'Monthly Data'!CE40</f>
        <v>1</v>
      </c>
      <c r="K40">
        <f>'Monthly Data'!CQ40</f>
        <v>0</v>
      </c>
      <c r="L40">
        <f>'Monthly Data'!CP40</f>
        <v>0</v>
      </c>
      <c r="N40" s="6">
        <f t="shared" si="4"/>
        <v>-12141897.0683104</v>
      </c>
      <c r="O40" s="6">
        <f t="shared" si="5"/>
        <v>5377779.6440577153</v>
      </c>
      <c r="P40" s="6">
        <f t="shared" si="6"/>
        <v>0</v>
      </c>
      <c r="Q40" s="6">
        <f t="shared" si="7"/>
        <v>9404316.1288729049</v>
      </c>
      <c r="R40" s="6">
        <f t="shared" si="8"/>
        <v>0</v>
      </c>
      <c r="S40" s="6">
        <f t="shared" si="9"/>
        <v>19225004.128495038</v>
      </c>
      <c r="T40" s="6">
        <f t="shared" si="10"/>
        <v>-730615.53830697597</v>
      </c>
      <c r="U40" s="6">
        <f t="shared" si="11"/>
        <v>0</v>
      </c>
      <c r="V40" s="6">
        <f t="shared" si="12"/>
        <v>0</v>
      </c>
      <c r="W40" s="6">
        <f t="shared" si="13"/>
        <v>21134587.29480828</v>
      </c>
      <c r="X40" s="6">
        <f t="shared" si="17"/>
        <v>121553.41038144007</v>
      </c>
      <c r="Y40" s="15">
        <f t="shared" si="18"/>
        <v>5.7846673188646797E-3</v>
      </c>
    </row>
    <row r="41" spans="1:25">
      <c r="A41" s="245">
        <v>42095</v>
      </c>
      <c r="B41">
        <f t="shared" si="15"/>
        <v>4</v>
      </c>
      <c r="C41">
        <f t="shared" si="16"/>
        <v>2015</v>
      </c>
      <c r="D41" s="6">
        <v>17556188.672437936</v>
      </c>
      <c r="E41">
        <v>210.70000000000005</v>
      </c>
      <c r="F41">
        <v>0</v>
      </c>
      <c r="G41">
        <v>6733.1</v>
      </c>
      <c r="H41">
        <v>0</v>
      </c>
      <c r="I41">
        <v>30</v>
      </c>
      <c r="J41">
        <f>'Monthly Data'!CE41</f>
        <v>1</v>
      </c>
      <c r="K41">
        <f>'Monthly Data'!CQ41</f>
        <v>0</v>
      </c>
      <c r="L41">
        <f>'Monthly Data'!CP41</f>
        <v>0</v>
      </c>
      <c r="N41" s="6">
        <f t="shared" si="4"/>
        <v>-12141897.0683104</v>
      </c>
      <c r="O41" s="6">
        <f t="shared" si="5"/>
        <v>2386977.3983630943</v>
      </c>
      <c r="P41" s="6">
        <f t="shared" si="6"/>
        <v>0</v>
      </c>
      <c r="Q41" s="6">
        <f t="shared" si="7"/>
        <v>9433458.1182775144</v>
      </c>
      <c r="R41" s="6">
        <f t="shared" si="8"/>
        <v>0</v>
      </c>
      <c r="S41" s="6">
        <f t="shared" si="9"/>
        <v>18604842.7049952</v>
      </c>
      <c r="T41" s="6">
        <f t="shared" si="10"/>
        <v>-730615.53830697597</v>
      </c>
      <c r="U41" s="6">
        <f t="shared" si="11"/>
        <v>0</v>
      </c>
      <c r="V41" s="6">
        <f t="shared" si="12"/>
        <v>0</v>
      </c>
      <c r="W41" s="6">
        <f t="shared" si="13"/>
        <v>17552765.615018431</v>
      </c>
      <c r="X41" s="6">
        <f t="shared" si="17"/>
        <v>-3423.0574195049703</v>
      </c>
      <c r="Y41" s="15">
        <f t="shared" si="18"/>
        <v>1.9497725180402884E-4</v>
      </c>
    </row>
    <row r="42" spans="1:25">
      <c r="A42" s="245">
        <v>42125</v>
      </c>
      <c r="B42">
        <f t="shared" si="15"/>
        <v>5</v>
      </c>
      <c r="C42">
        <f t="shared" si="16"/>
        <v>2015</v>
      </c>
      <c r="D42" s="6">
        <v>18207057.629658837</v>
      </c>
      <c r="E42">
        <v>60</v>
      </c>
      <c r="F42">
        <v>53.500000000000007</v>
      </c>
      <c r="G42">
        <v>6793.2</v>
      </c>
      <c r="H42">
        <v>0</v>
      </c>
      <c r="I42">
        <v>31</v>
      </c>
      <c r="J42">
        <f>'Monthly Data'!CE42</f>
        <v>1</v>
      </c>
      <c r="K42">
        <f>'Monthly Data'!CQ42</f>
        <v>0</v>
      </c>
      <c r="L42">
        <f>'Monthly Data'!CP42</f>
        <v>0</v>
      </c>
      <c r="N42" s="6">
        <f t="shared" si="4"/>
        <v>-12141897.0683104</v>
      </c>
      <c r="O42" s="6">
        <f t="shared" si="5"/>
        <v>679727.78311241406</v>
      </c>
      <c r="P42" s="6">
        <f t="shared" si="6"/>
        <v>3371499.941103105</v>
      </c>
      <c r="Q42" s="6">
        <f t="shared" si="7"/>
        <v>9517661.6549706385</v>
      </c>
      <c r="R42" s="6">
        <f t="shared" si="8"/>
        <v>0</v>
      </c>
      <c r="S42" s="6">
        <f t="shared" si="9"/>
        <v>19225004.128495038</v>
      </c>
      <c r="T42" s="6">
        <f t="shared" si="10"/>
        <v>-730615.53830697597</v>
      </c>
      <c r="U42" s="6">
        <f t="shared" si="11"/>
        <v>0</v>
      </c>
      <c r="V42" s="6">
        <f t="shared" si="12"/>
        <v>0</v>
      </c>
      <c r="W42" s="6">
        <f t="shared" si="13"/>
        <v>19921380.901063818</v>
      </c>
      <c r="X42" s="6">
        <f t="shared" si="17"/>
        <v>1714323.2714049816</v>
      </c>
      <c r="Y42" s="15">
        <f t="shared" si="18"/>
        <v>9.4157073936669056E-2</v>
      </c>
    </row>
    <row r="43" spans="1:25">
      <c r="A43" s="245">
        <v>42156</v>
      </c>
      <c r="B43">
        <f t="shared" si="15"/>
        <v>6</v>
      </c>
      <c r="C43">
        <f t="shared" si="16"/>
        <v>2015</v>
      </c>
      <c r="D43" s="6">
        <v>19833723.178718138</v>
      </c>
      <c r="E43">
        <v>11.9</v>
      </c>
      <c r="F43">
        <v>64.5</v>
      </c>
      <c r="G43">
        <v>6885.3</v>
      </c>
      <c r="H43">
        <v>0</v>
      </c>
      <c r="I43">
        <v>30</v>
      </c>
      <c r="J43">
        <f>'Monthly Data'!CE43</f>
        <v>0</v>
      </c>
      <c r="K43">
        <f>'Monthly Data'!CQ43</f>
        <v>0</v>
      </c>
      <c r="L43">
        <f>'Monthly Data'!CP43</f>
        <v>0</v>
      </c>
      <c r="N43" s="6">
        <f t="shared" si="4"/>
        <v>-12141897.0683104</v>
      </c>
      <c r="O43" s="6">
        <f t="shared" si="5"/>
        <v>134812.67698396213</v>
      </c>
      <c r="P43" s="6">
        <f t="shared" si="6"/>
        <v>4064705.536470098</v>
      </c>
      <c r="Q43" s="6">
        <f t="shared" si="7"/>
        <v>9646699.0215170067</v>
      </c>
      <c r="R43" s="6">
        <f t="shared" si="8"/>
        <v>0</v>
      </c>
      <c r="S43" s="6">
        <f t="shared" si="9"/>
        <v>18604842.7049952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20309162.871655867</v>
      </c>
      <c r="X43" s="6">
        <f t="shared" si="17"/>
        <v>475439.69293772802</v>
      </c>
      <c r="Y43" s="15">
        <f t="shared" si="18"/>
        <v>2.397127804263606E-2</v>
      </c>
    </row>
    <row r="44" spans="1:25">
      <c r="A44" s="245">
        <v>42186</v>
      </c>
      <c r="B44">
        <f t="shared" si="15"/>
        <v>7</v>
      </c>
      <c r="C44">
        <f t="shared" si="16"/>
        <v>2015</v>
      </c>
      <c r="D44" s="6">
        <v>25552478.788773138</v>
      </c>
      <c r="E44">
        <v>0</v>
      </c>
      <c r="F44">
        <v>138.1</v>
      </c>
      <c r="G44">
        <v>6951.4</v>
      </c>
      <c r="H44">
        <v>0</v>
      </c>
      <c r="I44">
        <v>31</v>
      </c>
      <c r="J44">
        <f>'Monthly Data'!CE44</f>
        <v>0</v>
      </c>
      <c r="K44">
        <f>'Monthly Data'!CQ44</f>
        <v>0</v>
      </c>
      <c r="L44">
        <f>'Monthly Data'!CP44</f>
        <v>0</v>
      </c>
      <c r="N44" s="6">
        <f t="shared" si="4"/>
        <v>-12141897.0683104</v>
      </c>
      <c r="O44" s="6">
        <f t="shared" si="5"/>
        <v>0</v>
      </c>
      <c r="P44" s="6">
        <f t="shared" si="6"/>
        <v>8702881.1563801635</v>
      </c>
      <c r="Q44" s="6">
        <f t="shared" si="7"/>
        <v>9739308.9013076145</v>
      </c>
      <c r="R44" s="6">
        <f t="shared" si="8"/>
        <v>0</v>
      </c>
      <c r="S44" s="6">
        <f t="shared" si="9"/>
        <v>19225004.128495038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25525297.117872417</v>
      </c>
      <c r="X44" s="6">
        <f t="shared" si="17"/>
        <v>-27181.670900721103</v>
      </c>
      <c r="Y44" s="15">
        <f t="shared" si="18"/>
        <v>1.0637586719243761E-3</v>
      </c>
    </row>
    <row r="45" spans="1:25">
      <c r="A45" s="245">
        <v>42217</v>
      </c>
      <c r="B45">
        <f t="shared" si="15"/>
        <v>8</v>
      </c>
      <c r="C45">
        <f t="shared" si="16"/>
        <v>2015</v>
      </c>
      <c r="D45" s="6">
        <v>24748450.928526238</v>
      </c>
      <c r="E45">
        <v>0</v>
      </c>
      <c r="F45">
        <v>132.59999999999997</v>
      </c>
      <c r="G45">
        <v>6969.1</v>
      </c>
      <c r="H45">
        <v>0</v>
      </c>
      <c r="I45">
        <v>31</v>
      </c>
      <c r="J45">
        <f>'Monthly Data'!CE45</f>
        <v>0</v>
      </c>
      <c r="K45">
        <f>'Monthly Data'!CQ45</f>
        <v>0</v>
      </c>
      <c r="L45">
        <f>'Monthly Data'!CP45</f>
        <v>0</v>
      </c>
      <c r="N45" s="6">
        <f t="shared" si="4"/>
        <v>-12141897.0683104</v>
      </c>
      <c r="O45" s="6">
        <f t="shared" si="5"/>
        <v>0</v>
      </c>
      <c r="P45" s="6">
        <f t="shared" si="6"/>
        <v>8356278.3586966647</v>
      </c>
      <c r="Q45" s="6">
        <f t="shared" si="7"/>
        <v>9764107.6134451926</v>
      </c>
      <c r="R45" s="6">
        <f t="shared" si="8"/>
        <v>0</v>
      </c>
      <c r="S45" s="6">
        <f t="shared" si="9"/>
        <v>19225004.128495038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25203493.032326493</v>
      </c>
      <c r="X45" s="6">
        <f t="shared" si="17"/>
        <v>455042.10380025581</v>
      </c>
      <c r="Y45" s="15">
        <f t="shared" si="18"/>
        <v>1.8386690347384639E-2</v>
      </c>
    </row>
    <row r="46" spans="1:25">
      <c r="A46" s="245">
        <v>42248</v>
      </c>
      <c r="B46">
        <f t="shared" si="15"/>
        <v>9</v>
      </c>
      <c r="C46">
        <f t="shared" si="16"/>
        <v>2015</v>
      </c>
      <c r="D46" s="6">
        <v>22156204.349748038</v>
      </c>
      <c r="E46">
        <v>1.5999999999999996</v>
      </c>
      <c r="F46">
        <v>117.69999999999999</v>
      </c>
      <c r="G46">
        <v>6917.2</v>
      </c>
      <c r="H46">
        <v>0</v>
      </c>
      <c r="I46">
        <v>30</v>
      </c>
      <c r="J46">
        <f>'Monthly Data'!CE46</f>
        <v>1</v>
      </c>
      <c r="K46">
        <f>'Monthly Data'!CQ46</f>
        <v>0</v>
      </c>
      <c r="L46">
        <f>'Monthly Data'!CP46</f>
        <v>0</v>
      </c>
      <c r="N46" s="6">
        <f t="shared" si="4"/>
        <v>-12141897.0683104</v>
      </c>
      <c r="O46" s="6">
        <f t="shared" si="5"/>
        <v>18126.074216331035</v>
      </c>
      <c r="P46" s="6">
        <f t="shared" si="6"/>
        <v>7417299.8704268299</v>
      </c>
      <c r="Q46" s="6">
        <f t="shared" si="7"/>
        <v>9691392.7456519604</v>
      </c>
      <c r="R46" s="6">
        <f t="shared" si="8"/>
        <v>0</v>
      </c>
      <c r="S46" s="6">
        <f t="shared" si="9"/>
        <v>18604842.7049952</v>
      </c>
      <c r="T46" s="6">
        <f t="shared" si="10"/>
        <v>-730615.53830697597</v>
      </c>
      <c r="U46" s="6">
        <f t="shared" si="11"/>
        <v>0</v>
      </c>
      <c r="V46" s="6">
        <f t="shared" si="12"/>
        <v>0</v>
      </c>
      <c r="W46" s="6">
        <f t="shared" si="13"/>
        <v>22859148.788672943</v>
      </c>
      <c r="X46" s="6">
        <f t="shared" si="17"/>
        <v>702944.43892490491</v>
      </c>
      <c r="Y46" s="15">
        <f t="shared" si="18"/>
        <v>3.17267537267907E-2</v>
      </c>
    </row>
    <row r="47" spans="1:25">
      <c r="A47" s="245">
        <v>42278</v>
      </c>
      <c r="B47">
        <f t="shared" si="15"/>
        <v>10</v>
      </c>
      <c r="C47">
        <f t="shared" si="16"/>
        <v>2015</v>
      </c>
      <c r="D47" s="6">
        <v>17701333.681162238</v>
      </c>
      <c r="E47">
        <v>102.69999999999999</v>
      </c>
      <c r="F47">
        <v>1.6999999999999993</v>
      </c>
      <c r="G47">
        <v>6887.9</v>
      </c>
      <c r="H47">
        <v>0</v>
      </c>
      <c r="I47">
        <v>31</v>
      </c>
      <c r="J47">
        <f>'Monthly Data'!CE47</f>
        <v>1</v>
      </c>
      <c r="K47">
        <f>'Monthly Data'!CQ47</f>
        <v>0</v>
      </c>
      <c r="L47">
        <f>'Monthly Data'!CP47</f>
        <v>0</v>
      </c>
      <c r="N47" s="6">
        <f t="shared" si="4"/>
        <v>-12141897.0683104</v>
      </c>
      <c r="O47" s="6">
        <f t="shared" si="5"/>
        <v>1163467.3887607486</v>
      </c>
      <c r="P47" s="6">
        <f t="shared" si="6"/>
        <v>107131.7738294444</v>
      </c>
      <c r="Q47" s="6">
        <f t="shared" si="7"/>
        <v>9650341.7701925822</v>
      </c>
      <c r="R47" s="6">
        <f t="shared" si="8"/>
        <v>0</v>
      </c>
      <c r="S47" s="6">
        <f t="shared" si="9"/>
        <v>19225004.128495038</v>
      </c>
      <c r="T47" s="6">
        <f t="shared" si="10"/>
        <v>-730615.53830697597</v>
      </c>
      <c r="U47" s="6">
        <f t="shared" si="11"/>
        <v>0</v>
      </c>
      <c r="V47" s="6">
        <f t="shared" si="12"/>
        <v>0</v>
      </c>
      <c r="W47" s="6">
        <f t="shared" si="13"/>
        <v>17273432.454660434</v>
      </c>
      <c r="X47" s="6">
        <f t="shared" si="17"/>
        <v>-427901.22650180385</v>
      </c>
      <c r="Y47" s="15">
        <f t="shared" si="18"/>
        <v>2.4173389090855701E-2</v>
      </c>
    </row>
    <row r="48" spans="1:25">
      <c r="A48" s="245">
        <v>42309</v>
      </c>
      <c r="B48">
        <f t="shared" si="15"/>
        <v>11</v>
      </c>
      <c r="C48">
        <f t="shared" si="16"/>
        <v>2015</v>
      </c>
      <c r="D48" s="6">
        <v>18075477.924958337</v>
      </c>
      <c r="E48">
        <v>208.1</v>
      </c>
      <c r="F48">
        <v>1.3000000000000007</v>
      </c>
      <c r="G48">
        <v>6853.9</v>
      </c>
      <c r="H48">
        <v>0</v>
      </c>
      <c r="I48">
        <v>30</v>
      </c>
      <c r="J48">
        <f>'Monthly Data'!CE48</f>
        <v>0</v>
      </c>
      <c r="K48">
        <f>'Monthly Data'!CQ48</f>
        <v>0</v>
      </c>
      <c r="L48">
        <f>'Monthly Data'!CP48</f>
        <v>0</v>
      </c>
      <c r="N48" s="6">
        <f t="shared" si="4"/>
        <v>-12141897.0683104</v>
      </c>
      <c r="O48" s="6">
        <f t="shared" si="5"/>
        <v>2357522.5277615557</v>
      </c>
      <c r="P48" s="6">
        <f t="shared" si="6"/>
        <v>81924.297634281087</v>
      </c>
      <c r="Q48" s="6">
        <f t="shared" si="7"/>
        <v>9602705.8259735107</v>
      </c>
      <c r="R48" s="6">
        <f t="shared" si="8"/>
        <v>0</v>
      </c>
      <c r="S48" s="6">
        <f t="shared" si="9"/>
        <v>18604842.7049952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18505098.288054146</v>
      </c>
      <c r="X48" s="6">
        <f t="shared" si="17"/>
        <v>429620.36309580877</v>
      </c>
      <c r="Y48" s="15">
        <f t="shared" si="18"/>
        <v>2.3768132985440771E-2</v>
      </c>
    </row>
    <row r="49" spans="1:25">
      <c r="A49" s="245">
        <v>42339</v>
      </c>
      <c r="B49">
        <f t="shared" si="15"/>
        <v>12</v>
      </c>
      <c r="C49">
        <f t="shared" si="16"/>
        <v>2015</v>
      </c>
      <c r="D49" s="6">
        <v>20795330.447421238</v>
      </c>
      <c r="E49">
        <v>308.40000000000003</v>
      </c>
      <c r="F49">
        <v>0</v>
      </c>
      <c r="G49">
        <v>6866.6</v>
      </c>
      <c r="H49">
        <v>1</v>
      </c>
      <c r="I49">
        <v>31</v>
      </c>
      <c r="J49">
        <f>'Monthly Data'!CE49</f>
        <v>0</v>
      </c>
      <c r="K49">
        <f>'Monthly Data'!CQ49</f>
        <v>0</v>
      </c>
      <c r="L49">
        <f>'Monthly Data'!CP49</f>
        <v>0</v>
      </c>
      <c r="N49" s="6">
        <f t="shared" si="4"/>
        <v>-12141897.0683104</v>
      </c>
      <c r="O49" s="6">
        <f t="shared" si="5"/>
        <v>3493800.8051978084</v>
      </c>
      <c r="P49" s="6">
        <f t="shared" si="6"/>
        <v>0</v>
      </c>
      <c r="Q49" s="6">
        <f t="shared" si="7"/>
        <v>9620499.2521965187</v>
      </c>
      <c r="R49" s="6">
        <f t="shared" si="8"/>
        <v>695677.72202584799</v>
      </c>
      <c r="S49" s="6">
        <f t="shared" si="9"/>
        <v>19225004.128495038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20893084.839604814</v>
      </c>
      <c r="X49" s="6">
        <f t="shared" si="17"/>
        <v>97754.392183575779</v>
      </c>
      <c r="Y49" s="15">
        <f t="shared" si="18"/>
        <v>4.7007857091156723E-3</v>
      </c>
    </row>
    <row r="50" spans="1:25">
      <c r="A50" s="245">
        <v>42370</v>
      </c>
      <c r="B50">
        <f t="shared" si="15"/>
        <v>1</v>
      </c>
      <c r="C50">
        <f t="shared" si="16"/>
        <v>2016</v>
      </c>
      <c r="D50" s="6">
        <v>22568585.525682587</v>
      </c>
      <c r="E50">
        <v>527.49999999999989</v>
      </c>
      <c r="F50">
        <v>0</v>
      </c>
      <c r="G50">
        <v>6837.4</v>
      </c>
      <c r="H50">
        <v>0</v>
      </c>
      <c r="I50">
        <v>31</v>
      </c>
      <c r="J50">
        <f>'Monthly Data'!CE50</f>
        <v>0</v>
      </c>
      <c r="K50">
        <f>'Monthly Data'!CQ50</f>
        <v>0</v>
      </c>
      <c r="L50">
        <f>'Monthly Data'!CP50</f>
        <v>0</v>
      </c>
      <c r="N50" s="6">
        <f t="shared" si="4"/>
        <v>-12141897.0683104</v>
      </c>
      <c r="O50" s="6">
        <f t="shared" si="5"/>
        <v>5975940.0931966389</v>
      </c>
      <c r="P50" s="6">
        <f t="shared" si="6"/>
        <v>0</v>
      </c>
      <c r="Q50" s="6">
        <f t="shared" si="7"/>
        <v>9579588.3824554309</v>
      </c>
      <c r="R50" s="6">
        <f t="shared" si="8"/>
        <v>0</v>
      </c>
      <c r="S50" s="6">
        <f t="shared" si="9"/>
        <v>19225004.128495038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22638635.535836708</v>
      </c>
      <c r="X50" s="6">
        <f t="shared" si="17"/>
        <v>70050.010154120624</v>
      </c>
      <c r="Y50" s="15">
        <f t="shared" si="18"/>
        <v>3.1038724192265017E-3</v>
      </c>
    </row>
    <row r="51" spans="1:25">
      <c r="A51" s="245">
        <v>42401</v>
      </c>
      <c r="B51">
        <f t="shared" si="15"/>
        <v>2</v>
      </c>
      <c r="C51">
        <f t="shared" si="16"/>
        <v>2016</v>
      </c>
      <c r="D51" s="6">
        <v>20241380.399246987</v>
      </c>
      <c r="E51">
        <v>466.3</v>
      </c>
      <c r="F51">
        <v>0</v>
      </c>
      <c r="G51">
        <v>6815.5</v>
      </c>
      <c r="H51">
        <v>0</v>
      </c>
      <c r="I51">
        <v>29</v>
      </c>
      <c r="J51">
        <f>'Monthly Data'!CE51</f>
        <v>0</v>
      </c>
      <c r="K51">
        <f>'Monthly Data'!CQ51</f>
        <v>0</v>
      </c>
      <c r="L51">
        <f>'Monthly Data'!CP51</f>
        <v>0</v>
      </c>
      <c r="N51" s="6">
        <f t="shared" si="4"/>
        <v>-12141897.0683104</v>
      </c>
      <c r="O51" s="6">
        <f t="shared" si="5"/>
        <v>5282617.7544219783</v>
      </c>
      <c r="P51" s="6">
        <f t="shared" si="6"/>
        <v>0</v>
      </c>
      <c r="Q51" s="6">
        <f t="shared" si="7"/>
        <v>9548905.2301496174</v>
      </c>
      <c r="R51" s="6">
        <f t="shared" si="8"/>
        <v>0</v>
      </c>
      <c r="S51" s="6">
        <f t="shared" si="9"/>
        <v>17984681.281495359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20674307.197756555</v>
      </c>
      <c r="X51" s="6">
        <f t="shared" si="17"/>
        <v>432926.79850956798</v>
      </c>
      <c r="Y51" s="15">
        <f t="shared" si="18"/>
        <v>2.1388205249364987E-2</v>
      </c>
    </row>
    <row r="52" spans="1:25">
      <c r="A52" s="245">
        <v>42430</v>
      </c>
      <c r="B52">
        <f t="shared" si="15"/>
        <v>3</v>
      </c>
      <c r="C52">
        <f t="shared" si="16"/>
        <v>2016</v>
      </c>
      <c r="D52" s="6">
        <v>19359371.986764789</v>
      </c>
      <c r="E52">
        <v>316.90000000000003</v>
      </c>
      <c r="F52">
        <v>0</v>
      </c>
      <c r="G52">
        <v>6793.5</v>
      </c>
      <c r="H52">
        <v>0</v>
      </c>
      <c r="I52">
        <v>31</v>
      </c>
      <c r="J52">
        <f>'Monthly Data'!CE52</f>
        <v>1</v>
      </c>
      <c r="K52">
        <f>'Monthly Data'!CQ52</f>
        <v>0</v>
      </c>
      <c r="L52">
        <f>'Monthly Data'!CP52</f>
        <v>0</v>
      </c>
      <c r="N52" s="6">
        <f t="shared" si="4"/>
        <v>-12141897.0683104</v>
      </c>
      <c r="O52" s="6">
        <f t="shared" si="5"/>
        <v>3590095.5744720674</v>
      </c>
      <c r="P52" s="6">
        <f t="shared" si="6"/>
        <v>0</v>
      </c>
      <c r="Q52" s="6">
        <f t="shared" si="7"/>
        <v>9518081.9721255116</v>
      </c>
      <c r="R52" s="6">
        <f t="shared" si="8"/>
        <v>0</v>
      </c>
      <c r="S52" s="6">
        <f t="shared" si="9"/>
        <v>19225004.128495038</v>
      </c>
      <c r="T52" s="6">
        <f t="shared" si="10"/>
        <v>-730615.53830697597</v>
      </c>
      <c r="U52" s="6">
        <f t="shared" si="11"/>
        <v>0</v>
      </c>
      <c r="V52" s="6">
        <f t="shared" si="12"/>
        <v>0</v>
      </c>
      <c r="W52" s="6">
        <f t="shared" si="13"/>
        <v>19460669.068475239</v>
      </c>
      <c r="X52" s="6">
        <f t="shared" si="17"/>
        <v>101297.08171045035</v>
      </c>
      <c r="Y52" s="15">
        <f t="shared" si="18"/>
        <v>5.2324570125365137E-3</v>
      </c>
    </row>
    <row r="53" spans="1:25">
      <c r="A53" s="245">
        <v>42461</v>
      </c>
      <c r="B53">
        <f t="shared" si="15"/>
        <v>4</v>
      </c>
      <c r="C53">
        <f t="shared" si="16"/>
        <v>2016</v>
      </c>
      <c r="D53" s="6">
        <v>17973519.346077684</v>
      </c>
      <c r="E53">
        <v>272.60000000000002</v>
      </c>
      <c r="F53">
        <v>0</v>
      </c>
      <c r="G53">
        <v>6814.3</v>
      </c>
      <c r="H53">
        <v>0</v>
      </c>
      <c r="I53">
        <v>30</v>
      </c>
      <c r="J53">
        <f>'Monthly Data'!CE53</f>
        <v>1</v>
      </c>
      <c r="K53">
        <f>'Monthly Data'!CQ53</f>
        <v>0</v>
      </c>
      <c r="L53">
        <f>'Monthly Data'!CP53</f>
        <v>0</v>
      </c>
      <c r="N53" s="6">
        <f t="shared" si="4"/>
        <v>-12141897.0683104</v>
      </c>
      <c r="O53" s="6">
        <f t="shared" si="5"/>
        <v>3088229.8946074015</v>
      </c>
      <c r="P53" s="6">
        <f t="shared" si="6"/>
        <v>0</v>
      </c>
      <c r="Q53" s="6">
        <f t="shared" si="7"/>
        <v>9547223.961530121</v>
      </c>
      <c r="R53" s="6">
        <f t="shared" si="8"/>
        <v>0</v>
      </c>
      <c r="S53" s="6">
        <f t="shared" si="9"/>
        <v>18604842.7049952</v>
      </c>
      <c r="T53" s="6">
        <f t="shared" si="10"/>
        <v>-730615.53830697597</v>
      </c>
      <c r="U53" s="6">
        <f t="shared" si="11"/>
        <v>0</v>
      </c>
      <c r="V53" s="6">
        <f t="shared" si="12"/>
        <v>0</v>
      </c>
      <c r="W53" s="6">
        <f t="shared" si="13"/>
        <v>18367783.954515342</v>
      </c>
      <c r="X53" s="6">
        <f t="shared" si="17"/>
        <v>394264.60843765736</v>
      </c>
      <c r="Y53" s="15">
        <f t="shared" si="18"/>
        <v>2.1935860242290096E-2</v>
      </c>
    </row>
    <row r="54" spans="1:25">
      <c r="A54" s="245">
        <v>42491</v>
      </c>
      <c r="B54">
        <f t="shared" si="15"/>
        <v>5</v>
      </c>
      <c r="C54">
        <f t="shared" si="16"/>
        <v>2016</v>
      </c>
      <c r="D54" s="6">
        <v>19047091.269166984</v>
      </c>
      <c r="E54">
        <v>84.6</v>
      </c>
      <c r="F54">
        <v>47.8</v>
      </c>
      <c r="G54">
        <v>6884.3</v>
      </c>
      <c r="H54">
        <v>0</v>
      </c>
      <c r="I54">
        <v>31</v>
      </c>
      <c r="J54">
        <f>'Monthly Data'!CE54</f>
        <v>1</v>
      </c>
      <c r="K54">
        <f>'Monthly Data'!CQ54</f>
        <v>0</v>
      </c>
      <c r="L54">
        <f>'Monthly Data'!CP54</f>
        <v>0</v>
      </c>
      <c r="N54" s="6">
        <f t="shared" si="4"/>
        <v>-12141897.0683104</v>
      </c>
      <c r="O54" s="6">
        <f t="shared" si="5"/>
        <v>958416.17418850376</v>
      </c>
      <c r="P54" s="6">
        <f t="shared" si="6"/>
        <v>3012293.405322026</v>
      </c>
      <c r="Q54" s="6">
        <f t="shared" si="7"/>
        <v>9645297.964334093</v>
      </c>
      <c r="R54" s="6">
        <f t="shared" si="8"/>
        <v>0</v>
      </c>
      <c r="S54" s="6">
        <f t="shared" si="9"/>
        <v>19225004.128495038</v>
      </c>
      <c r="T54" s="6">
        <f t="shared" si="10"/>
        <v>-730615.53830697597</v>
      </c>
      <c r="U54" s="6">
        <f t="shared" si="11"/>
        <v>0</v>
      </c>
      <c r="V54" s="6">
        <f t="shared" si="12"/>
        <v>0</v>
      </c>
      <c r="W54" s="6">
        <f t="shared" si="13"/>
        <v>19968499.065722283</v>
      </c>
      <c r="X54" s="6">
        <f t="shared" si="17"/>
        <v>921407.79655529931</v>
      </c>
      <c r="Y54" s="15">
        <f t="shared" si="18"/>
        <v>4.8375249718409979E-2</v>
      </c>
    </row>
    <row r="55" spans="1:25">
      <c r="A55" s="245">
        <v>42522</v>
      </c>
      <c r="B55">
        <f t="shared" si="15"/>
        <v>6</v>
      </c>
      <c r="C55">
        <f t="shared" si="16"/>
        <v>2016</v>
      </c>
      <c r="D55" s="6">
        <v>22125504.150112487</v>
      </c>
      <c r="E55">
        <v>3.4000000000000004</v>
      </c>
      <c r="F55">
        <v>87</v>
      </c>
      <c r="G55">
        <v>6966.5</v>
      </c>
      <c r="H55">
        <v>0</v>
      </c>
      <c r="I55">
        <v>30</v>
      </c>
      <c r="J55">
        <f>'Monthly Data'!CE55</f>
        <v>0</v>
      </c>
      <c r="K55">
        <f>'Monthly Data'!CQ55</f>
        <v>0</v>
      </c>
      <c r="L55">
        <f>'Monthly Data'!CP55</f>
        <v>0</v>
      </c>
      <c r="N55" s="6">
        <f t="shared" si="4"/>
        <v>-12141897.0683104</v>
      </c>
      <c r="O55" s="6">
        <f t="shared" si="5"/>
        <v>38517.907709703468</v>
      </c>
      <c r="P55" s="6">
        <f t="shared" si="6"/>
        <v>5482626.0724480394</v>
      </c>
      <c r="Q55" s="6">
        <f t="shared" si="7"/>
        <v>9760464.8647696152</v>
      </c>
      <c r="R55" s="6">
        <f t="shared" si="8"/>
        <v>0</v>
      </c>
      <c r="S55" s="6">
        <f t="shared" si="9"/>
        <v>18604842.7049952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21744554.481612157</v>
      </c>
      <c r="X55" s="6">
        <f t="shared" si="17"/>
        <v>-380949.6685003303</v>
      </c>
      <c r="Y55" s="15">
        <f t="shared" si="18"/>
        <v>1.7217671783465036E-2</v>
      </c>
    </row>
    <row r="56" spans="1:25">
      <c r="A56" s="245">
        <v>42552</v>
      </c>
      <c r="B56">
        <f t="shared" si="15"/>
        <v>7</v>
      </c>
      <c r="C56">
        <f t="shared" si="16"/>
        <v>2016</v>
      </c>
      <c r="D56" s="6">
        <v>29450116.707977187</v>
      </c>
      <c r="E56">
        <v>0</v>
      </c>
      <c r="F56">
        <v>196.80000000000004</v>
      </c>
      <c r="G56">
        <v>7011.7</v>
      </c>
      <c r="H56">
        <v>0</v>
      </c>
      <c r="I56">
        <v>31</v>
      </c>
      <c r="J56">
        <f>'Monthly Data'!CE56</f>
        <v>0</v>
      </c>
      <c r="K56">
        <f>'Monthly Data'!CQ56</f>
        <v>0</v>
      </c>
      <c r="L56">
        <f>'Monthly Data'!CP56</f>
        <v>0</v>
      </c>
      <c r="N56" s="6">
        <f t="shared" si="4"/>
        <v>-12141897.0683104</v>
      </c>
      <c r="O56" s="6">
        <f t="shared" si="5"/>
        <v>0</v>
      </c>
      <c r="P56" s="6">
        <f t="shared" si="6"/>
        <v>12402078.288020395</v>
      </c>
      <c r="Q56" s="6">
        <f t="shared" si="7"/>
        <v>9823792.6494373232</v>
      </c>
      <c r="R56" s="6">
        <f t="shared" si="8"/>
        <v>0</v>
      </c>
      <c r="S56" s="6">
        <f t="shared" si="9"/>
        <v>19225004.128495038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29308977.997642353</v>
      </c>
      <c r="X56" s="6">
        <f t="shared" si="17"/>
        <v>-141138.71033483371</v>
      </c>
      <c r="Y56" s="15">
        <f t="shared" si="18"/>
        <v>4.7924669275284503E-3</v>
      </c>
    </row>
    <row r="57" spans="1:25">
      <c r="A57" s="245">
        <v>42583</v>
      </c>
      <c r="B57">
        <f t="shared" si="15"/>
        <v>8</v>
      </c>
      <c r="C57">
        <f t="shared" si="16"/>
        <v>2016</v>
      </c>
      <c r="D57" s="6">
        <v>30777988.889747586</v>
      </c>
      <c r="E57">
        <v>0</v>
      </c>
      <c r="F57">
        <v>222.59999999999997</v>
      </c>
      <c r="G57">
        <v>7009.1</v>
      </c>
      <c r="H57">
        <v>0</v>
      </c>
      <c r="I57">
        <v>31</v>
      </c>
      <c r="J57">
        <f>'Monthly Data'!CE57</f>
        <v>0</v>
      </c>
      <c r="K57">
        <f>'Monthly Data'!CQ57</f>
        <v>0</v>
      </c>
      <c r="L57">
        <f>'Monthly Data'!CP57</f>
        <v>0</v>
      </c>
      <c r="N57" s="6">
        <f t="shared" si="4"/>
        <v>-12141897.0683104</v>
      </c>
      <c r="O57" s="6">
        <f t="shared" si="5"/>
        <v>0</v>
      </c>
      <c r="P57" s="6">
        <f t="shared" si="6"/>
        <v>14027960.50260843</v>
      </c>
      <c r="Q57" s="6">
        <f t="shared" si="7"/>
        <v>9820149.9007617477</v>
      </c>
      <c r="R57" s="6">
        <f t="shared" si="8"/>
        <v>0</v>
      </c>
      <c r="S57" s="6">
        <f t="shared" si="9"/>
        <v>19225004.128495038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30931217.463554814</v>
      </c>
      <c r="X57" s="6">
        <f t="shared" si="17"/>
        <v>153228.57380722836</v>
      </c>
      <c r="Y57" s="15">
        <f t="shared" si="18"/>
        <v>4.9785115705942087E-3</v>
      </c>
    </row>
    <row r="58" spans="1:25">
      <c r="A58" s="245">
        <v>42614</v>
      </c>
      <c r="B58">
        <f t="shared" si="15"/>
        <v>9</v>
      </c>
      <c r="C58">
        <f t="shared" si="16"/>
        <v>2016</v>
      </c>
      <c r="D58" s="6">
        <v>21927063.701074887</v>
      </c>
      <c r="E58">
        <v>0.69999999999999929</v>
      </c>
      <c r="F58">
        <v>88.399999999999977</v>
      </c>
      <c r="G58">
        <v>6963.5</v>
      </c>
      <c r="H58">
        <v>0</v>
      </c>
      <c r="I58">
        <v>30</v>
      </c>
      <c r="J58">
        <f>'Monthly Data'!CE58</f>
        <v>1</v>
      </c>
      <c r="K58">
        <f>'Monthly Data'!CQ58</f>
        <v>0</v>
      </c>
      <c r="L58">
        <f>'Monthly Data'!CP58</f>
        <v>0</v>
      </c>
      <c r="N58" s="6">
        <f t="shared" si="4"/>
        <v>-12141897.0683104</v>
      </c>
      <c r="O58" s="6">
        <f t="shared" si="5"/>
        <v>7930.1574696448224</v>
      </c>
      <c r="P58" s="6">
        <f t="shared" si="6"/>
        <v>5570852.2391311098</v>
      </c>
      <c r="Q58" s="6">
        <f t="shared" si="7"/>
        <v>9756261.6932208743</v>
      </c>
      <c r="R58" s="6">
        <f t="shared" si="8"/>
        <v>0</v>
      </c>
      <c r="S58" s="6">
        <f t="shared" si="9"/>
        <v>18604842.7049952</v>
      </c>
      <c r="T58" s="6">
        <f t="shared" si="10"/>
        <v>-730615.53830697597</v>
      </c>
      <c r="U58" s="6">
        <f t="shared" si="11"/>
        <v>0</v>
      </c>
      <c r="V58" s="6">
        <f t="shared" si="12"/>
        <v>0</v>
      </c>
      <c r="W58" s="6">
        <f t="shared" si="13"/>
        <v>21067374.188199449</v>
      </c>
      <c r="X58" s="6">
        <f t="shared" si="17"/>
        <v>-859689.51287543774</v>
      </c>
      <c r="Y58" s="15">
        <f t="shared" si="18"/>
        <v>3.9206777733458896E-2</v>
      </c>
    </row>
    <row r="59" spans="1:25">
      <c r="A59" s="245">
        <v>42644</v>
      </c>
      <c r="B59">
        <f t="shared" si="15"/>
        <v>10</v>
      </c>
      <c r="C59">
        <f t="shared" si="16"/>
        <v>2016</v>
      </c>
      <c r="D59" s="6">
        <v>17955354.765489686</v>
      </c>
      <c r="E59">
        <v>97.40000000000002</v>
      </c>
      <c r="F59">
        <v>23.499999999999996</v>
      </c>
      <c r="G59">
        <v>6956.2</v>
      </c>
      <c r="H59">
        <v>0</v>
      </c>
      <c r="I59">
        <v>31</v>
      </c>
      <c r="J59">
        <f>'Monthly Data'!CE59</f>
        <v>1</v>
      </c>
      <c r="K59">
        <f>'Monthly Data'!CQ59</f>
        <v>0</v>
      </c>
      <c r="L59">
        <f>'Monthly Data'!CP59</f>
        <v>0</v>
      </c>
      <c r="N59" s="6">
        <f t="shared" si="4"/>
        <v>-12141897.0683104</v>
      </c>
      <c r="O59" s="6">
        <f t="shared" si="5"/>
        <v>1103424.7679191523</v>
      </c>
      <c r="P59" s="6">
        <f t="shared" si="6"/>
        <v>1480939.2264658494</v>
      </c>
      <c r="Q59" s="6">
        <f t="shared" si="7"/>
        <v>9746033.9757856019</v>
      </c>
      <c r="R59" s="6">
        <f t="shared" si="8"/>
        <v>0</v>
      </c>
      <c r="S59" s="6">
        <f t="shared" si="9"/>
        <v>19225004.128495038</v>
      </c>
      <c r="T59" s="6">
        <f t="shared" si="10"/>
        <v>-730615.53830697597</v>
      </c>
      <c r="U59" s="6">
        <f t="shared" si="11"/>
        <v>0</v>
      </c>
      <c r="V59" s="6">
        <f t="shared" si="12"/>
        <v>0</v>
      </c>
      <c r="W59" s="6">
        <f t="shared" si="13"/>
        <v>18682889.492048264</v>
      </c>
      <c r="X59" s="6">
        <f t="shared" si="17"/>
        <v>727534.72655857727</v>
      </c>
      <c r="Y59" s="15">
        <f t="shared" si="18"/>
        <v>4.0519095058868117E-2</v>
      </c>
    </row>
    <row r="60" spans="1:25">
      <c r="A60" s="245">
        <v>42675</v>
      </c>
      <c r="B60">
        <f t="shared" si="15"/>
        <v>11</v>
      </c>
      <c r="C60">
        <f t="shared" si="16"/>
        <v>2016</v>
      </c>
      <c r="D60" s="6">
        <v>18188501.195161484</v>
      </c>
      <c r="E60">
        <v>213.29999999999998</v>
      </c>
      <c r="F60">
        <v>0</v>
      </c>
      <c r="G60">
        <v>6946.2</v>
      </c>
      <c r="H60">
        <v>0</v>
      </c>
      <c r="I60">
        <v>30</v>
      </c>
      <c r="J60">
        <f>'Monthly Data'!CE60</f>
        <v>0</v>
      </c>
      <c r="K60">
        <f>'Monthly Data'!CQ60</f>
        <v>0</v>
      </c>
      <c r="L60">
        <f>'Monthly Data'!CP60</f>
        <v>0</v>
      </c>
      <c r="N60" s="6">
        <f t="shared" si="4"/>
        <v>-12141897.0683104</v>
      </c>
      <c r="O60" s="6">
        <f t="shared" si="5"/>
        <v>2416432.2689646315</v>
      </c>
      <c r="P60" s="6">
        <f t="shared" si="6"/>
        <v>0</v>
      </c>
      <c r="Q60" s="6">
        <f t="shared" si="7"/>
        <v>9732023.4039564636</v>
      </c>
      <c r="R60" s="6">
        <f t="shared" si="8"/>
        <v>0</v>
      </c>
      <c r="S60" s="6">
        <f t="shared" si="9"/>
        <v>18604842.7049952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18611401.309605896</v>
      </c>
      <c r="X60" s="6">
        <f t="shared" si="17"/>
        <v>422900.11444441229</v>
      </c>
      <c r="Y60" s="15">
        <f t="shared" si="18"/>
        <v>2.3250960038252763E-2</v>
      </c>
    </row>
    <row r="61" spans="1:25">
      <c r="A61" s="245">
        <v>42705</v>
      </c>
      <c r="B61">
        <f t="shared" si="15"/>
        <v>12</v>
      </c>
      <c r="C61">
        <f t="shared" si="16"/>
        <v>2016</v>
      </c>
      <c r="D61" s="6">
        <v>22264829.558209386</v>
      </c>
      <c r="E61">
        <v>500.50000000000006</v>
      </c>
      <c r="F61">
        <v>0</v>
      </c>
      <c r="G61">
        <v>6962</v>
      </c>
      <c r="H61">
        <v>1</v>
      </c>
      <c r="I61">
        <v>31</v>
      </c>
      <c r="J61">
        <f>'Monthly Data'!CE61</f>
        <v>0</v>
      </c>
      <c r="K61">
        <f>'Monthly Data'!CQ61</f>
        <v>0</v>
      </c>
      <c r="L61">
        <f>'Monthly Data'!CP61</f>
        <v>0</v>
      </c>
      <c r="N61" s="6">
        <f t="shared" si="4"/>
        <v>-12141897.0683104</v>
      </c>
      <c r="O61" s="6">
        <f t="shared" si="5"/>
        <v>5670062.5907960543</v>
      </c>
      <c r="P61" s="6">
        <f t="shared" si="6"/>
        <v>0</v>
      </c>
      <c r="Q61" s="6">
        <f t="shared" si="7"/>
        <v>9754160.1074465029</v>
      </c>
      <c r="R61" s="6">
        <f t="shared" si="8"/>
        <v>695677.72202584799</v>
      </c>
      <c r="S61" s="6">
        <f t="shared" si="9"/>
        <v>19225004.128495038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23203007.480453044</v>
      </c>
      <c r="X61" s="6">
        <f t="shared" si="17"/>
        <v>938177.92224365845</v>
      </c>
      <c r="Y61" s="15">
        <f t="shared" si="18"/>
        <v>4.2137215548445003E-2</v>
      </c>
    </row>
    <row r="62" spans="1:25">
      <c r="A62" s="245">
        <v>42736</v>
      </c>
      <c r="B62">
        <f t="shared" si="15"/>
        <v>1</v>
      </c>
      <c r="C62">
        <f t="shared" si="16"/>
        <v>2017</v>
      </c>
      <c r="D62" s="6">
        <v>22162065.014167484</v>
      </c>
      <c r="E62">
        <v>474.3</v>
      </c>
      <c r="F62">
        <v>0</v>
      </c>
      <c r="G62">
        <v>6942.1</v>
      </c>
      <c r="H62">
        <v>0</v>
      </c>
      <c r="I62">
        <v>31</v>
      </c>
      <c r="J62">
        <f>'Monthly Data'!CE62</f>
        <v>0</v>
      </c>
      <c r="K62">
        <f>'Monthly Data'!CQ62</f>
        <v>0</v>
      </c>
      <c r="L62">
        <f>'Monthly Data'!CP62</f>
        <v>0</v>
      </c>
      <c r="N62" s="6">
        <f t="shared" si="4"/>
        <v>-12141897.0683104</v>
      </c>
      <c r="O62" s="6">
        <f t="shared" si="5"/>
        <v>5373248.1255036332</v>
      </c>
      <c r="P62" s="6">
        <f t="shared" si="6"/>
        <v>0</v>
      </c>
      <c r="Q62" s="6">
        <f t="shared" si="7"/>
        <v>9726279.0695065167</v>
      </c>
      <c r="R62" s="6">
        <f t="shared" si="8"/>
        <v>0</v>
      </c>
      <c r="S62" s="6">
        <f t="shared" si="9"/>
        <v>19225004.128495038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22182634.255194787</v>
      </c>
      <c r="X62" s="6">
        <f t="shared" si="17"/>
        <v>20569.24102730304</v>
      </c>
      <c r="Y62" s="15">
        <f t="shared" si="18"/>
        <v>9.2812835871358538E-4</v>
      </c>
    </row>
    <row r="63" spans="1:25">
      <c r="A63" s="245">
        <v>42767</v>
      </c>
      <c r="B63">
        <f t="shared" si="15"/>
        <v>2</v>
      </c>
      <c r="C63">
        <f t="shared" si="16"/>
        <v>2017</v>
      </c>
      <c r="D63" s="6">
        <v>18637570.22163086</v>
      </c>
      <c r="E63">
        <v>352.5</v>
      </c>
      <c r="F63">
        <v>0</v>
      </c>
      <c r="G63">
        <v>6920.9</v>
      </c>
      <c r="H63">
        <v>0</v>
      </c>
      <c r="I63">
        <v>28</v>
      </c>
      <c r="J63">
        <f>'Monthly Data'!CE63</f>
        <v>0</v>
      </c>
      <c r="K63">
        <f>'Monthly Data'!CQ63</f>
        <v>0</v>
      </c>
      <c r="L63">
        <f>'Monthly Data'!CP63</f>
        <v>0</v>
      </c>
      <c r="N63" s="6">
        <f t="shared" si="4"/>
        <v>-12141897.0683104</v>
      </c>
      <c r="O63" s="6">
        <f t="shared" si="5"/>
        <v>3993400.7257854324</v>
      </c>
      <c r="P63" s="6">
        <f t="shared" si="6"/>
        <v>0</v>
      </c>
      <c r="Q63" s="6">
        <f t="shared" si="7"/>
        <v>9696576.6572287418</v>
      </c>
      <c r="R63" s="6">
        <f t="shared" si="8"/>
        <v>0</v>
      </c>
      <c r="S63" s="6">
        <f t="shared" si="9"/>
        <v>17364519.857995518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18912600.172699291</v>
      </c>
      <c r="X63" s="6">
        <f t="shared" si="17"/>
        <v>275029.95106843114</v>
      </c>
      <c r="Y63" s="15">
        <f t="shared" si="18"/>
        <v>1.4756749286408051E-2</v>
      </c>
    </row>
    <row r="64" spans="1:25">
      <c r="A64" s="245">
        <v>42795</v>
      </c>
      <c r="B64">
        <f t="shared" si="15"/>
        <v>3</v>
      </c>
      <c r="C64">
        <f t="shared" si="16"/>
        <v>2017</v>
      </c>
      <c r="D64" s="6">
        <v>20024303.984491248</v>
      </c>
      <c r="E64">
        <v>410.4</v>
      </c>
      <c r="F64">
        <v>0</v>
      </c>
      <c r="G64">
        <v>6896.8</v>
      </c>
      <c r="H64">
        <v>0</v>
      </c>
      <c r="I64">
        <v>31</v>
      </c>
      <c r="J64">
        <f>'Monthly Data'!CE64</f>
        <v>1</v>
      </c>
      <c r="K64">
        <f>'Monthly Data'!CQ64</f>
        <v>0</v>
      </c>
      <c r="L64">
        <f>'Monthly Data'!CP64</f>
        <v>0</v>
      </c>
      <c r="N64" s="6">
        <f t="shared" si="4"/>
        <v>-12141897.0683104</v>
      </c>
      <c r="O64" s="6">
        <f t="shared" si="5"/>
        <v>4649338.0364889121</v>
      </c>
      <c r="P64" s="6">
        <f t="shared" si="6"/>
        <v>0</v>
      </c>
      <c r="Q64" s="6">
        <f t="shared" si="7"/>
        <v>9662811.1791205164</v>
      </c>
      <c r="R64" s="6">
        <f t="shared" si="8"/>
        <v>0</v>
      </c>
      <c r="S64" s="6">
        <f t="shared" si="9"/>
        <v>19225004.128495038</v>
      </c>
      <c r="T64" s="6">
        <f t="shared" si="10"/>
        <v>-730615.53830697597</v>
      </c>
      <c r="U64" s="6">
        <f t="shared" si="11"/>
        <v>0</v>
      </c>
      <c r="V64" s="6">
        <f t="shared" si="12"/>
        <v>0</v>
      </c>
      <c r="W64" s="6">
        <f t="shared" si="13"/>
        <v>20664640.737487089</v>
      </c>
      <c r="X64" s="6">
        <f t="shared" si="17"/>
        <v>640336.75299584121</v>
      </c>
      <c r="Y64" s="15">
        <f t="shared" si="18"/>
        <v>3.1977978035680026E-2</v>
      </c>
    </row>
    <row r="65" spans="1:25">
      <c r="A65" s="245">
        <v>42826</v>
      </c>
      <c r="B65">
        <f t="shared" si="15"/>
        <v>4</v>
      </c>
      <c r="C65">
        <f t="shared" si="16"/>
        <v>2017</v>
      </c>
      <c r="D65" s="6">
        <v>17052034.049426168</v>
      </c>
      <c r="E65">
        <v>145.69999999999996</v>
      </c>
      <c r="F65">
        <v>4.6000000000000014</v>
      </c>
      <c r="G65">
        <v>6905.1</v>
      </c>
      <c r="H65">
        <v>0</v>
      </c>
      <c r="I65">
        <v>30</v>
      </c>
      <c r="J65">
        <f>'Monthly Data'!CE65</f>
        <v>1</v>
      </c>
      <c r="K65">
        <f>'Monthly Data'!CQ65</f>
        <v>0</v>
      </c>
      <c r="L65">
        <f>'Monthly Data'!CP65</f>
        <v>0</v>
      </c>
      <c r="N65" s="6">
        <f t="shared" si="4"/>
        <v>-12141897.0683104</v>
      </c>
      <c r="O65" s="6">
        <f t="shared" si="5"/>
        <v>1650605.633324645</v>
      </c>
      <c r="P65" s="6">
        <f t="shared" si="6"/>
        <v>289885.97624437918</v>
      </c>
      <c r="Q65" s="6">
        <f t="shared" si="7"/>
        <v>9674439.9537387025</v>
      </c>
      <c r="R65" s="6">
        <f t="shared" si="8"/>
        <v>0</v>
      </c>
      <c r="S65" s="6">
        <f t="shared" si="9"/>
        <v>18604842.7049952</v>
      </c>
      <c r="T65" s="6">
        <f t="shared" si="10"/>
        <v>-730615.53830697597</v>
      </c>
      <c r="U65" s="6">
        <f t="shared" si="11"/>
        <v>0</v>
      </c>
      <c r="V65" s="6">
        <f t="shared" si="12"/>
        <v>0</v>
      </c>
      <c r="W65" s="6">
        <f t="shared" si="13"/>
        <v>17347261.661685549</v>
      </c>
      <c r="X65" s="6">
        <f t="shared" si="17"/>
        <v>295227.61225938052</v>
      </c>
      <c r="Y65" s="15">
        <f t="shared" si="18"/>
        <v>1.7313337013264728E-2</v>
      </c>
    </row>
    <row r="66" spans="1:25">
      <c r="A66" s="245">
        <v>42856</v>
      </c>
      <c r="B66">
        <f t="shared" si="15"/>
        <v>5</v>
      </c>
      <c r="C66">
        <f t="shared" si="16"/>
        <v>2017</v>
      </c>
      <c r="D66" s="6">
        <v>19096905.725095563</v>
      </c>
      <c r="E66">
        <v>92.100000000000023</v>
      </c>
      <c r="F66">
        <v>25.3</v>
      </c>
      <c r="G66">
        <v>6969.8</v>
      </c>
      <c r="H66">
        <v>0</v>
      </c>
      <c r="I66">
        <v>31</v>
      </c>
      <c r="J66">
        <f>'Monthly Data'!CE66</f>
        <v>1</v>
      </c>
      <c r="K66">
        <f>'Monthly Data'!CQ66</f>
        <v>0</v>
      </c>
      <c r="L66">
        <f>'Monthly Data'!CP66</f>
        <v>0</v>
      </c>
      <c r="N66" s="6">
        <f t="shared" si="4"/>
        <v>-12141897.0683104</v>
      </c>
      <c r="O66" s="6">
        <f t="shared" si="5"/>
        <v>1043382.1470775558</v>
      </c>
      <c r="P66" s="6">
        <f t="shared" si="6"/>
        <v>1594372.869344085</v>
      </c>
      <c r="Q66" s="6">
        <f t="shared" si="7"/>
        <v>9765088.3534732312</v>
      </c>
      <c r="R66" s="6">
        <f t="shared" si="8"/>
        <v>0</v>
      </c>
      <c r="S66" s="6">
        <f t="shared" si="9"/>
        <v>19225004.128495038</v>
      </c>
      <c r="T66" s="6">
        <f t="shared" si="10"/>
        <v>-730615.53830697597</v>
      </c>
      <c r="U66" s="6">
        <f t="shared" si="11"/>
        <v>0</v>
      </c>
      <c r="V66" s="6">
        <f t="shared" si="12"/>
        <v>0</v>
      </c>
      <c r="W66" s="6">
        <f t="shared" si="13"/>
        <v>18755334.891772531</v>
      </c>
      <c r="X66" s="6">
        <f t="shared" si="17"/>
        <v>-341570.83332303166</v>
      </c>
      <c r="Y66" s="15">
        <f t="shared" si="18"/>
        <v>1.7886187335269071E-2</v>
      </c>
    </row>
    <row r="67" spans="1:25">
      <c r="A67" s="245">
        <v>42887</v>
      </c>
      <c r="B67">
        <f t="shared" si="15"/>
        <v>6</v>
      </c>
      <c r="C67">
        <f t="shared" si="16"/>
        <v>2017</v>
      </c>
      <c r="D67" s="6">
        <v>23026861.29899263</v>
      </c>
      <c r="E67">
        <v>0.70000000000000107</v>
      </c>
      <c r="F67">
        <v>122.8</v>
      </c>
      <c r="G67">
        <v>7051.6</v>
      </c>
      <c r="H67">
        <v>0</v>
      </c>
      <c r="I67">
        <v>30</v>
      </c>
      <c r="J67">
        <f>'Monthly Data'!CE67</f>
        <v>0</v>
      </c>
      <c r="K67">
        <f>'Monthly Data'!CQ67</f>
        <v>0</v>
      </c>
      <c r="L67">
        <f>'Monthly Data'!CP67</f>
        <v>0</v>
      </c>
      <c r="N67" s="6">
        <f t="shared" ref="N67:N130" si="19">$AC$7</f>
        <v>-12141897.0683104</v>
      </c>
      <c r="O67" s="6">
        <f t="shared" ref="O67:O121" si="20">E67*$AC$8</f>
        <v>7930.1574696448424</v>
      </c>
      <c r="P67" s="6">
        <f t="shared" ref="P67:P121" si="21">F67*$AC$9</f>
        <v>7738695.1919151638</v>
      </c>
      <c r="Q67" s="6">
        <f t="shared" ref="Q67:Q121" si="22">G67*$AC$10</f>
        <v>9879694.8310355879</v>
      </c>
      <c r="R67" s="6">
        <f t="shared" ref="R67:R121" si="23">H67*$AC$11</f>
        <v>0</v>
      </c>
      <c r="S67" s="6">
        <f t="shared" ref="S67:S121" si="24">I67*$AC$12</f>
        <v>18604842.7049952</v>
      </c>
      <c r="T67" s="6">
        <f t="shared" ref="T67:T121" si="25">J67*$AC$13</f>
        <v>0</v>
      </c>
      <c r="U67" s="6">
        <f t="shared" ref="U67:U121" si="26">K67*$AC$14</f>
        <v>0</v>
      </c>
      <c r="V67" s="6">
        <f t="shared" ref="V67:V121" si="27">L67*$AC$15</f>
        <v>0</v>
      </c>
      <c r="W67" s="6">
        <f t="shared" ref="W67:W121" si="28">SUM(N67:V67)</f>
        <v>24089265.817105196</v>
      </c>
      <c r="X67" s="6">
        <f t="shared" si="17"/>
        <v>1062404.5181125663</v>
      </c>
      <c r="Y67" s="15">
        <f t="shared" si="18"/>
        <v>4.6137617468475563E-2</v>
      </c>
    </row>
    <row r="68" spans="1:25">
      <c r="A68" s="245">
        <v>42917</v>
      </c>
      <c r="B68">
        <f t="shared" si="15"/>
        <v>7</v>
      </c>
      <c r="C68">
        <f t="shared" si="16"/>
        <v>2017</v>
      </c>
      <c r="D68" s="6">
        <v>27674827.997007251</v>
      </c>
      <c r="E68">
        <v>0</v>
      </c>
      <c r="F68">
        <v>170.5</v>
      </c>
      <c r="G68">
        <v>7118.5</v>
      </c>
      <c r="H68">
        <v>0</v>
      </c>
      <c r="I68">
        <v>31</v>
      </c>
      <c r="J68">
        <f>'Monthly Data'!CE68</f>
        <v>0</v>
      </c>
      <c r="K68">
        <f>'Monthly Data'!CQ68</f>
        <v>0</v>
      </c>
      <c r="L68">
        <f>'Monthly Data'!CP68</f>
        <v>0</v>
      </c>
      <c r="N68" s="6">
        <f t="shared" si="19"/>
        <v>-12141897.0683104</v>
      </c>
      <c r="O68" s="6">
        <f t="shared" si="20"/>
        <v>0</v>
      </c>
      <c r="P68" s="6">
        <f t="shared" si="21"/>
        <v>10744686.728188399</v>
      </c>
      <c r="Q68" s="6">
        <f t="shared" si="22"/>
        <v>9973425.5565725267</v>
      </c>
      <c r="R68" s="6">
        <f t="shared" si="23"/>
        <v>0</v>
      </c>
      <c r="S68" s="6">
        <f t="shared" si="24"/>
        <v>19225004.128495038</v>
      </c>
      <c r="T68" s="6">
        <f t="shared" si="25"/>
        <v>0</v>
      </c>
      <c r="U68" s="6">
        <f t="shared" si="26"/>
        <v>0</v>
      </c>
      <c r="V68" s="6">
        <f t="shared" si="27"/>
        <v>0</v>
      </c>
      <c r="W68" s="6">
        <f t="shared" si="28"/>
        <v>27801219.344945565</v>
      </c>
      <c r="X68" s="6">
        <f t="shared" si="17"/>
        <v>126391.34793831408</v>
      </c>
      <c r="Y68" s="15">
        <f t="shared" si="18"/>
        <v>4.5670147598381467E-3</v>
      </c>
    </row>
    <row r="69" spans="1:25">
      <c r="A69" s="245">
        <v>42948</v>
      </c>
      <c r="B69">
        <f t="shared" si="15"/>
        <v>8</v>
      </c>
      <c r="C69">
        <f t="shared" si="16"/>
        <v>2017</v>
      </c>
      <c r="D69" s="6">
        <v>25730368.855385121</v>
      </c>
      <c r="E69">
        <v>0.80000000000000071</v>
      </c>
      <c r="F69">
        <v>118.19999999999999</v>
      </c>
      <c r="G69">
        <v>7139</v>
      </c>
      <c r="H69">
        <v>0</v>
      </c>
      <c r="I69">
        <v>31</v>
      </c>
      <c r="J69">
        <f>'Monthly Data'!CE69</f>
        <v>0</v>
      </c>
      <c r="K69">
        <f>'Monthly Data'!CQ69</f>
        <v>0</v>
      </c>
      <c r="L69">
        <f>'Monthly Data'!CP69</f>
        <v>0</v>
      </c>
      <c r="N69" s="6">
        <f t="shared" si="19"/>
        <v>-12141897.0683104</v>
      </c>
      <c r="O69" s="6">
        <f t="shared" si="20"/>
        <v>9063.0371081655285</v>
      </c>
      <c r="P69" s="6">
        <f t="shared" si="21"/>
        <v>7448809.215670784</v>
      </c>
      <c r="Q69" s="6">
        <f t="shared" si="22"/>
        <v>10002147.228822261</v>
      </c>
      <c r="R69" s="6">
        <f t="shared" si="23"/>
        <v>0</v>
      </c>
      <c r="S69" s="6">
        <f t="shared" si="24"/>
        <v>19225004.128495038</v>
      </c>
      <c r="T69" s="6">
        <f t="shared" si="25"/>
        <v>0</v>
      </c>
      <c r="U69" s="6">
        <f t="shared" si="26"/>
        <v>0</v>
      </c>
      <c r="V69" s="6">
        <f t="shared" si="27"/>
        <v>0</v>
      </c>
      <c r="W69" s="6">
        <f t="shared" si="28"/>
        <v>24543126.541785847</v>
      </c>
      <c r="X69" s="6">
        <f t="shared" si="17"/>
        <v>-1187242.3135992736</v>
      </c>
      <c r="Y69" s="15">
        <f t="shared" si="18"/>
        <v>4.6141674854023519E-2</v>
      </c>
    </row>
    <row r="70" spans="1:25">
      <c r="A70" s="245">
        <v>42979</v>
      </c>
      <c r="B70">
        <f t="shared" si="15"/>
        <v>9</v>
      </c>
      <c r="C70">
        <f t="shared" si="16"/>
        <v>2017</v>
      </c>
      <c r="D70" s="6">
        <v>21065018.835421018</v>
      </c>
      <c r="E70">
        <v>13.7</v>
      </c>
      <c r="F70">
        <v>90</v>
      </c>
      <c r="G70">
        <v>7121.5</v>
      </c>
      <c r="H70">
        <v>0</v>
      </c>
      <c r="I70">
        <v>30</v>
      </c>
      <c r="J70">
        <f>'Monthly Data'!CE70</f>
        <v>1</v>
      </c>
      <c r="K70">
        <f>'Monthly Data'!CQ70</f>
        <v>0</v>
      </c>
      <c r="L70">
        <f>'Monthly Data'!CP70</f>
        <v>0</v>
      </c>
      <c r="N70" s="6">
        <f t="shared" si="19"/>
        <v>-12141897.0683104</v>
      </c>
      <c r="O70" s="6">
        <f t="shared" si="20"/>
        <v>155204.51047733452</v>
      </c>
      <c r="P70" s="6">
        <f t="shared" si="21"/>
        <v>5671682.143911765</v>
      </c>
      <c r="Q70" s="6">
        <f t="shared" si="22"/>
        <v>9977628.7281212676</v>
      </c>
      <c r="R70" s="6">
        <f t="shared" si="23"/>
        <v>0</v>
      </c>
      <c r="S70" s="6">
        <f t="shared" si="24"/>
        <v>18604842.7049952</v>
      </c>
      <c r="T70" s="6">
        <f t="shared" si="25"/>
        <v>-730615.53830697597</v>
      </c>
      <c r="U70" s="6">
        <f t="shared" si="26"/>
        <v>0</v>
      </c>
      <c r="V70" s="6">
        <f t="shared" si="27"/>
        <v>0</v>
      </c>
      <c r="W70" s="6">
        <f t="shared" si="28"/>
        <v>21536845.480888188</v>
      </c>
      <c r="X70" s="6">
        <f t="shared" si="17"/>
        <v>471826.64546716958</v>
      </c>
      <c r="Y70" s="15">
        <f t="shared" si="18"/>
        <v>2.2398586450527586E-2</v>
      </c>
    </row>
    <row r="71" spans="1:25">
      <c r="A71" s="245">
        <v>43009</v>
      </c>
      <c r="B71">
        <f t="shared" si="15"/>
        <v>10</v>
      </c>
      <c r="C71">
        <f t="shared" si="16"/>
        <v>2017</v>
      </c>
      <c r="D71" s="6">
        <v>18231593.113756634</v>
      </c>
      <c r="E71">
        <v>74.899999999999991</v>
      </c>
      <c r="F71">
        <v>24.999999999999996</v>
      </c>
      <c r="G71">
        <v>7117.9</v>
      </c>
      <c r="H71">
        <v>0</v>
      </c>
      <c r="I71">
        <v>31</v>
      </c>
      <c r="J71">
        <f>'Monthly Data'!CE71</f>
        <v>1</v>
      </c>
      <c r="K71">
        <f>'Monthly Data'!CQ71</f>
        <v>0</v>
      </c>
      <c r="L71">
        <f>'Monthly Data'!CP71</f>
        <v>0</v>
      </c>
      <c r="N71" s="6">
        <f t="shared" si="19"/>
        <v>-12141897.0683104</v>
      </c>
      <c r="O71" s="6">
        <f t="shared" si="20"/>
        <v>848526.84925199673</v>
      </c>
      <c r="P71" s="6">
        <f t="shared" si="21"/>
        <v>1575467.2621977122</v>
      </c>
      <c r="Q71" s="6">
        <f t="shared" si="22"/>
        <v>9972584.9222627785</v>
      </c>
      <c r="R71" s="6">
        <f t="shared" si="23"/>
        <v>0</v>
      </c>
      <c r="S71" s="6">
        <f t="shared" si="24"/>
        <v>19225004.128495038</v>
      </c>
      <c r="T71" s="6">
        <f t="shared" si="25"/>
        <v>-730615.53830697597</v>
      </c>
      <c r="U71" s="6">
        <f t="shared" si="26"/>
        <v>0</v>
      </c>
      <c r="V71" s="6">
        <f t="shared" si="27"/>
        <v>0</v>
      </c>
      <c r="W71" s="6">
        <f t="shared" si="28"/>
        <v>18749070.555590149</v>
      </c>
      <c r="X71" s="6">
        <f t="shared" si="17"/>
        <v>517477.44183351472</v>
      </c>
      <c r="Y71" s="15">
        <f t="shared" si="18"/>
        <v>2.8383555874941752E-2</v>
      </c>
    </row>
    <row r="72" spans="1:25">
      <c r="A72" s="245">
        <v>43040</v>
      </c>
      <c r="B72">
        <f t="shared" si="15"/>
        <v>11</v>
      </c>
      <c r="C72">
        <f t="shared" si="16"/>
        <v>2017</v>
      </c>
      <c r="D72" s="6">
        <v>19491896.410775527</v>
      </c>
      <c r="E72">
        <v>311.8</v>
      </c>
      <c r="F72">
        <v>0</v>
      </c>
      <c r="G72">
        <v>7117.8</v>
      </c>
      <c r="H72">
        <v>0</v>
      </c>
      <c r="I72">
        <v>30</v>
      </c>
      <c r="J72">
        <f>'Monthly Data'!CE72</f>
        <v>0</v>
      </c>
      <c r="K72">
        <f>'Monthly Data'!CQ72</f>
        <v>0</v>
      </c>
      <c r="L72">
        <f>'Monthly Data'!CP72</f>
        <v>0</v>
      </c>
      <c r="N72" s="6">
        <f t="shared" si="19"/>
        <v>-12141897.0683104</v>
      </c>
      <c r="O72" s="6">
        <f t="shared" si="20"/>
        <v>3532318.7129075117</v>
      </c>
      <c r="P72" s="6">
        <f t="shared" si="21"/>
        <v>0</v>
      </c>
      <c r="Q72" s="6">
        <f t="shared" si="22"/>
        <v>9972444.8165444862</v>
      </c>
      <c r="R72" s="6">
        <f t="shared" si="23"/>
        <v>0</v>
      </c>
      <c r="S72" s="6">
        <f t="shared" si="24"/>
        <v>18604842.7049952</v>
      </c>
      <c r="T72" s="6">
        <f t="shared" si="25"/>
        <v>0</v>
      </c>
      <c r="U72" s="6">
        <f t="shared" si="26"/>
        <v>0</v>
      </c>
      <c r="V72" s="6">
        <f t="shared" si="27"/>
        <v>0</v>
      </c>
      <c r="W72" s="6">
        <f t="shared" si="28"/>
        <v>19967709.166136798</v>
      </c>
      <c r="X72" s="6">
        <f t="shared" si="17"/>
        <v>475812.75536127016</v>
      </c>
      <c r="Y72" s="15">
        <f t="shared" si="18"/>
        <v>2.4410798484350189E-2</v>
      </c>
    </row>
    <row r="73" spans="1:25">
      <c r="A73" s="245">
        <v>43070</v>
      </c>
      <c r="B73">
        <f t="shared" si="15"/>
        <v>12</v>
      </c>
      <c r="C73">
        <f t="shared" si="16"/>
        <v>2017</v>
      </c>
      <c r="D73" s="6">
        <v>23724231.163749639</v>
      </c>
      <c r="E73">
        <v>558.9</v>
      </c>
      <c r="F73">
        <v>0</v>
      </c>
      <c r="G73">
        <v>7140.2</v>
      </c>
      <c r="H73">
        <v>1</v>
      </c>
      <c r="I73">
        <v>31</v>
      </c>
      <c r="J73">
        <f>'Monthly Data'!CE73</f>
        <v>0</v>
      </c>
      <c r="K73">
        <f>'Monthly Data'!CQ73</f>
        <v>0</v>
      </c>
      <c r="L73">
        <f>'Monthly Data'!CP73</f>
        <v>0</v>
      </c>
      <c r="N73" s="6">
        <f t="shared" si="19"/>
        <v>-12141897.0683104</v>
      </c>
      <c r="O73" s="6">
        <f t="shared" si="20"/>
        <v>6331664.2996921362</v>
      </c>
      <c r="P73" s="6">
        <f t="shared" si="21"/>
        <v>0</v>
      </c>
      <c r="Q73" s="6">
        <f t="shared" si="22"/>
        <v>10003828.497441757</v>
      </c>
      <c r="R73" s="6">
        <f t="shared" si="23"/>
        <v>695677.72202584799</v>
      </c>
      <c r="S73" s="6">
        <f t="shared" si="24"/>
        <v>19225004.128495038</v>
      </c>
      <c r="T73" s="6">
        <f t="shared" si="25"/>
        <v>0</v>
      </c>
      <c r="U73" s="6">
        <f t="shared" si="26"/>
        <v>0</v>
      </c>
      <c r="V73" s="6">
        <f t="shared" si="27"/>
        <v>0</v>
      </c>
      <c r="W73" s="6">
        <f t="shared" si="28"/>
        <v>24114277.579344377</v>
      </c>
      <c r="X73" s="6">
        <f t="shared" si="17"/>
        <v>390046.41559473798</v>
      </c>
      <c r="Y73" s="15">
        <f t="shared" si="18"/>
        <v>1.6440845349320509E-2</v>
      </c>
    </row>
    <row r="74" spans="1:25">
      <c r="A74" s="245">
        <v>43101</v>
      </c>
      <c r="B74">
        <f t="shared" si="15"/>
        <v>1</v>
      </c>
      <c r="C74">
        <f t="shared" si="16"/>
        <v>2018</v>
      </c>
      <c r="D74" s="6">
        <v>24073659.566567264</v>
      </c>
      <c r="E74">
        <v>593.49999999999989</v>
      </c>
      <c r="F74">
        <v>0</v>
      </c>
      <c r="G74">
        <v>7100.3</v>
      </c>
      <c r="H74">
        <v>0</v>
      </c>
      <c r="I74">
        <v>31</v>
      </c>
      <c r="J74">
        <f>'Monthly Data'!CE74</f>
        <v>0</v>
      </c>
      <c r="K74">
        <f>'Monthly Data'!CQ74</f>
        <v>0</v>
      </c>
      <c r="L74">
        <f>'Monthly Data'!CP74</f>
        <v>0</v>
      </c>
      <c r="N74" s="6">
        <f t="shared" si="19"/>
        <v>-12141897.0683104</v>
      </c>
      <c r="O74" s="6">
        <f t="shared" si="20"/>
        <v>6723640.6546202945</v>
      </c>
      <c r="P74" s="6">
        <f t="shared" si="21"/>
        <v>0</v>
      </c>
      <c r="Q74" s="6">
        <f t="shared" si="22"/>
        <v>9947926.3158434946</v>
      </c>
      <c r="R74" s="6">
        <f t="shared" si="23"/>
        <v>0</v>
      </c>
      <c r="S74" s="6">
        <f t="shared" si="24"/>
        <v>19225004.128495038</v>
      </c>
      <c r="T74" s="6">
        <f t="shared" si="25"/>
        <v>0</v>
      </c>
      <c r="U74" s="6">
        <f t="shared" si="26"/>
        <v>0</v>
      </c>
      <c r="V74" s="6">
        <f t="shared" si="27"/>
        <v>0</v>
      </c>
      <c r="W74" s="6">
        <f t="shared" si="28"/>
        <v>23754674.030648425</v>
      </c>
      <c r="X74" s="6">
        <f t="shared" si="17"/>
        <v>-318985.53591883928</v>
      </c>
      <c r="Y74" s="15">
        <f t="shared" si="18"/>
        <v>1.3250396560472937E-2</v>
      </c>
    </row>
    <row r="75" spans="1:25">
      <c r="A75" s="245">
        <v>43132</v>
      </c>
      <c r="B75">
        <f t="shared" si="15"/>
        <v>2</v>
      </c>
      <c r="C75">
        <f t="shared" si="16"/>
        <v>2018</v>
      </c>
      <c r="D75" s="6">
        <v>20162044.327167265</v>
      </c>
      <c r="E75">
        <v>456.40000000000003</v>
      </c>
      <c r="F75">
        <v>0</v>
      </c>
      <c r="G75">
        <v>7053.7</v>
      </c>
      <c r="H75">
        <v>0</v>
      </c>
      <c r="I75">
        <v>28</v>
      </c>
      <c r="J75">
        <f>'Monthly Data'!CE75</f>
        <v>0</v>
      </c>
      <c r="K75">
        <f>'Monthly Data'!CQ75</f>
        <v>0</v>
      </c>
      <c r="L75">
        <f>'Monthly Data'!CP75</f>
        <v>0</v>
      </c>
      <c r="N75" s="6">
        <f t="shared" si="19"/>
        <v>-12141897.0683104</v>
      </c>
      <c r="O75" s="6">
        <f t="shared" si="20"/>
        <v>5170462.6702084299</v>
      </c>
      <c r="P75" s="6">
        <f t="shared" si="21"/>
        <v>0</v>
      </c>
      <c r="Q75" s="6">
        <f t="shared" si="22"/>
        <v>9882637.0511197057</v>
      </c>
      <c r="R75" s="6">
        <f t="shared" si="23"/>
        <v>0</v>
      </c>
      <c r="S75" s="6">
        <f t="shared" si="24"/>
        <v>17364519.857995518</v>
      </c>
      <c r="T75" s="6">
        <f t="shared" si="25"/>
        <v>0</v>
      </c>
      <c r="U75" s="6">
        <f t="shared" si="26"/>
        <v>0</v>
      </c>
      <c r="V75" s="6">
        <f t="shared" si="27"/>
        <v>0</v>
      </c>
      <c r="W75" s="6">
        <f t="shared" si="28"/>
        <v>20275722.511013255</v>
      </c>
      <c r="X75" s="6">
        <f t="shared" si="17"/>
        <v>113678.18384598941</v>
      </c>
      <c r="Y75" s="15">
        <f t="shared" si="18"/>
        <v>5.6382270568076376E-3</v>
      </c>
    </row>
    <row r="76" spans="1:25">
      <c r="A76" s="245">
        <v>43160</v>
      </c>
      <c r="B76">
        <f t="shared" si="15"/>
        <v>3</v>
      </c>
      <c r="C76">
        <f t="shared" si="16"/>
        <v>2018</v>
      </c>
      <c r="D76" s="6">
        <v>20947649.553467266</v>
      </c>
      <c r="E76">
        <v>451.2</v>
      </c>
      <c r="F76">
        <v>0</v>
      </c>
      <c r="G76">
        <v>7013.3</v>
      </c>
      <c r="H76">
        <v>0</v>
      </c>
      <c r="I76">
        <v>31</v>
      </c>
      <c r="J76">
        <f>'Monthly Data'!CE76</f>
        <v>1</v>
      </c>
      <c r="K76">
        <f>'Monthly Data'!CQ76</f>
        <v>0</v>
      </c>
      <c r="L76">
        <f>'Monthly Data'!CP76</f>
        <v>0</v>
      </c>
      <c r="N76" s="6">
        <f t="shared" si="19"/>
        <v>-12141897.0683104</v>
      </c>
      <c r="O76" s="6">
        <f t="shared" si="20"/>
        <v>5111552.9290053537</v>
      </c>
      <c r="P76" s="6">
        <f t="shared" si="21"/>
        <v>0</v>
      </c>
      <c r="Q76" s="6">
        <f t="shared" si="22"/>
        <v>9826034.340929985</v>
      </c>
      <c r="R76" s="6">
        <f t="shared" si="23"/>
        <v>0</v>
      </c>
      <c r="S76" s="6">
        <f t="shared" si="24"/>
        <v>19225004.128495038</v>
      </c>
      <c r="T76" s="6">
        <f t="shared" si="25"/>
        <v>-730615.53830697597</v>
      </c>
      <c r="U76" s="6">
        <f t="shared" si="26"/>
        <v>0</v>
      </c>
      <c r="V76" s="6">
        <f t="shared" si="27"/>
        <v>0</v>
      </c>
      <c r="W76" s="6">
        <f t="shared" si="28"/>
        <v>21290078.791812997</v>
      </c>
      <c r="X76" s="6">
        <f t="shared" si="17"/>
        <v>342429.23834573105</v>
      </c>
      <c r="Y76" s="15">
        <f t="shared" si="18"/>
        <v>1.6346905053557761E-2</v>
      </c>
    </row>
    <row r="77" spans="1:25">
      <c r="A77" s="245">
        <v>43191</v>
      </c>
      <c r="B77">
        <f t="shared" si="15"/>
        <v>4</v>
      </c>
      <c r="C77">
        <f t="shared" si="16"/>
        <v>2018</v>
      </c>
      <c r="D77" s="6">
        <v>19139295.462167267</v>
      </c>
      <c r="E77">
        <v>312.00000000000006</v>
      </c>
      <c r="F77">
        <v>0</v>
      </c>
      <c r="G77">
        <v>7043.4</v>
      </c>
      <c r="H77">
        <v>0</v>
      </c>
      <c r="I77">
        <v>30</v>
      </c>
      <c r="J77">
        <f>'Monthly Data'!CE77</f>
        <v>1</v>
      </c>
      <c r="K77">
        <f>'Monthly Data'!CQ77</f>
        <v>0</v>
      </c>
      <c r="L77">
        <f>'Monthly Data'!CP77</f>
        <v>0</v>
      </c>
      <c r="N77" s="6">
        <f t="shared" si="19"/>
        <v>-12141897.0683104</v>
      </c>
      <c r="O77" s="6">
        <f t="shared" si="20"/>
        <v>3534584.4721845537</v>
      </c>
      <c r="P77" s="6">
        <f t="shared" si="21"/>
        <v>0</v>
      </c>
      <c r="Q77" s="6">
        <f t="shared" si="22"/>
        <v>9868206.1621356923</v>
      </c>
      <c r="R77" s="6">
        <f t="shared" si="23"/>
        <v>0</v>
      </c>
      <c r="S77" s="6">
        <f t="shared" si="24"/>
        <v>18604842.7049952</v>
      </c>
      <c r="T77" s="6">
        <f t="shared" si="25"/>
        <v>-730615.53830697597</v>
      </c>
      <c r="U77" s="6">
        <f t="shared" si="26"/>
        <v>0</v>
      </c>
      <c r="V77" s="6">
        <f t="shared" si="27"/>
        <v>0</v>
      </c>
      <c r="W77" s="6">
        <f t="shared" si="28"/>
        <v>19135120.732698068</v>
      </c>
      <c r="X77" s="6">
        <f t="shared" si="17"/>
        <v>-4174.7294691987336</v>
      </c>
      <c r="Y77" s="15">
        <f t="shared" si="18"/>
        <v>2.1812346632356142E-4</v>
      </c>
    </row>
    <row r="78" spans="1:25">
      <c r="A78" s="245">
        <v>43221</v>
      </c>
      <c r="B78">
        <f t="shared" si="15"/>
        <v>5</v>
      </c>
      <c r="C78">
        <f t="shared" si="16"/>
        <v>2018</v>
      </c>
      <c r="D78" s="6">
        <v>20041747.692667268</v>
      </c>
      <c r="E78">
        <v>47.5</v>
      </c>
      <c r="F78">
        <v>63.900000000000006</v>
      </c>
      <c r="G78">
        <v>7111</v>
      </c>
      <c r="H78">
        <v>0</v>
      </c>
      <c r="I78">
        <v>31</v>
      </c>
      <c r="J78">
        <f>'Monthly Data'!CE78</f>
        <v>1</v>
      </c>
      <c r="K78">
        <f>'Monthly Data'!CQ78</f>
        <v>0</v>
      </c>
      <c r="L78">
        <f>'Monthly Data'!CP78</f>
        <v>0</v>
      </c>
      <c r="N78" s="6">
        <f t="shared" si="19"/>
        <v>-12141897.0683104</v>
      </c>
      <c r="O78" s="6">
        <f t="shared" si="20"/>
        <v>538117.82829732774</v>
      </c>
      <c r="P78" s="6">
        <f t="shared" si="21"/>
        <v>4026894.3221773533</v>
      </c>
      <c r="Q78" s="6">
        <f t="shared" si="22"/>
        <v>9962917.6277006716</v>
      </c>
      <c r="R78" s="6">
        <f t="shared" si="23"/>
        <v>0</v>
      </c>
      <c r="S78" s="6">
        <f t="shared" si="24"/>
        <v>19225004.128495038</v>
      </c>
      <c r="T78" s="6">
        <f t="shared" si="25"/>
        <v>-730615.53830697597</v>
      </c>
      <c r="U78" s="6">
        <f t="shared" si="26"/>
        <v>0</v>
      </c>
      <c r="V78" s="6">
        <f t="shared" si="27"/>
        <v>0</v>
      </c>
      <c r="W78" s="6">
        <f t="shared" si="28"/>
        <v>20880421.300053012</v>
      </c>
      <c r="X78" s="6">
        <f t="shared" si="17"/>
        <v>838673.60738574341</v>
      </c>
      <c r="Y78" s="15">
        <f t="shared" si="18"/>
        <v>4.184633098103472E-2</v>
      </c>
    </row>
    <row r="79" spans="1:25">
      <c r="A79" s="245">
        <v>43252</v>
      </c>
      <c r="B79">
        <f t="shared" si="15"/>
        <v>6</v>
      </c>
      <c r="C79">
        <f t="shared" si="16"/>
        <v>2018</v>
      </c>
      <c r="D79" s="6">
        <v>22588013.119067267</v>
      </c>
      <c r="E79">
        <v>5.2999999999999989</v>
      </c>
      <c r="F79">
        <v>92.40000000000002</v>
      </c>
      <c r="G79">
        <v>7203.7</v>
      </c>
      <c r="H79">
        <v>0</v>
      </c>
      <c r="I79">
        <v>30</v>
      </c>
      <c r="J79">
        <f>'Monthly Data'!CE79</f>
        <v>0</v>
      </c>
      <c r="K79">
        <f>'Monthly Data'!CQ79</f>
        <v>0</v>
      </c>
      <c r="L79">
        <f>'Monthly Data'!CP79</f>
        <v>0</v>
      </c>
      <c r="N79" s="6">
        <f t="shared" si="19"/>
        <v>-12141897.0683104</v>
      </c>
      <c r="O79" s="6">
        <f t="shared" si="20"/>
        <v>60042.620841596559</v>
      </c>
      <c r="P79" s="6">
        <f t="shared" si="21"/>
        <v>5822927.0010827463</v>
      </c>
      <c r="Q79" s="6">
        <f t="shared" si="22"/>
        <v>10092795.62855679</v>
      </c>
      <c r="R79" s="6">
        <f t="shared" si="23"/>
        <v>0</v>
      </c>
      <c r="S79" s="6">
        <f t="shared" si="24"/>
        <v>18604842.7049952</v>
      </c>
      <c r="T79" s="6">
        <f t="shared" si="25"/>
        <v>0</v>
      </c>
      <c r="U79" s="6">
        <f t="shared" si="26"/>
        <v>0</v>
      </c>
      <c r="V79" s="6">
        <f t="shared" si="27"/>
        <v>0</v>
      </c>
      <c r="W79" s="6">
        <f t="shared" si="28"/>
        <v>22438710.887165934</v>
      </c>
      <c r="X79" s="6">
        <f t="shared" si="17"/>
        <v>-149302.23190133274</v>
      </c>
      <c r="Y79" s="15">
        <f t="shared" si="18"/>
        <v>6.6097992379551933E-3</v>
      </c>
    </row>
    <row r="80" spans="1:25">
      <c r="A80" s="245">
        <v>43282</v>
      </c>
      <c r="B80">
        <f t="shared" si="15"/>
        <v>7</v>
      </c>
      <c r="C80">
        <f t="shared" si="16"/>
        <v>2018</v>
      </c>
      <c r="D80" s="6">
        <v>30017017.307167266</v>
      </c>
      <c r="E80">
        <v>0</v>
      </c>
      <c r="F80">
        <v>176.00000000000003</v>
      </c>
      <c r="G80">
        <v>7285.2</v>
      </c>
      <c r="H80">
        <v>0</v>
      </c>
      <c r="I80">
        <v>31</v>
      </c>
      <c r="J80">
        <f>'Monthly Data'!CE80</f>
        <v>0</v>
      </c>
      <c r="K80">
        <f>'Monthly Data'!CQ80</f>
        <v>0</v>
      </c>
      <c r="L80">
        <f>'Monthly Data'!CP80</f>
        <v>0</v>
      </c>
      <c r="N80" s="6">
        <f t="shared" si="19"/>
        <v>-12141897.0683104</v>
      </c>
      <c r="O80" s="6">
        <f t="shared" si="20"/>
        <v>0</v>
      </c>
      <c r="P80" s="6">
        <f t="shared" si="21"/>
        <v>11091289.525871897</v>
      </c>
      <c r="Q80" s="6">
        <f t="shared" si="22"/>
        <v>10206981.788964272</v>
      </c>
      <c r="R80" s="6">
        <f t="shared" si="23"/>
        <v>0</v>
      </c>
      <c r="S80" s="6">
        <f t="shared" si="24"/>
        <v>19225004.128495038</v>
      </c>
      <c r="T80" s="6">
        <f t="shared" si="25"/>
        <v>0</v>
      </c>
      <c r="U80" s="6">
        <f t="shared" si="26"/>
        <v>0</v>
      </c>
      <c r="V80" s="6">
        <f t="shared" si="27"/>
        <v>0</v>
      </c>
      <c r="W80" s="6">
        <f t="shared" si="28"/>
        <v>28381378.375020806</v>
      </c>
      <c r="X80" s="6">
        <f t="shared" si="17"/>
        <v>-1635638.9321464598</v>
      </c>
      <c r="Y80" s="15">
        <f t="shared" si="18"/>
        <v>5.4490388415637574E-2</v>
      </c>
    </row>
    <row r="81" spans="1:25">
      <c r="A81" s="245">
        <v>43313</v>
      </c>
      <c r="B81">
        <f t="shared" si="15"/>
        <v>8</v>
      </c>
      <c r="C81">
        <f t="shared" si="16"/>
        <v>2018</v>
      </c>
      <c r="D81" s="6">
        <v>30650726.001667269</v>
      </c>
      <c r="E81">
        <v>0</v>
      </c>
      <c r="F81">
        <v>188.29999999999995</v>
      </c>
      <c r="G81">
        <v>7290.7</v>
      </c>
      <c r="H81">
        <v>0</v>
      </c>
      <c r="I81">
        <v>31</v>
      </c>
      <c r="J81">
        <f>'Monthly Data'!CE81</f>
        <v>0</v>
      </c>
      <c r="K81">
        <f>'Monthly Data'!CQ81</f>
        <v>0</v>
      </c>
      <c r="L81">
        <f>'Monthly Data'!CP81</f>
        <v>0</v>
      </c>
      <c r="N81" s="6">
        <f t="shared" si="19"/>
        <v>-12141897.0683104</v>
      </c>
      <c r="O81" s="6">
        <f t="shared" si="20"/>
        <v>0</v>
      </c>
      <c r="P81" s="6">
        <f t="shared" si="21"/>
        <v>11866419.418873167</v>
      </c>
      <c r="Q81" s="6">
        <f t="shared" si="22"/>
        <v>10214687.603470298</v>
      </c>
      <c r="R81" s="6">
        <f t="shared" si="23"/>
        <v>0</v>
      </c>
      <c r="S81" s="6">
        <f t="shared" si="24"/>
        <v>19225004.128495038</v>
      </c>
      <c r="T81" s="6">
        <f t="shared" si="25"/>
        <v>0</v>
      </c>
      <c r="U81" s="6">
        <f t="shared" si="26"/>
        <v>0</v>
      </c>
      <c r="V81" s="6">
        <f t="shared" si="27"/>
        <v>0</v>
      </c>
      <c r="W81" s="6">
        <f t="shared" si="28"/>
        <v>29164214.082528099</v>
      </c>
      <c r="X81" s="6">
        <f t="shared" si="17"/>
        <v>-1486511.9191391692</v>
      </c>
      <c r="Y81" s="15">
        <f t="shared" si="18"/>
        <v>4.8498424443789989E-2</v>
      </c>
    </row>
    <row r="82" spans="1:25">
      <c r="A82" s="245">
        <v>43344</v>
      </c>
      <c r="B82">
        <f t="shared" si="15"/>
        <v>9</v>
      </c>
      <c r="C82">
        <f t="shared" si="16"/>
        <v>2018</v>
      </c>
      <c r="D82" s="6">
        <v>23280752.545567263</v>
      </c>
      <c r="E82">
        <v>15.100000000000001</v>
      </c>
      <c r="F82">
        <v>92.7</v>
      </c>
      <c r="G82">
        <v>7249.1</v>
      </c>
      <c r="H82">
        <v>0</v>
      </c>
      <c r="I82">
        <v>30</v>
      </c>
      <c r="J82">
        <f>'Monthly Data'!CE82</f>
        <v>1</v>
      </c>
      <c r="K82">
        <f>'Monthly Data'!CQ82</f>
        <v>0</v>
      </c>
      <c r="L82">
        <f>'Monthly Data'!CP82</f>
        <v>0</v>
      </c>
      <c r="N82" s="6">
        <f t="shared" si="19"/>
        <v>-12141897.0683104</v>
      </c>
      <c r="O82" s="6">
        <f t="shared" si="20"/>
        <v>171064.82541662423</v>
      </c>
      <c r="P82" s="6">
        <f t="shared" si="21"/>
        <v>5841832.6082291175</v>
      </c>
      <c r="Q82" s="6">
        <f t="shared" si="22"/>
        <v>10156403.624661081</v>
      </c>
      <c r="R82" s="6">
        <f t="shared" si="23"/>
        <v>0</v>
      </c>
      <c r="S82" s="6">
        <f t="shared" si="24"/>
        <v>18604842.7049952</v>
      </c>
      <c r="T82" s="6">
        <f t="shared" si="25"/>
        <v>-730615.53830697597</v>
      </c>
      <c r="U82" s="6">
        <f t="shared" si="26"/>
        <v>0</v>
      </c>
      <c r="V82" s="6">
        <f t="shared" si="27"/>
        <v>0</v>
      </c>
      <c r="W82" s="6">
        <f t="shared" si="28"/>
        <v>21901631.156684645</v>
      </c>
      <c r="X82" s="6">
        <f t="shared" si="17"/>
        <v>-1379121.3888826184</v>
      </c>
      <c r="Y82" s="15">
        <f t="shared" si="18"/>
        <v>5.9238694547492539E-2</v>
      </c>
    </row>
    <row r="83" spans="1:25">
      <c r="A83" s="245">
        <v>43374</v>
      </c>
      <c r="B83">
        <f t="shared" si="15"/>
        <v>10</v>
      </c>
      <c r="C83">
        <f t="shared" si="16"/>
        <v>2018</v>
      </c>
      <c r="D83" s="6">
        <v>19430725.728867266</v>
      </c>
      <c r="E83">
        <v>160.9</v>
      </c>
      <c r="F83">
        <v>24.2</v>
      </c>
      <c r="G83">
        <v>7206.5</v>
      </c>
      <c r="H83">
        <v>0</v>
      </c>
      <c r="I83">
        <v>31</v>
      </c>
      <c r="J83">
        <f>'Monthly Data'!CE83</f>
        <v>1</v>
      </c>
      <c r="K83">
        <f>'Monthly Data'!CQ83</f>
        <v>0</v>
      </c>
      <c r="L83">
        <f>'Monthly Data'!CP83</f>
        <v>0</v>
      </c>
      <c r="N83" s="6">
        <f t="shared" si="19"/>
        <v>-12141897.0683104</v>
      </c>
      <c r="O83" s="6">
        <f t="shared" si="20"/>
        <v>1822803.3383797903</v>
      </c>
      <c r="P83" s="6">
        <f t="shared" si="21"/>
        <v>1525052.3098073856</v>
      </c>
      <c r="Q83" s="6">
        <f t="shared" si="22"/>
        <v>10096718.588668948</v>
      </c>
      <c r="R83" s="6">
        <f t="shared" si="23"/>
        <v>0</v>
      </c>
      <c r="S83" s="6">
        <f t="shared" si="24"/>
        <v>19225004.128495038</v>
      </c>
      <c r="T83" s="6">
        <f t="shared" si="25"/>
        <v>-730615.53830697597</v>
      </c>
      <c r="U83" s="6">
        <f t="shared" si="26"/>
        <v>0</v>
      </c>
      <c r="V83" s="6">
        <f t="shared" si="27"/>
        <v>0</v>
      </c>
      <c r="W83" s="6">
        <f t="shared" si="28"/>
        <v>19797065.758733783</v>
      </c>
      <c r="X83" s="6">
        <f t="shared" si="17"/>
        <v>366340.02986651659</v>
      </c>
      <c r="Y83" s="15">
        <f t="shared" si="18"/>
        <v>1.8853646280553658E-2</v>
      </c>
    </row>
    <row r="84" spans="1:25">
      <c r="A84" s="245">
        <v>43405</v>
      </c>
      <c r="B84">
        <f t="shared" si="15"/>
        <v>11</v>
      </c>
      <c r="C84">
        <f t="shared" si="16"/>
        <v>2018</v>
      </c>
      <c r="D84" s="6">
        <v>20674343.852967266</v>
      </c>
      <c r="E84">
        <v>373.50000000000011</v>
      </c>
      <c r="F84">
        <v>0</v>
      </c>
      <c r="G84">
        <v>7207.4</v>
      </c>
      <c r="H84">
        <v>0</v>
      </c>
      <c r="I84">
        <v>30</v>
      </c>
      <c r="J84">
        <f>'Monthly Data'!CE84</f>
        <v>0</v>
      </c>
      <c r="K84">
        <f>'Monthly Data'!CQ84</f>
        <v>0</v>
      </c>
      <c r="L84">
        <f>'Monthly Data'!CP84</f>
        <v>0</v>
      </c>
      <c r="N84" s="6">
        <f t="shared" si="19"/>
        <v>-12141897.0683104</v>
      </c>
      <c r="O84" s="6">
        <f t="shared" si="20"/>
        <v>4231305.4498747783</v>
      </c>
      <c r="P84" s="6">
        <f t="shared" si="21"/>
        <v>0</v>
      </c>
      <c r="Q84" s="6">
        <f t="shared" si="22"/>
        <v>10097979.540133571</v>
      </c>
      <c r="R84" s="6">
        <f t="shared" si="23"/>
        <v>0</v>
      </c>
      <c r="S84" s="6">
        <f t="shared" si="24"/>
        <v>18604842.7049952</v>
      </c>
      <c r="T84" s="6">
        <f t="shared" si="25"/>
        <v>0</v>
      </c>
      <c r="U84" s="6">
        <f t="shared" si="26"/>
        <v>0</v>
      </c>
      <c r="V84" s="6">
        <f t="shared" si="27"/>
        <v>0</v>
      </c>
      <c r="W84" s="6">
        <f t="shared" si="28"/>
        <v>20792230.626693148</v>
      </c>
      <c r="X84" s="6">
        <f t="shared" si="17"/>
        <v>117886.77372588217</v>
      </c>
      <c r="Y84" s="15">
        <f t="shared" si="18"/>
        <v>5.7020805382881632E-3</v>
      </c>
    </row>
    <row r="85" spans="1:25">
      <c r="A85" s="245">
        <v>43435</v>
      </c>
      <c r="B85">
        <f t="shared" si="15"/>
        <v>12</v>
      </c>
      <c r="C85">
        <f t="shared" si="16"/>
        <v>2018</v>
      </c>
      <c r="D85" s="6">
        <v>23150505.742267266</v>
      </c>
      <c r="E85">
        <v>420.19999999999987</v>
      </c>
      <c r="F85">
        <v>0</v>
      </c>
      <c r="G85">
        <v>7227.2</v>
      </c>
      <c r="H85">
        <v>1</v>
      </c>
      <c r="I85">
        <v>31</v>
      </c>
      <c r="J85">
        <f>'Monthly Data'!CE85</f>
        <v>0</v>
      </c>
      <c r="K85">
        <f>'Monthly Data'!CQ85</f>
        <v>0</v>
      </c>
      <c r="L85">
        <f>'Monthly Data'!CP85</f>
        <v>0</v>
      </c>
      <c r="N85" s="6">
        <f t="shared" si="19"/>
        <v>-12141897.0683104</v>
      </c>
      <c r="O85" s="6">
        <f t="shared" si="20"/>
        <v>4760360.2410639385</v>
      </c>
      <c r="P85" s="6">
        <f t="shared" si="21"/>
        <v>0</v>
      </c>
      <c r="Q85" s="6">
        <f t="shared" si="22"/>
        <v>10125720.472355265</v>
      </c>
      <c r="R85" s="6">
        <f t="shared" si="23"/>
        <v>695677.72202584799</v>
      </c>
      <c r="S85" s="6">
        <f t="shared" si="24"/>
        <v>19225004.128495038</v>
      </c>
      <c r="T85" s="6">
        <f t="shared" si="25"/>
        <v>0</v>
      </c>
      <c r="U85" s="6">
        <f t="shared" si="26"/>
        <v>0</v>
      </c>
      <c r="V85" s="6">
        <f t="shared" si="27"/>
        <v>0</v>
      </c>
      <c r="W85" s="6">
        <f t="shared" si="28"/>
        <v>22664865.495629691</v>
      </c>
      <c r="X85" s="6">
        <f t="shared" si="17"/>
        <v>-485640.24663757533</v>
      </c>
      <c r="Y85" s="15">
        <f t="shared" si="18"/>
        <v>2.0977522134685501E-2</v>
      </c>
    </row>
    <row r="86" spans="1:25">
      <c r="A86" s="245">
        <v>43466</v>
      </c>
      <c r="B86">
        <f t="shared" ref="B86:B97" si="29">MONTH(A86)</f>
        <v>1</v>
      </c>
      <c r="C86">
        <f t="shared" ref="C86:C97" si="30">YEAR(A86)</f>
        <v>2019</v>
      </c>
      <c r="D86" s="6">
        <v>24270749.622478835</v>
      </c>
      <c r="E86">
        <v>594.79999999999995</v>
      </c>
      <c r="F86">
        <v>0</v>
      </c>
      <c r="G86">
        <v>7214.9</v>
      </c>
      <c r="H86">
        <v>0</v>
      </c>
      <c r="I86">
        <v>31</v>
      </c>
      <c r="J86">
        <f>'Monthly Data'!CE86</f>
        <v>0</v>
      </c>
      <c r="K86">
        <f>'Monthly Data'!CQ86</f>
        <v>0</v>
      </c>
      <c r="L86">
        <f>'Monthly Data'!CP86</f>
        <v>0</v>
      </c>
      <c r="N86" s="6">
        <f t="shared" si="19"/>
        <v>-12141897.0683104</v>
      </c>
      <c r="O86" s="6">
        <f t="shared" si="20"/>
        <v>6738368.0899210637</v>
      </c>
      <c r="P86" s="6">
        <f t="shared" si="21"/>
        <v>0</v>
      </c>
      <c r="Q86" s="6">
        <f t="shared" si="22"/>
        <v>10108487.469005425</v>
      </c>
      <c r="R86" s="6">
        <f t="shared" si="23"/>
        <v>0</v>
      </c>
      <c r="S86" s="6">
        <f t="shared" si="24"/>
        <v>19225004.128495038</v>
      </c>
      <c r="T86" s="6">
        <f t="shared" si="25"/>
        <v>0</v>
      </c>
      <c r="U86" s="6">
        <f t="shared" si="26"/>
        <v>0</v>
      </c>
      <c r="V86" s="6">
        <f t="shared" si="27"/>
        <v>0</v>
      </c>
      <c r="W86" s="6">
        <f t="shared" si="28"/>
        <v>23929962.619111124</v>
      </c>
      <c r="X86" s="6">
        <f t="shared" ref="X86:X97" si="31">W86-D86</f>
        <v>-340787.00336771086</v>
      </c>
      <c r="Y86" s="15">
        <f t="shared" ref="Y86:Y97" si="32">ABS(W86-D86)/D86</f>
        <v>1.4041058008858706E-2</v>
      </c>
    </row>
    <row r="87" spans="1:25">
      <c r="A87" s="245">
        <v>43497</v>
      </c>
      <c r="B87">
        <f t="shared" si="29"/>
        <v>2</v>
      </c>
      <c r="C87">
        <f t="shared" si="30"/>
        <v>2019</v>
      </c>
      <c r="D87" s="6">
        <v>21700393.622478835</v>
      </c>
      <c r="E87">
        <v>492.5</v>
      </c>
      <c r="F87">
        <v>0</v>
      </c>
      <c r="G87">
        <v>7205</v>
      </c>
      <c r="H87">
        <v>0</v>
      </c>
      <c r="I87">
        <v>28</v>
      </c>
      <c r="J87">
        <f>'Monthly Data'!CE87</f>
        <v>0</v>
      </c>
      <c r="K87">
        <f>'Monthly Data'!CQ87</f>
        <v>0</v>
      </c>
      <c r="L87">
        <f>'Monthly Data'!CP87</f>
        <v>0</v>
      </c>
      <c r="N87" s="6">
        <f t="shared" si="19"/>
        <v>-12141897.0683104</v>
      </c>
      <c r="O87" s="6">
        <f t="shared" si="20"/>
        <v>5579432.2197143985</v>
      </c>
      <c r="P87" s="6">
        <f t="shared" si="21"/>
        <v>0</v>
      </c>
      <c r="Q87" s="6">
        <f t="shared" si="22"/>
        <v>10094617.002894579</v>
      </c>
      <c r="R87" s="6">
        <f t="shared" si="23"/>
        <v>0</v>
      </c>
      <c r="S87" s="6">
        <f t="shared" si="24"/>
        <v>17364519.857995518</v>
      </c>
      <c r="T87" s="6">
        <f t="shared" si="25"/>
        <v>0</v>
      </c>
      <c r="U87" s="6">
        <f t="shared" si="26"/>
        <v>0</v>
      </c>
      <c r="V87" s="6">
        <f t="shared" si="27"/>
        <v>0</v>
      </c>
      <c r="W87" s="6">
        <f t="shared" si="28"/>
        <v>20896672.012294095</v>
      </c>
      <c r="X87" s="6">
        <f t="shared" si="31"/>
        <v>-803721.61018474028</v>
      </c>
      <c r="Y87" s="15">
        <f t="shared" si="32"/>
        <v>3.7037190392352488E-2</v>
      </c>
    </row>
    <row r="88" spans="1:25">
      <c r="A88" s="245">
        <v>43525</v>
      </c>
      <c r="B88">
        <f t="shared" si="29"/>
        <v>3</v>
      </c>
      <c r="C88">
        <f t="shared" si="30"/>
        <v>2019</v>
      </c>
      <c r="D88" s="6">
        <v>20849772.622478835</v>
      </c>
      <c r="E88">
        <v>450.60000000000014</v>
      </c>
      <c r="F88">
        <v>0</v>
      </c>
      <c r="G88">
        <v>7185</v>
      </c>
      <c r="H88">
        <v>0</v>
      </c>
      <c r="I88">
        <v>31</v>
      </c>
      <c r="J88">
        <f>'Monthly Data'!CE88</f>
        <v>1</v>
      </c>
      <c r="K88">
        <f>'Monthly Data'!CQ88</f>
        <v>0</v>
      </c>
      <c r="L88">
        <f>'Monthly Data'!CP88</f>
        <v>0</v>
      </c>
      <c r="N88" s="6">
        <f t="shared" si="19"/>
        <v>-12141897.0683104</v>
      </c>
      <c r="O88" s="6">
        <f t="shared" si="20"/>
        <v>5104755.6511742305</v>
      </c>
      <c r="P88" s="6">
        <f t="shared" si="21"/>
        <v>0</v>
      </c>
      <c r="Q88" s="6">
        <f t="shared" si="22"/>
        <v>10066595.8592363</v>
      </c>
      <c r="R88" s="6">
        <f t="shared" si="23"/>
        <v>0</v>
      </c>
      <c r="S88" s="6">
        <f t="shared" si="24"/>
        <v>19225004.128495038</v>
      </c>
      <c r="T88" s="6">
        <f t="shared" si="25"/>
        <v>-730615.53830697597</v>
      </c>
      <c r="U88" s="6">
        <f t="shared" si="26"/>
        <v>0</v>
      </c>
      <c r="V88" s="6">
        <f t="shared" si="27"/>
        <v>0</v>
      </c>
      <c r="W88" s="6">
        <f t="shared" si="28"/>
        <v>21523843.03228819</v>
      </c>
      <c r="X88" s="6">
        <f t="shared" si="31"/>
        <v>674070.40980935469</v>
      </c>
      <c r="Y88" s="15">
        <f t="shared" si="32"/>
        <v>3.2329868628045225E-2</v>
      </c>
    </row>
    <row r="89" spans="1:25">
      <c r="A89" s="245">
        <v>43556</v>
      </c>
      <c r="B89">
        <f t="shared" si="29"/>
        <v>4</v>
      </c>
      <c r="C89">
        <f t="shared" si="30"/>
        <v>2019</v>
      </c>
      <c r="D89" s="6">
        <v>18417882.622478835</v>
      </c>
      <c r="E89">
        <v>210.80000000000007</v>
      </c>
      <c r="F89">
        <v>0</v>
      </c>
      <c r="G89">
        <v>7222.7</v>
      </c>
      <c r="H89">
        <v>0</v>
      </c>
      <c r="I89">
        <v>30</v>
      </c>
      <c r="J89">
        <f>'Monthly Data'!CE89</f>
        <v>1</v>
      </c>
      <c r="K89">
        <f>'Monthly Data'!CQ89</f>
        <v>0</v>
      </c>
      <c r="L89">
        <f>'Monthly Data'!CP89</f>
        <v>0</v>
      </c>
      <c r="N89" s="6">
        <f t="shared" si="19"/>
        <v>-12141897.0683104</v>
      </c>
      <c r="O89" s="6">
        <f t="shared" si="20"/>
        <v>2388110.2780016153</v>
      </c>
      <c r="P89" s="6">
        <f t="shared" si="21"/>
        <v>0</v>
      </c>
      <c r="Q89" s="6">
        <f t="shared" si="22"/>
        <v>10119415.715032153</v>
      </c>
      <c r="R89" s="6">
        <f t="shared" si="23"/>
        <v>0</v>
      </c>
      <c r="S89" s="6">
        <f t="shared" si="24"/>
        <v>18604842.7049952</v>
      </c>
      <c r="T89" s="6">
        <f t="shared" si="25"/>
        <v>-730615.53830697597</v>
      </c>
      <c r="U89" s="6">
        <f t="shared" si="26"/>
        <v>0</v>
      </c>
      <c r="V89" s="6">
        <f t="shared" si="27"/>
        <v>0</v>
      </c>
      <c r="W89" s="6">
        <f t="shared" si="28"/>
        <v>18239856.091411591</v>
      </c>
      <c r="X89" s="6">
        <f t="shared" si="31"/>
        <v>-178026.53106724471</v>
      </c>
      <c r="Y89" s="15">
        <f t="shared" si="32"/>
        <v>9.665960779333297E-3</v>
      </c>
    </row>
    <row r="90" spans="1:25">
      <c r="A90" s="245">
        <v>43586</v>
      </c>
      <c r="B90">
        <f t="shared" si="29"/>
        <v>5</v>
      </c>
      <c r="C90">
        <f t="shared" si="30"/>
        <v>2019</v>
      </c>
      <c r="D90" s="6">
        <v>18171409.622478835</v>
      </c>
      <c r="E90">
        <v>95.2</v>
      </c>
      <c r="F90">
        <v>9.9000000000000021</v>
      </c>
      <c r="G90">
        <v>7297.7</v>
      </c>
      <c r="H90">
        <v>0</v>
      </c>
      <c r="I90">
        <v>31</v>
      </c>
      <c r="J90">
        <f>'Monthly Data'!CE90</f>
        <v>1</v>
      </c>
      <c r="K90">
        <f>'Monthly Data'!CQ90</f>
        <v>0</v>
      </c>
      <c r="L90">
        <f>'Monthly Data'!CP90</f>
        <v>0</v>
      </c>
      <c r="N90" s="6">
        <f t="shared" si="19"/>
        <v>-12141897.0683104</v>
      </c>
      <c r="O90" s="6">
        <f t="shared" si="20"/>
        <v>1078501.415871697</v>
      </c>
      <c r="P90" s="6">
        <f t="shared" si="21"/>
        <v>623885.03583029425</v>
      </c>
      <c r="Q90" s="6">
        <f t="shared" si="22"/>
        <v>10224495.003750695</v>
      </c>
      <c r="R90" s="6">
        <f t="shared" si="23"/>
        <v>0</v>
      </c>
      <c r="S90" s="6">
        <f t="shared" si="24"/>
        <v>19225004.128495038</v>
      </c>
      <c r="T90" s="6">
        <f t="shared" si="25"/>
        <v>-730615.53830697597</v>
      </c>
      <c r="U90" s="6">
        <f t="shared" si="26"/>
        <v>0</v>
      </c>
      <c r="V90" s="6">
        <f t="shared" si="27"/>
        <v>0</v>
      </c>
      <c r="W90" s="6">
        <f t="shared" si="28"/>
        <v>18279372.977330346</v>
      </c>
      <c r="X90" s="6">
        <f t="shared" si="31"/>
        <v>107963.35485151038</v>
      </c>
      <c r="Y90" s="15">
        <f t="shared" si="32"/>
        <v>5.9413857864914861E-3</v>
      </c>
    </row>
    <row r="91" spans="1:25">
      <c r="A91" s="245">
        <v>43617</v>
      </c>
      <c r="B91">
        <f t="shared" si="29"/>
        <v>6</v>
      </c>
      <c r="C91">
        <f t="shared" si="30"/>
        <v>2019</v>
      </c>
      <c r="D91" s="6">
        <v>20767283.622478835</v>
      </c>
      <c r="E91">
        <v>9.3000000000000007</v>
      </c>
      <c r="F91">
        <v>62.7</v>
      </c>
      <c r="G91">
        <v>7398.9</v>
      </c>
      <c r="H91">
        <v>0</v>
      </c>
      <c r="I91">
        <v>30</v>
      </c>
      <c r="J91">
        <f>'Monthly Data'!CE91</f>
        <v>0</v>
      </c>
      <c r="K91">
        <f>'Monthly Data'!CQ91</f>
        <v>0</v>
      </c>
      <c r="L91">
        <f>'Monthly Data'!CP91</f>
        <v>0</v>
      </c>
      <c r="N91" s="6">
        <f t="shared" si="19"/>
        <v>-12141897.0683104</v>
      </c>
      <c r="O91" s="6">
        <f t="shared" si="20"/>
        <v>105357.80638242418</v>
      </c>
      <c r="P91" s="6">
        <f t="shared" si="21"/>
        <v>3951271.8935918631</v>
      </c>
      <c r="Q91" s="6">
        <f t="shared" si="22"/>
        <v>10366281.99066158</v>
      </c>
      <c r="R91" s="6">
        <f t="shared" si="23"/>
        <v>0</v>
      </c>
      <c r="S91" s="6">
        <f t="shared" si="24"/>
        <v>18604842.7049952</v>
      </c>
      <c r="T91" s="6">
        <f t="shared" si="25"/>
        <v>0</v>
      </c>
      <c r="U91" s="6">
        <f t="shared" si="26"/>
        <v>0</v>
      </c>
      <c r="V91" s="6">
        <f t="shared" si="27"/>
        <v>0</v>
      </c>
      <c r="W91" s="6">
        <f t="shared" si="28"/>
        <v>20885857.327320665</v>
      </c>
      <c r="X91" s="6">
        <f t="shared" si="31"/>
        <v>118573.70484182984</v>
      </c>
      <c r="Y91" s="15">
        <f t="shared" si="32"/>
        <v>5.709639594534347E-3</v>
      </c>
    </row>
    <row r="92" spans="1:25">
      <c r="A92" s="245">
        <v>43647</v>
      </c>
      <c r="B92">
        <f t="shared" si="29"/>
        <v>7</v>
      </c>
      <c r="C92">
        <f t="shared" si="30"/>
        <v>2019</v>
      </c>
      <c r="D92" s="6">
        <v>31342776.622478835</v>
      </c>
      <c r="E92">
        <v>0</v>
      </c>
      <c r="F92">
        <v>204.70000000000002</v>
      </c>
      <c r="G92">
        <v>7452.4</v>
      </c>
      <c r="H92">
        <v>0</v>
      </c>
      <c r="I92">
        <v>31</v>
      </c>
      <c r="J92">
        <f>'Monthly Data'!CE92</f>
        <v>0</v>
      </c>
      <c r="K92">
        <f>'Monthly Data'!CQ92</f>
        <v>0</v>
      </c>
      <c r="L92">
        <f>'Monthly Data'!CP92</f>
        <v>0</v>
      </c>
      <c r="N92" s="6">
        <f t="shared" si="19"/>
        <v>-12141897.0683104</v>
      </c>
      <c r="O92" s="6">
        <f t="shared" si="20"/>
        <v>0</v>
      </c>
      <c r="P92" s="6">
        <f t="shared" si="21"/>
        <v>12899925.942874871</v>
      </c>
      <c r="Q92" s="6">
        <f t="shared" si="22"/>
        <v>10441238.549947474</v>
      </c>
      <c r="R92" s="6">
        <f t="shared" si="23"/>
        <v>0</v>
      </c>
      <c r="S92" s="6">
        <f t="shared" si="24"/>
        <v>19225004.128495038</v>
      </c>
      <c r="T92" s="6">
        <f t="shared" si="25"/>
        <v>0</v>
      </c>
      <c r="U92" s="6">
        <f t="shared" si="26"/>
        <v>0</v>
      </c>
      <c r="V92" s="6">
        <f t="shared" si="27"/>
        <v>0</v>
      </c>
      <c r="W92" s="6">
        <f t="shared" si="28"/>
        <v>30424271.553006984</v>
      </c>
      <c r="X92" s="6">
        <f t="shared" si="31"/>
        <v>-918505.06947185099</v>
      </c>
      <c r="Y92" s="15">
        <f t="shared" si="32"/>
        <v>2.9305159543941143E-2</v>
      </c>
    </row>
    <row r="93" spans="1:25">
      <c r="A93" s="245">
        <v>43678</v>
      </c>
      <c r="B93">
        <f t="shared" si="29"/>
        <v>8</v>
      </c>
      <c r="C93">
        <f t="shared" si="30"/>
        <v>2019</v>
      </c>
      <c r="D93" s="6">
        <v>27700006.622478835</v>
      </c>
      <c r="E93">
        <v>0</v>
      </c>
      <c r="F93">
        <v>147.10000000000002</v>
      </c>
      <c r="G93">
        <v>7472.4</v>
      </c>
      <c r="H93">
        <v>0</v>
      </c>
      <c r="I93">
        <v>31</v>
      </c>
      <c r="J93">
        <f>'Monthly Data'!CE93</f>
        <v>0</v>
      </c>
      <c r="K93">
        <f>'Monthly Data'!CQ93</f>
        <v>0</v>
      </c>
      <c r="L93">
        <f>'Monthly Data'!CP93</f>
        <v>0</v>
      </c>
      <c r="N93" s="6">
        <f t="shared" si="19"/>
        <v>-12141897.0683104</v>
      </c>
      <c r="O93" s="6">
        <f t="shared" si="20"/>
        <v>0</v>
      </c>
      <c r="P93" s="6">
        <f t="shared" si="21"/>
        <v>9270049.370771341</v>
      </c>
      <c r="Q93" s="6">
        <f t="shared" si="22"/>
        <v>10469259.693605751</v>
      </c>
      <c r="R93" s="6">
        <f t="shared" si="23"/>
        <v>0</v>
      </c>
      <c r="S93" s="6">
        <f t="shared" si="24"/>
        <v>19225004.128495038</v>
      </c>
      <c r="T93" s="6">
        <f t="shared" si="25"/>
        <v>0</v>
      </c>
      <c r="U93" s="6">
        <f t="shared" si="26"/>
        <v>0</v>
      </c>
      <c r="V93" s="6">
        <f t="shared" si="27"/>
        <v>0</v>
      </c>
      <c r="W93" s="6">
        <f t="shared" si="28"/>
        <v>26822416.124561727</v>
      </c>
      <c r="X93" s="6">
        <f t="shared" si="31"/>
        <v>-877590.49791710824</v>
      </c>
      <c r="Y93" s="15">
        <f t="shared" si="32"/>
        <v>3.1681959859350163E-2</v>
      </c>
    </row>
    <row r="94" spans="1:25">
      <c r="A94" s="245">
        <v>43709</v>
      </c>
      <c r="B94">
        <f t="shared" si="29"/>
        <v>9</v>
      </c>
      <c r="C94">
        <f t="shared" si="30"/>
        <v>2019</v>
      </c>
      <c r="D94" s="6">
        <v>21219806.622478835</v>
      </c>
      <c r="E94">
        <v>0.59999999999999964</v>
      </c>
      <c r="F94">
        <v>75.799999999999983</v>
      </c>
      <c r="G94">
        <v>7464.3</v>
      </c>
      <c r="H94">
        <v>0</v>
      </c>
      <c r="I94">
        <v>30</v>
      </c>
      <c r="J94">
        <f>'Monthly Data'!CE94</f>
        <v>1</v>
      </c>
      <c r="K94">
        <f>'Monthly Data'!CQ94</f>
        <v>0</v>
      </c>
      <c r="L94">
        <f>'Monthly Data'!CP94</f>
        <v>0</v>
      </c>
      <c r="N94" s="6">
        <f t="shared" si="19"/>
        <v>-12141897.0683104</v>
      </c>
      <c r="O94" s="6">
        <f t="shared" si="20"/>
        <v>6797.2778311241364</v>
      </c>
      <c r="P94" s="6">
        <f t="shared" si="21"/>
        <v>4776816.7389834635</v>
      </c>
      <c r="Q94" s="6">
        <f t="shared" si="22"/>
        <v>10457911.130424149</v>
      </c>
      <c r="R94" s="6">
        <f t="shared" si="23"/>
        <v>0</v>
      </c>
      <c r="S94" s="6">
        <f t="shared" si="24"/>
        <v>18604842.7049952</v>
      </c>
      <c r="T94" s="6">
        <f t="shared" si="25"/>
        <v>-730615.53830697597</v>
      </c>
      <c r="U94" s="6">
        <f t="shared" si="26"/>
        <v>0</v>
      </c>
      <c r="V94" s="6">
        <f t="shared" si="27"/>
        <v>0</v>
      </c>
      <c r="W94" s="6">
        <f t="shared" si="28"/>
        <v>20973855.245616559</v>
      </c>
      <c r="X94" s="6">
        <f t="shared" si="31"/>
        <v>-245951.37686227635</v>
      </c>
      <c r="Y94" s="15">
        <f t="shared" si="32"/>
        <v>1.1590651189145712E-2</v>
      </c>
    </row>
    <row r="95" spans="1:25">
      <c r="A95" s="245">
        <v>43739</v>
      </c>
      <c r="B95">
        <f t="shared" si="29"/>
        <v>10</v>
      </c>
      <c r="C95">
        <f t="shared" si="30"/>
        <v>2019</v>
      </c>
      <c r="D95" s="6">
        <v>18904138.622478835</v>
      </c>
      <c r="E95">
        <v>118.5</v>
      </c>
      <c r="F95">
        <v>6.5</v>
      </c>
      <c r="G95">
        <v>7466.9</v>
      </c>
      <c r="H95">
        <v>0</v>
      </c>
      <c r="I95">
        <v>31</v>
      </c>
      <c r="J95">
        <f>'Monthly Data'!CE95</f>
        <v>1</v>
      </c>
      <c r="K95">
        <f>'Monthly Data'!CQ95</f>
        <v>0</v>
      </c>
      <c r="L95">
        <f>'Monthly Data'!CP95</f>
        <v>0</v>
      </c>
      <c r="N95" s="6">
        <f t="shared" si="19"/>
        <v>-12141897.0683104</v>
      </c>
      <c r="O95" s="6">
        <f t="shared" si="20"/>
        <v>1342462.3716470178</v>
      </c>
      <c r="P95" s="6">
        <f t="shared" si="21"/>
        <v>409621.48817140522</v>
      </c>
      <c r="Q95" s="6">
        <f t="shared" si="22"/>
        <v>10461553.879099725</v>
      </c>
      <c r="R95" s="6">
        <f t="shared" si="23"/>
        <v>0</v>
      </c>
      <c r="S95" s="6">
        <f t="shared" si="24"/>
        <v>19225004.128495038</v>
      </c>
      <c r="T95" s="6">
        <f t="shared" si="25"/>
        <v>-730615.53830697597</v>
      </c>
      <c r="U95" s="6">
        <f t="shared" si="26"/>
        <v>0</v>
      </c>
      <c r="V95" s="6">
        <f t="shared" si="27"/>
        <v>0</v>
      </c>
      <c r="W95" s="6">
        <f t="shared" si="28"/>
        <v>18566129.260795806</v>
      </c>
      <c r="X95" s="6">
        <f t="shared" si="31"/>
        <v>-338009.36168302968</v>
      </c>
      <c r="Y95" s="15">
        <f t="shared" si="32"/>
        <v>1.7880177903536115E-2</v>
      </c>
    </row>
    <row r="96" spans="1:25">
      <c r="A96" s="245">
        <v>43770</v>
      </c>
      <c r="B96">
        <f t="shared" si="29"/>
        <v>11</v>
      </c>
      <c r="C96">
        <f t="shared" si="30"/>
        <v>2019</v>
      </c>
      <c r="D96" s="6">
        <v>20808997.622478835</v>
      </c>
      <c r="E96">
        <v>383</v>
      </c>
      <c r="F96">
        <v>0</v>
      </c>
      <c r="G96">
        <v>7455</v>
      </c>
      <c r="H96">
        <v>0</v>
      </c>
      <c r="I96">
        <v>30</v>
      </c>
      <c r="J96">
        <f>'Monthly Data'!CE96</f>
        <v>0</v>
      </c>
      <c r="K96">
        <f>'Monthly Data'!CQ96</f>
        <v>0</v>
      </c>
      <c r="L96">
        <f>'Monthly Data'!CP96</f>
        <v>0</v>
      </c>
      <c r="N96" s="6">
        <f t="shared" si="19"/>
        <v>-12141897.0683104</v>
      </c>
      <c r="O96" s="6">
        <f t="shared" si="20"/>
        <v>4338929.0155342426</v>
      </c>
      <c r="P96" s="6">
        <f t="shared" si="21"/>
        <v>0</v>
      </c>
      <c r="Q96" s="6">
        <f t="shared" si="22"/>
        <v>10444881.29862305</v>
      </c>
      <c r="R96" s="6">
        <f t="shared" si="23"/>
        <v>0</v>
      </c>
      <c r="S96" s="6">
        <f t="shared" si="24"/>
        <v>18604842.7049952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21246755.95084209</v>
      </c>
      <c r="X96" s="6">
        <f t="shared" si="31"/>
        <v>437758.32836325467</v>
      </c>
      <c r="Y96" s="15">
        <f t="shared" si="32"/>
        <v>2.1036973347066369E-2</v>
      </c>
    </row>
    <row r="97" spans="1:25">
      <c r="A97" s="245">
        <v>43800</v>
      </c>
      <c r="B97">
        <f t="shared" si="29"/>
        <v>12</v>
      </c>
      <c r="C97">
        <f t="shared" si="30"/>
        <v>2019</v>
      </c>
      <c r="D97" s="6">
        <v>22994714.622478835</v>
      </c>
      <c r="E97">
        <v>409.1</v>
      </c>
      <c r="F97">
        <v>0</v>
      </c>
      <c r="G97">
        <v>7459.6</v>
      </c>
      <c r="H97">
        <v>1</v>
      </c>
      <c r="I97">
        <v>31</v>
      </c>
      <c r="J97">
        <f>'Monthly Data'!CE97</f>
        <v>0</v>
      </c>
      <c r="K97">
        <f>'Monthly Data'!CQ97</f>
        <v>0</v>
      </c>
      <c r="L97">
        <f>'Monthly Data'!CP97</f>
        <v>0</v>
      </c>
      <c r="N97" s="6">
        <f t="shared" si="19"/>
        <v>-12141897.0683104</v>
      </c>
      <c r="O97" s="6">
        <f t="shared" si="20"/>
        <v>4634610.6011881437</v>
      </c>
      <c r="P97" s="6">
        <f t="shared" si="21"/>
        <v>0</v>
      </c>
      <c r="Q97" s="6">
        <f t="shared" si="22"/>
        <v>10451326.161664454</v>
      </c>
      <c r="R97" s="6">
        <f t="shared" si="23"/>
        <v>695677.72202584799</v>
      </c>
      <c r="S97" s="6">
        <f t="shared" si="24"/>
        <v>19225004.128495038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22864721.545063082</v>
      </c>
      <c r="X97" s="6">
        <f t="shared" si="31"/>
        <v>-129993.07741575316</v>
      </c>
      <c r="Y97" s="15">
        <f t="shared" si="32"/>
        <v>5.6531720245258637E-3</v>
      </c>
    </row>
    <row r="98" spans="1:25">
      <c r="A98" s="245">
        <v>43831</v>
      </c>
      <c r="B98">
        <f t="shared" ref="B98:B121" si="33">MONTH(A98)</f>
        <v>1</v>
      </c>
      <c r="C98">
        <f t="shared" ref="C98:C121" si="34">YEAR(A98)</f>
        <v>2020</v>
      </c>
      <c r="D98" s="6">
        <v>22586037.165346839</v>
      </c>
      <c r="E98">
        <v>436.29999999999995</v>
      </c>
      <c r="F98">
        <v>0</v>
      </c>
      <c r="G98">
        <v>7437.3</v>
      </c>
      <c r="H98">
        <v>0</v>
      </c>
      <c r="I98">
        <v>31</v>
      </c>
      <c r="J98">
        <f>'Monthly Data'!CE98</f>
        <v>0</v>
      </c>
      <c r="K98">
        <f>'Monthly Data'!CQ98</f>
        <v>0</v>
      </c>
      <c r="L98">
        <f>'Monthly Data'!CP98</f>
        <v>0</v>
      </c>
      <c r="N98" s="6">
        <f t="shared" si="19"/>
        <v>-12141897.0683104</v>
      </c>
      <c r="O98" s="6">
        <f t="shared" si="20"/>
        <v>4942753.8628657702</v>
      </c>
      <c r="P98" s="6">
        <f t="shared" si="21"/>
        <v>0</v>
      </c>
      <c r="Q98" s="6">
        <f t="shared" si="22"/>
        <v>10420082.586485475</v>
      </c>
      <c r="R98" s="6">
        <f t="shared" si="23"/>
        <v>0</v>
      </c>
      <c r="S98" s="6">
        <f t="shared" si="24"/>
        <v>19225004.128495038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22445943.509535883</v>
      </c>
      <c r="X98" s="6">
        <f t="shared" ref="X98:X121" si="35">W98-D98</f>
        <v>-140093.65581095591</v>
      </c>
      <c r="Y98" s="15">
        <f t="shared" ref="Y98:Y121" si="36">ABS(W98-D98)/D98</f>
        <v>6.2026664875013101E-3</v>
      </c>
    </row>
    <row r="99" spans="1:25">
      <c r="A99" s="245">
        <v>43862</v>
      </c>
      <c r="B99">
        <f t="shared" si="33"/>
        <v>2</v>
      </c>
      <c r="C99">
        <f t="shared" si="34"/>
        <v>2020</v>
      </c>
      <c r="D99" s="6">
        <v>21191611.165346839</v>
      </c>
      <c r="E99">
        <v>468.4</v>
      </c>
      <c r="F99">
        <v>0</v>
      </c>
      <c r="G99">
        <v>7414.9</v>
      </c>
      <c r="H99">
        <v>0</v>
      </c>
      <c r="I99">
        <v>29</v>
      </c>
      <c r="J99">
        <f>'Monthly Data'!CE99</f>
        <v>0</v>
      </c>
      <c r="K99">
        <f>'Monthly Data'!CQ99</f>
        <v>0</v>
      </c>
      <c r="L99">
        <f>'Monthly Data'!CP99</f>
        <v>0</v>
      </c>
      <c r="N99" s="6">
        <f t="shared" si="19"/>
        <v>-12141897.0683104</v>
      </c>
      <c r="O99" s="6">
        <f t="shared" si="20"/>
        <v>5306408.2268309118</v>
      </c>
      <c r="P99" s="6">
        <f t="shared" si="21"/>
        <v>0</v>
      </c>
      <c r="Q99" s="6">
        <f t="shared" si="22"/>
        <v>10388698.905588202</v>
      </c>
      <c r="R99" s="6">
        <f t="shared" si="23"/>
        <v>0</v>
      </c>
      <c r="S99" s="6">
        <f t="shared" si="24"/>
        <v>17984681.281495359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21537891.345604073</v>
      </c>
      <c r="X99" s="6">
        <f t="shared" si="35"/>
        <v>346280.18025723472</v>
      </c>
      <c r="Y99" s="15">
        <f t="shared" si="36"/>
        <v>1.6340436673521197E-2</v>
      </c>
    </row>
    <row r="100" spans="1:25">
      <c r="A100" s="245">
        <v>43891</v>
      </c>
      <c r="B100">
        <f t="shared" si="33"/>
        <v>3</v>
      </c>
      <c r="C100">
        <f t="shared" si="34"/>
        <v>2020</v>
      </c>
      <c r="D100" s="6">
        <v>21271519.165346839</v>
      </c>
      <c r="E100">
        <v>331.70000000000005</v>
      </c>
      <c r="F100">
        <v>0</v>
      </c>
      <c r="G100">
        <v>7246.6</v>
      </c>
      <c r="H100">
        <v>0</v>
      </c>
      <c r="I100">
        <v>31</v>
      </c>
      <c r="J100">
        <f>'Monthly Data'!CE100</f>
        <v>1</v>
      </c>
      <c r="K100">
        <f>'Monthly Data'!CQ100</f>
        <v>331.70000000000005</v>
      </c>
      <c r="L100">
        <f>'Monthly Data'!CP100</f>
        <v>0</v>
      </c>
      <c r="N100" s="6">
        <f t="shared" si="19"/>
        <v>-12141897.0683104</v>
      </c>
      <c r="O100" s="6">
        <f t="shared" si="20"/>
        <v>3757761.7609731294</v>
      </c>
      <c r="P100" s="6">
        <f t="shared" si="21"/>
        <v>0</v>
      </c>
      <c r="Q100" s="6">
        <f t="shared" si="22"/>
        <v>10152900.981703795</v>
      </c>
      <c r="R100" s="6">
        <f t="shared" si="23"/>
        <v>0</v>
      </c>
      <c r="S100" s="6">
        <f t="shared" si="24"/>
        <v>19225004.128495038</v>
      </c>
      <c r="T100" s="6">
        <f t="shared" si="25"/>
        <v>-730615.53830697597</v>
      </c>
      <c r="U100" s="6">
        <f t="shared" si="26"/>
        <v>1210924.5617375437</v>
      </c>
      <c r="V100" s="6">
        <f t="shared" si="27"/>
        <v>0</v>
      </c>
      <c r="W100" s="6">
        <f t="shared" si="28"/>
        <v>21474078.826292131</v>
      </c>
      <c r="X100" s="6">
        <f t="shared" si="35"/>
        <v>202559.66094529256</v>
      </c>
      <c r="Y100" s="15">
        <f t="shared" si="36"/>
        <v>9.5225761437518729E-3</v>
      </c>
    </row>
    <row r="101" spans="1:25">
      <c r="A101" s="245">
        <v>43922</v>
      </c>
      <c r="B101">
        <f t="shared" si="33"/>
        <v>4</v>
      </c>
      <c r="C101">
        <f t="shared" si="34"/>
        <v>2020</v>
      </c>
      <c r="D101" s="6">
        <v>20194288.165346839</v>
      </c>
      <c r="E101">
        <v>257.10000000000008</v>
      </c>
      <c r="F101">
        <v>0</v>
      </c>
      <c r="G101">
        <v>6905.7</v>
      </c>
      <c r="H101">
        <v>0</v>
      </c>
      <c r="I101">
        <v>30</v>
      </c>
      <c r="J101">
        <f>'Monthly Data'!CE101</f>
        <v>1</v>
      </c>
      <c r="K101">
        <f>'Monthly Data'!CQ101</f>
        <v>257.10000000000008</v>
      </c>
      <c r="L101">
        <f>'Monthly Data'!CP101</f>
        <v>0</v>
      </c>
      <c r="N101" s="6">
        <f t="shared" si="19"/>
        <v>-12141897.0683104</v>
      </c>
      <c r="O101" s="6">
        <f t="shared" si="20"/>
        <v>2912633.5506366952</v>
      </c>
      <c r="P101" s="6">
        <f t="shared" si="21"/>
        <v>0</v>
      </c>
      <c r="Q101" s="6">
        <f t="shared" si="22"/>
        <v>9675280.5880484506</v>
      </c>
      <c r="R101" s="6">
        <f t="shared" si="23"/>
        <v>0</v>
      </c>
      <c r="S101" s="6">
        <f t="shared" si="24"/>
        <v>18604842.7049952</v>
      </c>
      <c r="T101" s="6">
        <f t="shared" si="25"/>
        <v>-730615.53830697597</v>
      </c>
      <c r="U101" s="6">
        <f t="shared" si="26"/>
        <v>938585.18185927812</v>
      </c>
      <c r="V101" s="6">
        <f t="shared" si="27"/>
        <v>0</v>
      </c>
      <c r="W101" s="6">
        <f t="shared" si="28"/>
        <v>19258829.418922246</v>
      </c>
      <c r="X101" s="6">
        <f t="shared" si="35"/>
        <v>-935458.74642459303</v>
      </c>
      <c r="Y101" s="15">
        <f t="shared" si="36"/>
        <v>4.6322937395229871E-2</v>
      </c>
    </row>
    <row r="102" spans="1:25">
      <c r="A102" s="245">
        <v>43952</v>
      </c>
      <c r="B102">
        <f t="shared" si="33"/>
        <v>5</v>
      </c>
      <c r="C102">
        <f t="shared" si="34"/>
        <v>2020</v>
      </c>
      <c r="D102" s="6">
        <v>22093692.165346839</v>
      </c>
      <c r="E102">
        <v>121.30000000000003</v>
      </c>
      <c r="F102">
        <v>42.5</v>
      </c>
      <c r="G102">
        <v>6577.9</v>
      </c>
      <c r="H102">
        <v>0</v>
      </c>
      <c r="I102">
        <v>31</v>
      </c>
      <c r="J102">
        <f>'Monthly Data'!CE102</f>
        <v>1</v>
      </c>
      <c r="K102">
        <f>'Monthly Data'!CQ102</f>
        <v>121.30000000000003</v>
      </c>
      <c r="L102">
        <f>'Monthly Data'!CP102</f>
        <v>42.5</v>
      </c>
      <c r="N102" s="6">
        <f t="shared" si="19"/>
        <v>-12141897.0683104</v>
      </c>
      <c r="O102" s="6">
        <f t="shared" si="20"/>
        <v>1374183.0015255974</v>
      </c>
      <c r="P102" s="6">
        <f t="shared" si="21"/>
        <v>2678294.345736111</v>
      </c>
      <c r="Q102" s="6">
        <f t="shared" si="22"/>
        <v>9216014.0434892774</v>
      </c>
      <c r="R102" s="6">
        <f t="shared" si="23"/>
        <v>0</v>
      </c>
      <c r="S102" s="6">
        <f t="shared" si="24"/>
        <v>19225004.128495038</v>
      </c>
      <c r="T102" s="6">
        <f t="shared" si="25"/>
        <v>-730615.53830697597</v>
      </c>
      <c r="U102" s="6">
        <f t="shared" si="26"/>
        <v>442825.29194683168</v>
      </c>
      <c r="V102" s="6">
        <f t="shared" si="27"/>
        <v>1052858.4158976006</v>
      </c>
      <c r="W102" s="6">
        <f t="shared" si="28"/>
        <v>21116666.620473079</v>
      </c>
      <c r="X102" s="6">
        <f t="shared" si="35"/>
        <v>-977025.54487375915</v>
      </c>
      <c r="Y102" s="15">
        <f t="shared" si="36"/>
        <v>4.4221922599527688E-2</v>
      </c>
    </row>
    <row r="103" spans="1:25">
      <c r="A103" s="245">
        <v>43983</v>
      </c>
      <c r="B103">
        <f t="shared" si="33"/>
        <v>6</v>
      </c>
      <c r="C103">
        <f t="shared" si="34"/>
        <v>2020</v>
      </c>
      <c r="D103" s="6">
        <v>26755921.165346839</v>
      </c>
      <c r="E103">
        <v>6.7999999999999989</v>
      </c>
      <c r="F103">
        <v>111.00000000000001</v>
      </c>
      <c r="G103">
        <v>6533.5</v>
      </c>
      <c r="H103">
        <v>0</v>
      </c>
      <c r="I103">
        <v>30</v>
      </c>
      <c r="J103">
        <f>'Monthly Data'!CE103</f>
        <v>0</v>
      </c>
      <c r="K103">
        <f>'Monthly Data'!CQ103</f>
        <v>6.7999999999999989</v>
      </c>
      <c r="L103">
        <f>'Monthly Data'!CP103</f>
        <v>111.00000000000001</v>
      </c>
      <c r="N103" s="6">
        <f t="shared" si="19"/>
        <v>-12141897.0683104</v>
      </c>
      <c r="O103" s="6">
        <f t="shared" si="20"/>
        <v>77035.815419406907</v>
      </c>
      <c r="P103" s="6">
        <f t="shared" si="21"/>
        <v>6995074.6441578446</v>
      </c>
      <c r="Q103" s="6">
        <f t="shared" si="22"/>
        <v>9153807.1045679003</v>
      </c>
      <c r="R103" s="6">
        <f t="shared" si="23"/>
        <v>0</v>
      </c>
      <c r="S103" s="6">
        <f t="shared" si="24"/>
        <v>18604842.7049952</v>
      </c>
      <c r="T103" s="6">
        <f t="shared" si="25"/>
        <v>0</v>
      </c>
      <c r="U103" s="6">
        <f t="shared" si="26"/>
        <v>24824.501114908941</v>
      </c>
      <c r="V103" s="6">
        <f t="shared" si="27"/>
        <v>2749818.4509325572</v>
      </c>
      <c r="W103" s="6">
        <f t="shared" si="28"/>
        <v>25463506.15287742</v>
      </c>
      <c r="X103" s="6">
        <f t="shared" si="35"/>
        <v>-1292415.0124694183</v>
      </c>
      <c r="Y103" s="15">
        <f t="shared" si="36"/>
        <v>4.830388774441826E-2</v>
      </c>
    </row>
    <row r="104" spans="1:25">
      <c r="A104" s="245">
        <v>44013</v>
      </c>
      <c r="B104">
        <f t="shared" si="33"/>
        <v>7</v>
      </c>
      <c r="C104">
        <f t="shared" si="34"/>
        <v>2020</v>
      </c>
      <c r="D104" s="6">
        <v>35902228.165346839</v>
      </c>
      <c r="E104">
        <v>0</v>
      </c>
      <c r="F104">
        <v>221.09999999999994</v>
      </c>
      <c r="G104">
        <v>6731.6</v>
      </c>
      <c r="H104">
        <v>0</v>
      </c>
      <c r="I104">
        <v>31</v>
      </c>
      <c r="J104">
        <f>'Monthly Data'!CE104</f>
        <v>0</v>
      </c>
      <c r="K104">
        <f>'Monthly Data'!CQ104</f>
        <v>0</v>
      </c>
      <c r="L104">
        <f>'Monthly Data'!CP104</f>
        <v>221.09999999999994</v>
      </c>
      <c r="N104" s="6">
        <f t="shared" si="19"/>
        <v>-12141897.0683104</v>
      </c>
      <c r="O104" s="6">
        <f t="shared" si="20"/>
        <v>0</v>
      </c>
      <c r="P104" s="6">
        <f t="shared" si="21"/>
        <v>13933432.466876565</v>
      </c>
      <c r="Q104" s="6">
        <f t="shared" si="22"/>
        <v>9431356.532503143</v>
      </c>
      <c r="R104" s="6">
        <f t="shared" si="23"/>
        <v>0</v>
      </c>
      <c r="S104" s="6">
        <f t="shared" si="24"/>
        <v>19225004.128495038</v>
      </c>
      <c r="T104" s="6">
        <f t="shared" si="25"/>
        <v>0</v>
      </c>
      <c r="U104" s="6">
        <f t="shared" si="26"/>
        <v>0</v>
      </c>
      <c r="V104" s="6">
        <f t="shared" si="27"/>
        <v>5477341.0765872803</v>
      </c>
      <c r="W104" s="6">
        <f t="shared" si="28"/>
        <v>35925237.136151627</v>
      </c>
      <c r="X104" s="6">
        <f t="shared" si="35"/>
        <v>23008.970804788172</v>
      </c>
      <c r="Y104" s="15">
        <f t="shared" si="36"/>
        <v>6.408786301179113E-4</v>
      </c>
    </row>
    <row r="105" spans="1:25">
      <c r="A105" s="245">
        <v>44044</v>
      </c>
      <c r="B105">
        <f t="shared" si="33"/>
        <v>8</v>
      </c>
      <c r="C105">
        <f t="shared" si="34"/>
        <v>2020</v>
      </c>
      <c r="D105" s="6">
        <v>30894493.165346839</v>
      </c>
      <c r="E105">
        <v>0</v>
      </c>
      <c r="F105">
        <v>149</v>
      </c>
      <c r="G105">
        <v>6953.8</v>
      </c>
      <c r="H105">
        <v>0</v>
      </c>
      <c r="I105">
        <v>31</v>
      </c>
      <c r="J105">
        <f>'Monthly Data'!CE105</f>
        <v>0</v>
      </c>
      <c r="K105">
        <f>'Monthly Data'!CQ105</f>
        <v>0</v>
      </c>
      <c r="L105">
        <f>'Monthly Data'!CP105</f>
        <v>149</v>
      </c>
      <c r="N105" s="6">
        <f t="shared" si="19"/>
        <v>-12141897.0683104</v>
      </c>
      <c r="O105" s="6">
        <f t="shared" si="20"/>
        <v>0</v>
      </c>
      <c r="P105" s="6">
        <f t="shared" si="21"/>
        <v>9389784.8826983664</v>
      </c>
      <c r="Q105" s="6">
        <f t="shared" si="22"/>
        <v>9742671.4385466091</v>
      </c>
      <c r="R105" s="6">
        <f t="shared" si="23"/>
        <v>0</v>
      </c>
      <c r="S105" s="6">
        <f t="shared" si="24"/>
        <v>19225004.128495038</v>
      </c>
      <c r="T105" s="6">
        <f t="shared" si="25"/>
        <v>0</v>
      </c>
      <c r="U105" s="6">
        <f t="shared" si="26"/>
        <v>0</v>
      </c>
      <c r="V105" s="6">
        <f t="shared" si="27"/>
        <v>3691197.7404409996</v>
      </c>
      <c r="W105" s="6">
        <f t="shared" si="28"/>
        <v>29906761.121870611</v>
      </c>
      <c r="X105" s="6">
        <f t="shared" si="35"/>
        <v>-987732.04347622767</v>
      </c>
      <c r="Y105" s="15">
        <f t="shared" si="36"/>
        <v>3.1971136027055091E-2</v>
      </c>
    </row>
    <row r="106" spans="1:25">
      <c r="A106" s="245">
        <v>44075</v>
      </c>
      <c r="B106">
        <f t="shared" si="33"/>
        <v>9</v>
      </c>
      <c r="C106">
        <f t="shared" si="34"/>
        <v>2020</v>
      </c>
      <c r="D106" s="6">
        <v>21056188.165346839</v>
      </c>
      <c r="E106">
        <v>21.7</v>
      </c>
      <c r="F106">
        <v>45.5</v>
      </c>
      <c r="G106">
        <v>7070.2</v>
      </c>
      <c r="H106">
        <v>0</v>
      </c>
      <c r="I106">
        <v>30</v>
      </c>
      <c r="J106">
        <f>'Monthly Data'!CE106</f>
        <v>1</v>
      </c>
      <c r="K106">
        <f>'Monthly Data'!CQ106</f>
        <v>21.7</v>
      </c>
      <c r="L106">
        <f>'Monthly Data'!CP106</f>
        <v>45.5</v>
      </c>
      <c r="N106" s="6">
        <f t="shared" si="19"/>
        <v>-12141897.0683104</v>
      </c>
      <c r="O106" s="6">
        <f t="shared" si="20"/>
        <v>245834.88155898973</v>
      </c>
      <c r="P106" s="6">
        <f t="shared" si="21"/>
        <v>2867350.4171998366</v>
      </c>
      <c r="Q106" s="6">
        <f t="shared" si="22"/>
        <v>9905754.4946377855</v>
      </c>
      <c r="R106" s="6">
        <f t="shared" si="23"/>
        <v>0</v>
      </c>
      <c r="S106" s="6">
        <f t="shared" si="24"/>
        <v>18604842.7049952</v>
      </c>
      <c r="T106" s="6">
        <f t="shared" si="25"/>
        <v>-730615.53830697597</v>
      </c>
      <c r="U106" s="6">
        <f t="shared" si="26"/>
        <v>79219.363851988834</v>
      </c>
      <c r="V106" s="6">
        <f t="shared" si="27"/>
        <v>1127177.8334903724</v>
      </c>
      <c r="W106" s="6">
        <f t="shared" si="28"/>
        <v>19957667.089116797</v>
      </c>
      <c r="X106" s="6">
        <f t="shared" si="35"/>
        <v>-1098521.0762300417</v>
      </c>
      <c r="Y106" s="15">
        <f t="shared" si="36"/>
        <v>5.2170937474710147E-2</v>
      </c>
    </row>
    <row r="107" spans="1:25">
      <c r="A107" s="245">
        <v>44105</v>
      </c>
      <c r="B107">
        <f t="shared" si="33"/>
        <v>10</v>
      </c>
      <c r="C107">
        <f t="shared" si="34"/>
        <v>2020</v>
      </c>
      <c r="D107" s="6">
        <v>19613548.165346839</v>
      </c>
      <c r="E107">
        <v>139.79999999999998</v>
      </c>
      <c r="F107">
        <v>0.60000000000000142</v>
      </c>
      <c r="G107">
        <v>7157.8</v>
      </c>
      <c r="H107">
        <v>0</v>
      </c>
      <c r="I107">
        <v>31</v>
      </c>
      <c r="J107">
        <f>'Monthly Data'!CE107</f>
        <v>1</v>
      </c>
      <c r="K107">
        <f>'Monthly Data'!CQ107</f>
        <v>139.79999999999998</v>
      </c>
      <c r="L107">
        <f>'Monthly Data'!CP107</f>
        <v>0.60000000000000142</v>
      </c>
      <c r="N107" s="6">
        <f t="shared" si="19"/>
        <v>-12141897.0683104</v>
      </c>
      <c r="O107" s="6">
        <f t="shared" si="20"/>
        <v>1583765.7346519246</v>
      </c>
      <c r="P107" s="6">
        <f t="shared" si="21"/>
        <v>37811.214292745186</v>
      </c>
      <c r="Q107" s="6">
        <f t="shared" si="22"/>
        <v>10028487.103861043</v>
      </c>
      <c r="R107" s="6">
        <f t="shared" si="23"/>
        <v>0</v>
      </c>
      <c r="S107" s="6">
        <f t="shared" si="24"/>
        <v>19225004.128495038</v>
      </c>
      <c r="T107" s="6">
        <f t="shared" si="25"/>
        <v>-730615.53830697597</v>
      </c>
      <c r="U107" s="6">
        <f t="shared" si="26"/>
        <v>510362.5376270985</v>
      </c>
      <c r="V107" s="6">
        <f t="shared" si="27"/>
        <v>14863.883518554396</v>
      </c>
      <c r="W107" s="6">
        <f t="shared" si="28"/>
        <v>18527781.995829023</v>
      </c>
      <c r="X107" s="6">
        <f t="shared" si="35"/>
        <v>-1085766.1695178151</v>
      </c>
      <c r="Y107" s="15">
        <f t="shared" si="36"/>
        <v>5.5357967888550817E-2</v>
      </c>
    </row>
    <row r="108" spans="1:25">
      <c r="A108" s="245">
        <v>44136</v>
      </c>
      <c r="B108">
        <f t="shared" si="33"/>
        <v>11</v>
      </c>
      <c r="C108">
        <f t="shared" si="34"/>
        <v>2020</v>
      </c>
      <c r="D108" s="6">
        <v>20096630.165346839</v>
      </c>
      <c r="E108">
        <v>213.70000000000002</v>
      </c>
      <c r="F108">
        <v>3.4000000000000021</v>
      </c>
      <c r="G108">
        <v>7216.9</v>
      </c>
      <c r="H108">
        <v>0</v>
      </c>
      <c r="I108">
        <v>30</v>
      </c>
      <c r="J108">
        <f>'Monthly Data'!CE108</f>
        <v>0</v>
      </c>
      <c r="K108">
        <f>'Monthly Data'!CQ108</f>
        <v>213.70000000000002</v>
      </c>
      <c r="L108">
        <f>'Monthly Data'!CP108</f>
        <v>3.4000000000000021</v>
      </c>
      <c r="N108" s="6">
        <f t="shared" si="19"/>
        <v>-12141897.0683104</v>
      </c>
      <c r="O108" s="6">
        <f t="shared" si="20"/>
        <v>2420963.787518715</v>
      </c>
      <c r="P108" s="6">
        <f t="shared" si="21"/>
        <v>214263.54765888903</v>
      </c>
      <c r="Q108" s="6">
        <f t="shared" si="22"/>
        <v>10111289.583371254</v>
      </c>
      <c r="R108" s="6">
        <f t="shared" si="23"/>
        <v>0</v>
      </c>
      <c r="S108" s="6">
        <f t="shared" si="24"/>
        <v>18604842.7049952</v>
      </c>
      <c r="T108" s="6">
        <f t="shared" si="25"/>
        <v>0</v>
      </c>
      <c r="U108" s="6">
        <f t="shared" si="26"/>
        <v>780146.45415530028</v>
      </c>
      <c r="V108" s="6">
        <f t="shared" si="27"/>
        <v>84228.673271808089</v>
      </c>
      <c r="W108" s="6">
        <f t="shared" si="28"/>
        <v>20073837.682660766</v>
      </c>
      <c r="X108" s="6">
        <f t="shared" si="35"/>
        <v>-22792.482686072588</v>
      </c>
      <c r="Y108" s="15">
        <f t="shared" si="36"/>
        <v>1.1341445057477487E-3</v>
      </c>
    </row>
    <row r="109" spans="1:25">
      <c r="A109" s="245">
        <v>44166</v>
      </c>
      <c r="B109">
        <f t="shared" si="33"/>
        <v>12</v>
      </c>
      <c r="C109">
        <f t="shared" si="34"/>
        <v>2020</v>
      </c>
      <c r="D109" s="6">
        <v>24485595.165346839</v>
      </c>
      <c r="E109">
        <v>421.4</v>
      </c>
      <c r="F109">
        <v>0</v>
      </c>
      <c r="G109">
        <v>7236.4</v>
      </c>
      <c r="H109">
        <v>1</v>
      </c>
      <c r="I109">
        <v>31</v>
      </c>
      <c r="J109">
        <f>'Monthly Data'!CE109</f>
        <v>0</v>
      </c>
      <c r="K109">
        <f>'Monthly Data'!CQ109</f>
        <v>421.4</v>
      </c>
      <c r="L109">
        <f>'Monthly Data'!CP109</f>
        <v>0</v>
      </c>
      <c r="N109" s="6">
        <f t="shared" si="19"/>
        <v>-12141897.0683104</v>
      </c>
      <c r="O109" s="6">
        <f t="shared" si="20"/>
        <v>4773954.7967261877</v>
      </c>
      <c r="P109" s="6">
        <f t="shared" si="21"/>
        <v>0</v>
      </c>
      <c r="Q109" s="6">
        <f t="shared" si="22"/>
        <v>10138610.198438074</v>
      </c>
      <c r="R109" s="6">
        <f t="shared" si="23"/>
        <v>695677.72202584799</v>
      </c>
      <c r="S109" s="6">
        <f t="shared" si="24"/>
        <v>19225004.128495038</v>
      </c>
      <c r="T109" s="6">
        <f t="shared" si="25"/>
        <v>0</v>
      </c>
      <c r="U109" s="6">
        <f t="shared" si="26"/>
        <v>1538388.9367386217</v>
      </c>
      <c r="V109" s="6">
        <f t="shared" si="27"/>
        <v>0</v>
      </c>
      <c r="W109" s="6">
        <f t="shared" si="28"/>
        <v>24229738.71411337</v>
      </c>
      <c r="X109" s="6">
        <f t="shared" si="35"/>
        <v>-255856.45123346895</v>
      </c>
      <c r="Y109" s="15">
        <f t="shared" si="36"/>
        <v>1.0449264128795569E-2</v>
      </c>
    </row>
    <row r="110" spans="1:25">
      <c r="A110" s="245">
        <v>44197</v>
      </c>
      <c r="B110">
        <f t="shared" si="33"/>
        <v>1</v>
      </c>
      <c r="C110">
        <f t="shared" si="34"/>
        <v>2021</v>
      </c>
      <c r="D110" s="6">
        <v>24559547.349920601</v>
      </c>
      <c r="E110">
        <v>493.19999999999993</v>
      </c>
      <c r="F110">
        <v>0</v>
      </c>
      <c r="G110">
        <v>7159</v>
      </c>
      <c r="H110">
        <v>0</v>
      </c>
      <c r="I110">
        <v>31</v>
      </c>
      <c r="J110">
        <f>'Monthly Data'!CE110</f>
        <v>0</v>
      </c>
      <c r="K110">
        <f>'Monthly Data'!CQ110</f>
        <v>493.19999999999993</v>
      </c>
      <c r="L110">
        <f>'Monthly Data'!CP110</f>
        <v>0</v>
      </c>
      <c r="N110" s="6">
        <f t="shared" si="19"/>
        <v>-12141897.0683104</v>
      </c>
      <c r="O110" s="6">
        <f t="shared" si="20"/>
        <v>5587362.3771840427</v>
      </c>
      <c r="P110" s="6">
        <f t="shared" si="21"/>
        <v>0</v>
      </c>
      <c r="Q110" s="6">
        <f t="shared" si="22"/>
        <v>10030168.37248054</v>
      </c>
      <c r="R110" s="6">
        <f t="shared" si="23"/>
        <v>0</v>
      </c>
      <c r="S110" s="6">
        <f t="shared" si="24"/>
        <v>19225004.128495038</v>
      </c>
      <c r="T110" s="6">
        <f t="shared" si="25"/>
        <v>0</v>
      </c>
      <c r="U110" s="6">
        <f t="shared" si="26"/>
        <v>1800506.4632166307</v>
      </c>
      <c r="V110" s="6">
        <f t="shared" si="27"/>
        <v>0</v>
      </c>
      <c r="W110" s="6">
        <f t="shared" si="28"/>
        <v>24501144.27306585</v>
      </c>
      <c r="X110" s="6">
        <f t="shared" si="35"/>
        <v>-58403.076854750514</v>
      </c>
      <c r="Y110" s="15">
        <f t="shared" si="36"/>
        <v>2.3780192697622875E-3</v>
      </c>
    </row>
    <row r="111" spans="1:25">
      <c r="A111" s="245">
        <v>44228</v>
      </c>
      <c r="B111">
        <f t="shared" si="33"/>
        <v>2</v>
      </c>
      <c r="C111">
        <f t="shared" si="34"/>
        <v>2021</v>
      </c>
      <c r="D111" s="6">
        <v>22858652.194690637</v>
      </c>
      <c r="E111">
        <v>545.5999999999998</v>
      </c>
      <c r="F111">
        <v>0</v>
      </c>
      <c r="G111">
        <v>7107.3</v>
      </c>
      <c r="H111">
        <v>0</v>
      </c>
      <c r="I111">
        <v>28</v>
      </c>
      <c r="J111">
        <f>'Monthly Data'!CE111</f>
        <v>0</v>
      </c>
      <c r="K111">
        <f>'Monthly Data'!CQ111</f>
        <v>545.5999999999998</v>
      </c>
      <c r="L111">
        <f>'Monthly Data'!CP111</f>
        <v>0</v>
      </c>
      <c r="N111" s="6">
        <f t="shared" si="19"/>
        <v>-12141897.0683104</v>
      </c>
      <c r="O111" s="6">
        <f t="shared" si="20"/>
        <v>6180991.3077688823</v>
      </c>
      <c r="P111" s="6">
        <f t="shared" si="21"/>
        <v>0</v>
      </c>
      <c r="Q111" s="6">
        <f t="shared" si="22"/>
        <v>9957733.716123892</v>
      </c>
      <c r="R111" s="6">
        <f t="shared" si="23"/>
        <v>0</v>
      </c>
      <c r="S111" s="6">
        <f t="shared" si="24"/>
        <v>17364519.857995518</v>
      </c>
      <c r="T111" s="6">
        <f t="shared" si="25"/>
        <v>0</v>
      </c>
      <c r="U111" s="6">
        <f t="shared" si="26"/>
        <v>1991801.1482785756</v>
      </c>
      <c r="V111" s="6">
        <f t="shared" si="27"/>
        <v>0</v>
      </c>
      <c r="W111" s="6">
        <f t="shared" si="28"/>
        <v>23353148.961856466</v>
      </c>
      <c r="X111" s="6">
        <f t="shared" si="35"/>
        <v>494496.7671658285</v>
      </c>
      <c r="Y111" s="15">
        <f t="shared" si="36"/>
        <v>2.1632805073287957E-2</v>
      </c>
    </row>
    <row r="112" spans="1:25">
      <c r="A112" s="245">
        <v>44256</v>
      </c>
      <c r="B112">
        <f t="shared" si="33"/>
        <v>3</v>
      </c>
      <c r="C112">
        <f t="shared" si="34"/>
        <v>2021</v>
      </c>
      <c r="D112" s="6">
        <v>21250098.411898531</v>
      </c>
      <c r="E112">
        <v>308.70000000000005</v>
      </c>
      <c r="F112">
        <v>0.19999999999999929</v>
      </c>
      <c r="G112">
        <v>7105.6</v>
      </c>
      <c r="H112">
        <v>0</v>
      </c>
      <c r="I112">
        <v>31</v>
      </c>
      <c r="J112">
        <f>'Monthly Data'!CE112</f>
        <v>1</v>
      </c>
      <c r="K112">
        <f>'Monthly Data'!CQ112</f>
        <v>308.70000000000005</v>
      </c>
      <c r="L112">
        <f>'Monthly Data'!CP112</f>
        <v>0.19999999999999929</v>
      </c>
      <c r="N112" s="6">
        <f t="shared" si="19"/>
        <v>-12141897.0683104</v>
      </c>
      <c r="O112" s="6">
        <f t="shared" si="20"/>
        <v>3497199.4441133705</v>
      </c>
      <c r="P112" s="6">
        <f t="shared" si="21"/>
        <v>12603.738097581654</v>
      </c>
      <c r="Q112" s="6">
        <f t="shared" si="22"/>
        <v>9955351.9189129379</v>
      </c>
      <c r="R112" s="6">
        <f t="shared" si="23"/>
        <v>0</v>
      </c>
      <c r="S112" s="6">
        <f t="shared" si="24"/>
        <v>19225004.128495038</v>
      </c>
      <c r="T112" s="6">
        <f t="shared" si="25"/>
        <v>-730615.53830697597</v>
      </c>
      <c r="U112" s="6">
        <f t="shared" si="26"/>
        <v>1126959.3373782928</v>
      </c>
      <c r="V112" s="6">
        <f t="shared" si="27"/>
        <v>4954.6278395181025</v>
      </c>
      <c r="W112" s="6">
        <f t="shared" si="28"/>
        <v>20949560.58821936</v>
      </c>
      <c r="X112" s="6">
        <f t="shared" si="35"/>
        <v>-300537.8236791715</v>
      </c>
      <c r="Y112" s="15">
        <f t="shared" si="36"/>
        <v>1.4142890910608295E-2</v>
      </c>
    </row>
    <row r="113" spans="1:25">
      <c r="A113" s="245">
        <v>44287</v>
      </c>
      <c r="B113">
        <f t="shared" si="33"/>
        <v>4</v>
      </c>
      <c r="C113">
        <f t="shared" si="34"/>
        <v>2021</v>
      </c>
      <c r="D113" s="6">
        <v>19327418.476259552</v>
      </c>
      <c r="E113">
        <v>174.19999999999996</v>
      </c>
      <c r="F113">
        <v>5.6000000000000014</v>
      </c>
      <c r="G113">
        <v>7163.1</v>
      </c>
      <c r="H113">
        <v>0</v>
      </c>
      <c r="I113">
        <v>30</v>
      </c>
      <c r="J113">
        <f>'Monthly Data'!CE113</f>
        <v>1</v>
      </c>
      <c r="K113">
        <f>'Monthly Data'!CQ113</f>
        <v>174.19999999999996</v>
      </c>
      <c r="L113">
        <f>'Monthly Data'!CP113</f>
        <v>5.6000000000000014</v>
      </c>
      <c r="N113" s="6">
        <f t="shared" si="19"/>
        <v>-12141897.0683104</v>
      </c>
      <c r="O113" s="6">
        <f t="shared" si="20"/>
        <v>1973476.3303030417</v>
      </c>
      <c r="P113" s="6">
        <f t="shared" si="21"/>
        <v>352904.66673228767</v>
      </c>
      <c r="Q113" s="6">
        <f t="shared" si="22"/>
        <v>10035912.706930486</v>
      </c>
      <c r="R113" s="6">
        <f t="shared" si="23"/>
        <v>0</v>
      </c>
      <c r="S113" s="6">
        <f t="shared" si="24"/>
        <v>18604842.7049952</v>
      </c>
      <c r="T113" s="6">
        <f t="shared" si="25"/>
        <v>-730615.53830697597</v>
      </c>
      <c r="U113" s="6">
        <f t="shared" si="26"/>
        <v>635945.30797310837</v>
      </c>
      <c r="V113" s="6">
        <f t="shared" si="27"/>
        <v>138729.57950650741</v>
      </c>
      <c r="W113" s="6">
        <f t="shared" si="28"/>
        <v>18869298.689823255</v>
      </c>
      <c r="X113" s="6">
        <f t="shared" si="35"/>
        <v>-458119.786436297</v>
      </c>
      <c r="Y113" s="15">
        <f t="shared" si="36"/>
        <v>2.3703102770761614E-2</v>
      </c>
    </row>
    <row r="114" spans="1:25">
      <c r="A114" s="245">
        <v>44317</v>
      </c>
      <c r="B114">
        <f t="shared" si="33"/>
        <v>5</v>
      </c>
      <c r="C114">
        <f t="shared" si="34"/>
        <v>2021</v>
      </c>
      <c r="D114" s="6">
        <v>21731149.293650523</v>
      </c>
      <c r="E114">
        <v>97</v>
      </c>
      <c r="F114">
        <v>40.6</v>
      </c>
      <c r="G114">
        <v>7211.3</v>
      </c>
      <c r="H114">
        <v>0</v>
      </c>
      <c r="I114">
        <v>31</v>
      </c>
      <c r="J114">
        <f>'Monthly Data'!CE114</f>
        <v>1</v>
      </c>
      <c r="K114">
        <f>'Monthly Data'!CQ114</f>
        <v>97</v>
      </c>
      <c r="L114">
        <f>'Monthly Data'!CP114</f>
        <v>40.6</v>
      </c>
      <c r="N114" s="6">
        <f t="shared" si="19"/>
        <v>-12141897.0683104</v>
      </c>
      <c r="O114" s="6">
        <f t="shared" si="20"/>
        <v>1098893.2493650694</v>
      </c>
      <c r="P114" s="6">
        <f t="shared" si="21"/>
        <v>2558558.8338090852</v>
      </c>
      <c r="Q114" s="6">
        <f t="shared" si="22"/>
        <v>10103443.663146935</v>
      </c>
      <c r="R114" s="6">
        <f t="shared" si="23"/>
        <v>0</v>
      </c>
      <c r="S114" s="6">
        <f t="shared" si="24"/>
        <v>19225004.128495038</v>
      </c>
      <c r="T114" s="6">
        <f t="shared" si="25"/>
        <v>-730615.53830697597</v>
      </c>
      <c r="U114" s="6">
        <f t="shared" si="26"/>
        <v>354114.20708031877</v>
      </c>
      <c r="V114" s="6">
        <f t="shared" si="27"/>
        <v>1005789.4514221784</v>
      </c>
      <c r="W114" s="6">
        <f t="shared" si="28"/>
        <v>21473290.926701244</v>
      </c>
      <c r="X114" s="6">
        <f t="shared" si="35"/>
        <v>-257858.36694927886</v>
      </c>
      <c r="Y114" s="15">
        <f t="shared" si="36"/>
        <v>1.186584121552286E-2</v>
      </c>
    </row>
    <row r="115" spans="1:25">
      <c r="A115" s="245">
        <v>44348</v>
      </c>
      <c r="B115">
        <f t="shared" si="33"/>
        <v>6</v>
      </c>
      <c r="C115">
        <f t="shared" si="34"/>
        <v>2021</v>
      </c>
      <c r="D115" s="6">
        <v>28777429.346252467</v>
      </c>
      <c r="E115">
        <v>0</v>
      </c>
      <c r="F115">
        <v>153.60000000000002</v>
      </c>
      <c r="G115">
        <v>7273.4</v>
      </c>
      <c r="H115">
        <v>0</v>
      </c>
      <c r="I115">
        <v>30</v>
      </c>
      <c r="J115">
        <f>'Monthly Data'!CE115</f>
        <v>0</v>
      </c>
      <c r="K115">
        <f>'Monthly Data'!CQ115</f>
        <v>0</v>
      </c>
      <c r="L115">
        <f>'Monthly Data'!CP115</f>
        <v>153.60000000000002</v>
      </c>
      <c r="N115" s="6">
        <f t="shared" si="19"/>
        <v>-12141897.0683104</v>
      </c>
      <c r="O115" s="6">
        <f t="shared" si="20"/>
        <v>0</v>
      </c>
      <c r="P115" s="6">
        <f t="shared" si="21"/>
        <v>9679670.8589427471</v>
      </c>
      <c r="Q115" s="6">
        <f t="shared" si="22"/>
        <v>10190449.314205887</v>
      </c>
      <c r="R115" s="6">
        <f t="shared" si="23"/>
        <v>0</v>
      </c>
      <c r="S115" s="6">
        <f t="shared" si="24"/>
        <v>18604842.7049952</v>
      </c>
      <c r="T115" s="6">
        <f t="shared" si="25"/>
        <v>0</v>
      </c>
      <c r="U115" s="6">
        <f t="shared" si="26"/>
        <v>0</v>
      </c>
      <c r="V115" s="6">
        <f t="shared" si="27"/>
        <v>3805154.1807499169</v>
      </c>
      <c r="W115" s="6">
        <f t="shared" si="28"/>
        <v>30138219.990583349</v>
      </c>
      <c r="X115" s="6">
        <f t="shared" si="35"/>
        <v>1360790.6443308815</v>
      </c>
      <c r="Y115" s="15">
        <f t="shared" si="36"/>
        <v>4.7286733917673233E-2</v>
      </c>
    </row>
    <row r="116" spans="1:25">
      <c r="A116" s="245">
        <v>44378</v>
      </c>
      <c r="B116">
        <f t="shared" si="33"/>
        <v>7</v>
      </c>
      <c r="C116">
        <f t="shared" si="34"/>
        <v>2021</v>
      </c>
      <c r="D116" s="6">
        <v>30327543.112256587</v>
      </c>
      <c r="E116">
        <v>0</v>
      </c>
      <c r="F116">
        <v>150.49999999999997</v>
      </c>
      <c r="G116">
        <v>7372.5</v>
      </c>
      <c r="H116">
        <v>0</v>
      </c>
      <c r="I116">
        <v>31</v>
      </c>
      <c r="J116">
        <f>'Monthly Data'!CE116</f>
        <v>0</v>
      </c>
      <c r="K116">
        <f>'Monthly Data'!CQ116</f>
        <v>0</v>
      </c>
      <c r="L116">
        <f>'Monthly Data'!CP116</f>
        <v>150.49999999999997</v>
      </c>
      <c r="N116" s="6">
        <f t="shared" si="19"/>
        <v>-12141897.0683104</v>
      </c>
      <c r="O116" s="6">
        <f t="shared" si="20"/>
        <v>0</v>
      </c>
      <c r="P116" s="6">
        <f t="shared" si="21"/>
        <v>9484312.9184302278</v>
      </c>
      <c r="Q116" s="6">
        <f t="shared" si="22"/>
        <v>10329294.081032654</v>
      </c>
      <c r="R116" s="6">
        <f t="shared" si="23"/>
        <v>0</v>
      </c>
      <c r="S116" s="6">
        <f t="shared" si="24"/>
        <v>19225004.128495038</v>
      </c>
      <c r="T116" s="6">
        <f t="shared" si="25"/>
        <v>0</v>
      </c>
      <c r="U116" s="6">
        <f t="shared" si="26"/>
        <v>0</v>
      </c>
      <c r="V116" s="6">
        <f t="shared" si="27"/>
        <v>3728357.4492373848</v>
      </c>
      <c r="W116" s="6">
        <f t="shared" si="28"/>
        <v>30625071.508884903</v>
      </c>
      <c r="X116" s="6">
        <f t="shared" si="35"/>
        <v>297528.39662831649</v>
      </c>
      <c r="Y116" s="15">
        <f t="shared" si="36"/>
        <v>9.8105011516107024E-3</v>
      </c>
    </row>
    <row r="117" spans="1:25">
      <c r="A117" s="245">
        <v>44409</v>
      </c>
      <c r="B117">
        <f t="shared" si="33"/>
        <v>8</v>
      </c>
      <c r="C117">
        <f t="shared" si="34"/>
        <v>2021</v>
      </c>
      <c r="D117" s="6">
        <v>34134162.325425573</v>
      </c>
      <c r="E117">
        <v>0</v>
      </c>
      <c r="F117">
        <v>189.7</v>
      </c>
      <c r="G117">
        <v>7458.5</v>
      </c>
      <c r="H117">
        <v>0</v>
      </c>
      <c r="I117">
        <v>31</v>
      </c>
      <c r="J117">
        <f>'Monthly Data'!CE117</f>
        <v>0</v>
      </c>
      <c r="K117">
        <f>'Monthly Data'!CQ117</f>
        <v>0</v>
      </c>
      <c r="L117">
        <f>'Monthly Data'!CP117</f>
        <v>189.7</v>
      </c>
      <c r="N117" s="6">
        <f t="shared" si="19"/>
        <v>-12141897.0683104</v>
      </c>
      <c r="O117" s="6">
        <f t="shared" si="20"/>
        <v>0</v>
      </c>
      <c r="P117" s="6">
        <f t="shared" si="21"/>
        <v>11954645.585556241</v>
      </c>
      <c r="Q117" s="6">
        <f t="shared" si="22"/>
        <v>10449784.998763248</v>
      </c>
      <c r="R117" s="6">
        <f t="shared" si="23"/>
        <v>0</v>
      </c>
      <c r="S117" s="6">
        <f t="shared" si="24"/>
        <v>19225004.128495038</v>
      </c>
      <c r="T117" s="6">
        <f t="shared" si="25"/>
        <v>0</v>
      </c>
      <c r="U117" s="6">
        <f t="shared" si="26"/>
        <v>0</v>
      </c>
      <c r="V117" s="6">
        <f t="shared" si="27"/>
        <v>4699464.5057829367</v>
      </c>
      <c r="W117" s="6">
        <f t="shared" si="28"/>
        <v>34187002.150287062</v>
      </c>
      <c r="X117" s="6">
        <f t="shared" si="35"/>
        <v>52839.824861489236</v>
      </c>
      <c r="Y117" s="15">
        <f t="shared" si="36"/>
        <v>1.5480041478015221E-3</v>
      </c>
    </row>
    <row r="118" spans="1:25">
      <c r="A118" s="245">
        <v>44440</v>
      </c>
      <c r="B118">
        <f t="shared" si="33"/>
        <v>9</v>
      </c>
      <c r="C118">
        <f t="shared" si="34"/>
        <v>2021</v>
      </c>
      <c r="D118" s="6">
        <v>22407620.701135617</v>
      </c>
      <c r="E118">
        <v>5.6999999999999975</v>
      </c>
      <c r="F118">
        <v>65.5</v>
      </c>
      <c r="G118">
        <v>7485</v>
      </c>
      <c r="H118">
        <v>0</v>
      </c>
      <c r="I118">
        <v>30</v>
      </c>
      <c r="J118">
        <f>'Monthly Data'!CE118</f>
        <v>1</v>
      </c>
      <c r="K118">
        <f>'Monthly Data'!CQ118</f>
        <v>5.6999999999999975</v>
      </c>
      <c r="L118">
        <f>'Monthly Data'!CP118</f>
        <v>65.5</v>
      </c>
      <c r="N118" s="6">
        <f t="shared" si="19"/>
        <v>-12141897.0683104</v>
      </c>
      <c r="O118" s="6">
        <f t="shared" si="20"/>
        <v>64574.139395679304</v>
      </c>
      <c r="P118" s="6">
        <f t="shared" si="21"/>
        <v>4127724.2269580066</v>
      </c>
      <c r="Q118" s="6">
        <f t="shared" si="22"/>
        <v>10486913.014110466</v>
      </c>
      <c r="R118" s="6">
        <f t="shared" si="23"/>
        <v>0</v>
      </c>
      <c r="S118" s="6">
        <f t="shared" si="24"/>
        <v>18604842.7049952</v>
      </c>
      <c r="T118" s="6">
        <f t="shared" si="25"/>
        <v>-730615.53830697597</v>
      </c>
      <c r="U118" s="6">
        <f t="shared" si="26"/>
        <v>20808.772993379545</v>
      </c>
      <c r="V118" s="6">
        <f t="shared" si="27"/>
        <v>1622640.6174421844</v>
      </c>
      <c r="W118" s="6">
        <f t="shared" si="28"/>
        <v>22054990.869277533</v>
      </c>
      <c r="X118" s="6">
        <f t="shared" si="35"/>
        <v>-352629.83185808361</v>
      </c>
      <c r="Y118" s="15">
        <f t="shared" si="36"/>
        <v>1.5737049308417309E-2</v>
      </c>
    </row>
    <row r="119" spans="1:25">
      <c r="A119" s="245">
        <v>44470</v>
      </c>
      <c r="B119">
        <f t="shared" si="33"/>
        <v>10</v>
      </c>
      <c r="C119">
        <f t="shared" si="34"/>
        <v>2021</v>
      </c>
      <c r="D119" s="6">
        <v>20802749.496813588</v>
      </c>
      <c r="E119">
        <v>63.599999999999994</v>
      </c>
      <c r="F119">
        <f>'Monthly Data'!AN119</f>
        <v>46.300000000000004</v>
      </c>
      <c r="G119">
        <v>7514.2</v>
      </c>
      <c r="H119">
        <v>0</v>
      </c>
      <c r="I119">
        <v>31</v>
      </c>
      <c r="J119">
        <f>'Monthly Data'!CE119</f>
        <v>1</v>
      </c>
      <c r="K119">
        <f>'Monthly Data'!CQ119</f>
        <v>63.599999999999994</v>
      </c>
      <c r="L119">
        <f>'Monthly Data'!CP119</f>
        <v>46.300000000000004</v>
      </c>
      <c r="N119" s="6">
        <f t="shared" si="19"/>
        <v>-12141897.0683104</v>
      </c>
      <c r="O119" s="6">
        <f t="shared" si="20"/>
        <v>720511.4500991588</v>
      </c>
      <c r="P119" s="6">
        <f t="shared" si="21"/>
        <v>2917765.3695901637</v>
      </c>
      <c r="Q119" s="6">
        <f t="shared" si="22"/>
        <v>10527823.883851552</v>
      </c>
      <c r="R119" s="6">
        <f t="shared" si="23"/>
        <v>0</v>
      </c>
      <c r="S119" s="6">
        <f t="shared" si="24"/>
        <v>19225004.128495038</v>
      </c>
      <c r="T119" s="6">
        <f t="shared" si="25"/>
        <v>-730615.53830697597</v>
      </c>
      <c r="U119" s="6">
        <f t="shared" si="26"/>
        <v>232182.09866297187</v>
      </c>
      <c r="V119" s="6">
        <f t="shared" si="27"/>
        <v>1146996.3448484449</v>
      </c>
      <c r="W119" s="6">
        <f t="shared" si="28"/>
        <v>21897770.668929953</v>
      </c>
      <c r="X119" s="6">
        <f t="shared" si="35"/>
        <v>1095021.1721163653</v>
      </c>
      <c r="Y119" s="15">
        <f t="shared" si="36"/>
        <v>5.2638290543473236E-2</v>
      </c>
    </row>
    <row r="120" spans="1:25">
      <c r="A120" s="245">
        <v>44501</v>
      </c>
      <c r="B120">
        <f t="shared" si="33"/>
        <v>11</v>
      </c>
      <c r="C120">
        <f t="shared" si="34"/>
        <v>2021</v>
      </c>
      <c r="D120" s="6">
        <v>20937511.631318592</v>
      </c>
      <c r="E120">
        <v>303.09999999999997</v>
      </c>
      <c r="F120">
        <f>'Monthly Data'!AN120</f>
        <v>0</v>
      </c>
      <c r="G120">
        <v>7552.6</v>
      </c>
      <c r="H120">
        <v>0</v>
      </c>
      <c r="I120">
        <v>30</v>
      </c>
      <c r="J120">
        <f>'Monthly Data'!CE120</f>
        <v>0</v>
      </c>
      <c r="K120">
        <f>'Monthly Data'!CQ120</f>
        <v>303.09999999999997</v>
      </c>
      <c r="L120">
        <f>'Monthly Data'!CP120</f>
        <v>0</v>
      </c>
      <c r="N120" s="6">
        <f t="shared" si="19"/>
        <v>-12141897.0683104</v>
      </c>
      <c r="O120" s="6">
        <f t="shared" si="20"/>
        <v>3433758.1843562112</v>
      </c>
      <c r="P120" s="6">
        <f t="shared" si="21"/>
        <v>0</v>
      </c>
      <c r="Q120" s="6">
        <f t="shared" si="22"/>
        <v>10581624.479675448</v>
      </c>
      <c r="R120" s="6">
        <f t="shared" si="23"/>
        <v>0</v>
      </c>
      <c r="S120" s="6">
        <f t="shared" si="24"/>
        <v>18604842.7049952</v>
      </c>
      <c r="T120" s="6">
        <f t="shared" si="25"/>
        <v>0</v>
      </c>
      <c r="U120" s="6">
        <f t="shared" si="26"/>
        <v>1106515.6305777794</v>
      </c>
      <c r="V120" s="6">
        <f t="shared" si="27"/>
        <v>0</v>
      </c>
      <c r="W120" s="6">
        <f t="shared" si="28"/>
        <v>21584843.93129424</v>
      </c>
      <c r="X120" s="6">
        <f t="shared" si="35"/>
        <v>647332.29997564852</v>
      </c>
      <c r="Y120" s="15">
        <f t="shared" si="36"/>
        <v>3.0917346405547105E-2</v>
      </c>
    </row>
    <row r="121" spans="1:25">
      <c r="A121" s="245">
        <v>44531</v>
      </c>
      <c r="B121">
        <f t="shared" si="33"/>
        <v>12</v>
      </c>
      <c r="C121">
        <f t="shared" si="34"/>
        <v>2021</v>
      </c>
      <c r="D121" s="6">
        <f>'Monthly Data'!F121</f>
        <v>23749125.435736641</v>
      </c>
      <c r="E121">
        <f>'Monthly Data'!AO121</f>
        <v>373.4</v>
      </c>
      <c r="F121">
        <f>'Monthly Data'!AN121</f>
        <v>0</v>
      </c>
      <c r="G121">
        <f>'Monthly Data'!AY121</f>
        <v>7647.5</v>
      </c>
      <c r="H121">
        <f>'Monthly Data'!CB121</f>
        <v>1</v>
      </c>
      <c r="I121">
        <v>31</v>
      </c>
      <c r="J121">
        <f>'Monthly Data'!CE121</f>
        <v>0</v>
      </c>
      <c r="K121">
        <f>'Monthly Data'!CQ121</f>
        <v>373.4</v>
      </c>
      <c r="L121">
        <f>'Monthly Data'!CP121</f>
        <v>0</v>
      </c>
      <c r="N121" s="6">
        <f t="shared" si="19"/>
        <v>-12141897.0683104</v>
      </c>
      <c r="O121" s="6">
        <f t="shared" si="20"/>
        <v>4230172.5702362563</v>
      </c>
      <c r="P121" s="6">
        <f t="shared" si="21"/>
        <v>0</v>
      </c>
      <c r="Q121" s="6">
        <f t="shared" si="22"/>
        <v>10714584.806333974</v>
      </c>
      <c r="R121" s="6">
        <f t="shared" si="23"/>
        <v>695677.72202584799</v>
      </c>
      <c r="S121" s="6">
        <f t="shared" si="24"/>
        <v>19225004.128495038</v>
      </c>
      <c r="T121" s="6">
        <f t="shared" si="25"/>
        <v>0</v>
      </c>
      <c r="U121" s="6">
        <f t="shared" si="26"/>
        <v>1363157.1641627939</v>
      </c>
      <c r="V121" s="6">
        <f t="shared" si="27"/>
        <v>0</v>
      </c>
      <c r="W121" s="6">
        <f t="shared" si="28"/>
        <v>24086699.322943509</v>
      </c>
      <c r="X121" s="6">
        <f t="shared" si="35"/>
        <v>337573.88720686734</v>
      </c>
      <c r="Y121" s="15">
        <f t="shared" si="36"/>
        <v>1.4214160774901672E-2</v>
      </c>
    </row>
    <row r="122" spans="1:25">
      <c r="A122" s="245">
        <v>44562</v>
      </c>
      <c r="B122">
        <f t="shared" ref="B122:B133" si="37">MONTH(A122)</f>
        <v>1</v>
      </c>
      <c r="C122">
        <f t="shared" ref="C122:C133" si="38">YEAR(A122)</f>
        <v>2022</v>
      </c>
      <c r="D122" s="6">
        <f>'Monthly Data'!F122</f>
        <v>26295238.993199747</v>
      </c>
      <c r="E122">
        <f>'Monthly Data'!AO122</f>
        <v>649.79999999999984</v>
      </c>
      <c r="F122">
        <f>'Monthly Data'!AN122</f>
        <v>0</v>
      </c>
      <c r="G122" s="70">
        <f>'Monthly Data'!AY122</f>
        <v>7595.1</v>
      </c>
      <c r="H122">
        <f>'Monthly Data'!CB122</f>
        <v>0</v>
      </c>
      <c r="I122">
        <f>'Monthly Data'!CF122</f>
        <v>31</v>
      </c>
      <c r="J122">
        <f>'Monthly Data'!CE122</f>
        <v>0</v>
      </c>
      <c r="K122">
        <f>'Monthly Data'!CQ122</f>
        <v>324.89999999999992</v>
      </c>
      <c r="L122">
        <f>'Monthly Data'!CP122</f>
        <v>0</v>
      </c>
      <c r="N122" s="6">
        <f t="shared" si="19"/>
        <v>-12141897.0683104</v>
      </c>
      <c r="O122" s="6">
        <f t="shared" ref="O122:O133" si="39">E122*$AC$8</f>
        <v>7361451.8911074419</v>
      </c>
      <c r="P122" s="6">
        <f t="shared" ref="P122:P133" si="40">F122*$AC$9</f>
        <v>0</v>
      </c>
      <c r="Q122" s="6">
        <f t="shared" ref="Q122:Q133" si="41">G122*$AC$10</f>
        <v>10641169.409949288</v>
      </c>
      <c r="R122" s="6">
        <f t="shared" ref="R122:R133" si="42">H122*$AC$11</f>
        <v>0</v>
      </c>
      <c r="S122" s="6">
        <f t="shared" ref="S122:S133" si="43">I122*$AC$12</f>
        <v>19225004.128495038</v>
      </c>
      <c r="T122" s="6">
        <f t="shared" ref="T122:T133" si="44">J122*$AC$13</f>
        <v>0</v>
      </c>
      <c r="U122" s="6">
        <f t="shared" ref="U122:U133" si="45">K122*$AC$14</f>
        <v>1186100.0606226344</v>
      </c>
      <c r="V122" s="6">
        <f t="shared" ref="V122:V133" si="46">L122*$AC$15</f>
        <v>0</v>
      </c>
      <c r="W122" s="6">
        <f t="shared" ref="W122:W133" si="47">SUM(N122:V122)</f>
        <v>26271828.421864003</v>
      </c>
      <c r="X122" s="6">
        <f t="shared" ref="X122:X133" si="48">W122-D122</f>
        <v>-23410.571335744113</v>
      </c>
      <c r="Y122" s="15">
        <f t="shared" ref="Y122:Y133" si="49">ABS(W122-D122)/D122</f>
        <v>8.9029695990967632E-4</v>
      </c>
    </row>
    <row r="123" spans="1:25">
      <c r="A123" s="245">
        <v>44593</v>
      </c>
      <c r="B123">
        <f t="shared" si="37"/>
        <v>2</v>
      </c>
      <c r="C123">
        <f t="shared" si="38"/>
        <v>2022</v>
      </c>
      <c r="D123" s="6">
        <f>'Monthly Data'!F123</f>
        <v>22694348.993199747</v>
      </c>
      <c r="E123">
        <f>'Monthly Data'!AO123</f>
        <v>494.60000000000008</v>
      </c>
      <c r="F123">
        <f>'Monthly Data'!AN123</f>
        <v>0</v>
      </c>
      <c r="G123" s="70">
        <f>'Monthly Data'!AY123</f>
        <v>7588.8</v>
      </c>
      <c r="H123">
        <f>'Monthly Data'!CB123</f>
        <v>0</v>
      </c>
      <c r="I123">
        <f>'Monthly Data'!CF123</f>
        <v>28</v>
      </c>
      <c r="J123">
        <f>'Monthly Data'!CE123</f>
        <v>0</v>
      </c>
      <c r="K123">
        <f>'Monthly Data'!CQ123</f>
        <v>247.30000000000004</v>
      </c>
      <c r="L123">
        <f>'Monthly Data'!CP123</f>
        <v>0</v>
      </c>
      <c r="N123" s="6">
        <f t="shared" si="19"/>
        <v>-12141897.0683104</v>
      </c>
      <c r="O123" s="6">
        <f t="shared" si="39"/>
        <v>5603222.6921233339</v>
      </c>
      <c r="P123" s="6">
        <f t="shared" si="40"/>
        <v>0</v>
      </c>
      <c r="Q123" s="6">
        <f t="shared" si="41"/>
        <v>10632342.749696929</v>
      </c>
      <c r="R123" s="6">
        <f t="shared" si="42"/>
        <v>0</v>
      </c>
      <c r="S123" s="6">
        <f t="shared" si="43"/>
        <v>17364519.857995518</v>
      </c>
      <c r="T123" s="6">
        <f t="shared" si="44"/>
        <v>0</v>
      </c>
      <c r="U123" s="6">
        <f t="shared" si="45"/>
        <v>902808.69495837984</v>
      </c>
      <c r="V123" s="6">
        <f t="shared" si="46"/>
        <v>0</v>
      </c>
      <c r="W123" s="6">
        <f t="shared" si="47"/>
        <v>22360996.92646376</v>
      </c>
      <c r="X123" s="6">
        <f t="shared" si="48"/>
        <v>-333352.06673598662</v>
      </c>
      <c r="Y123" s="15">
        <f t="shared" si="49"/>
        <v>1.4688769738928135E-2</v>
      </c>
    </row>
    <row r="124" spans="1:25">
      <c r="A124" s="245">
        <v>44621</v>
      </c>
      <c r="B124">
        <f t="shared" si="37"/>
        <v>3</v>
      </c>
      <c r="C124">
        <f t="shared" si="38"/>
        <v>2022</v>
      </c>
      <c r="D124" s="6">
        <f>'Monthly Data'!F124</f>
        <v>22354128.993199747</v>
      </c>
      <c r="E124">
        <f>'Monthly Data'!AO124</f>
        <v>382.30000000000013</v>
      </c>
      <c r="F124">
        <f>'Monthly Data'!AN124</f>
        <v>0</v>
      </c>
      <c r="G124" s="70">
        <f>'Monthly Data'!AY124</f>
        <v>7573.4</v>
      </c>
      <c r="H124">
        <f>'Monthly Data'!CB124</f>
        <v>0</v>
      </c>
      <c r="I124">
        <f>'Monthly Data'!CF124</f>
        <v>31</v>
      </c>
      <c r="J124">
        <f>'Monthly Data'!CE124</f>
        <v>1</v>
      </c>
      <c r="K124">
        <f>'Monthly Data'!CQ124</f>
        <v>191.15000000000006</v>
      </c>
      <c r="L124">
        <f>'Monthly Data'!CP124</f>
        <v>0</v>
      </c>
      <c r="N124" s="6">
        <f t="shared" si="19"/>
        <v>-12141897.0683104</v>
      </c>
      <c r="O124" s="6">
        <f t="shared" si="39"/>
        <v>4330998.8580645993</v>
      </c>
      <c r="P124" s="6">
        <f t="shared" si="40"/>
        <v>0</v>
      </c>
      <c r="Q124" s="6">
        <f t="shared" si="41"/>
        <v>10610766.469080055</v>
      </c>
      <c r="R124" s="6">
        <f t="shared" si="42"/>
        <v>0</v>
      </c>
      <c r="S124" s="6">
        <f t="shared" si="43"/>
        <v>19225004.128495038</v>
      </c>
      <c r="T124" s="6">
        <f t="shared" si="44"/>
        <v>-730615.53830697597</v>
      </c>
      <c r="U124" s="6">
        <f t="shared" si="45"/>
        <v>697824.0276639479</v>
      </c>
      <c r="V124" s="6">
        <f t="shared" si="46"/>
        <v>0</v>
      </c>
      <c r="W124" s="6">
        <f t="shared" si="47"/>
        <v>21992080.87668626</v>
      </c>
      <c r="X124" s="6">
        <f t="shared" si="48"/>
        <v>-362048.11651348695</v>
      </c>
      <c r="Y124" s="15">
        <f t="shared" si="49"/>
        <v>1.6196028779453857E-2</v>
      </c>
    </row>
    <row r="125" spans="1:25">
      <c r="A125" s="245">
        <v>44652</v>
      </c>
      <c r="B125">
        <f t="shared" si="37"/>
        <v>4</v>
      </c>
      <c r="C125">
        <f t="shared" si="38"/>
        <v>2022</v>
      </c>
      <c r="D125" s="6">
        <f>'Monthly Data'!F125</f>
        <v>19843561.993199747</v>
      </c>
      <c r="E125">
        <f>'Monthly Data'!AO125</f>
        <v>246.29999999999995</v>
      </c>
      <c r="F125">
        <f>'Monthly Data'!AN125</f>
        <v>3.1000000000000014</v>
      </c>
      <c r="G125" s="70">
        <f>'Monthly Data'!AY125</f>
        <v>7670</v>
      </c>
      <c r="H125">
        <f>'Monthly Data'!CB125</f>
        <v>0</v>
      </c>
      <c r="I125">
        <f>'Monthly Data'!CF125</f>
        <v>30</v>
      </c>
      <c r="J125">
        <f>'Monthly Data'!CE125</f>
        <v>1</v>
      </c>
      <c r="K125">
        <f>'Monthly Data'!CQ125</f>
        <v>123.14999999999998</v>
      </c>
      <c r="L125">
        <f>'Monthly Data'!CP125</f>
        <v>1.5500000000000007</v>
      </c>
      <c r="N125" s="6">
        <f t="shared" si="19"/>
        <v>-12141897.0683104</v>
      </c>
      <c r="O125" s="6">
        <f t="shared" si="39"/>
        <v>2790282.5496764593</v>
      </c>
      <c r="P125" s="6">
        <f t="shared" si="40"/>
        <v>195357.94051251642</v>
      </c>
      <c r="Q125" s="6">
        <f t="shared" si="41"/>
        <v>10746108.592949538</v>
      </c>
      <c r="R125" s="6">
        <f t="shared" si="42"/>
        <v>0</v>
      </c>
      <c r="S125" s="6">
        <f t="shared" si="43"/>
        <v>18604842.7049952</v>
      </c>
      <c r="T125" s="6">
        <f t="shared" si="44"/>
        <v>-730615.53830697597</v>
      </c>
      <c r="U125" s="6">
        <f t="shared" si="45"/>
        <v>449579.01651485817</v>
      </c>
      <c r="V125" s="6">
        <f t="shared" si="46"/>
        <v>38398.365756265448</v>
      </c>
      <c r="W125" s="6">
        <f t="shared" si="47"/>
        <v>19952056.563787457</v>
      </c>
      <c r="X125" s="6">
        <f t="shared" si="48"/>
        <v>108494.57058770955</v>
      </c>
      <c r="Y125" s="15">
        <f t="shared" si="49"/>
        <v>5.4674947282594673E-3</v>
      </c>
    </row>
    <row r="126" spans="1:25">
      <c r="A126" s="245">
        <v>44682</v>
      </c>
      <c r="B126">
        <f t="shared" si="37"/>
        <v>5</v>
      </c>
      <c r="C126">
        <f t="shared" si="38"/>
        <v>2022</v>
      </c>
      <c r="D126" s="6">
        <f>'Monthly Data'!F126</f>
        <v>21521944.993199747</v>
      </c>
      <c r="E126">
        <f>'Monthly Data'!AO126</f>
        <v>59.300000000000011</v>
      </c>
      <c r="F126">
        <f>'Monthly Data'!AN126</f>
        <v>57.3</v>
      </c>
      <c r="G126" s="70">
        <f>'Monthly Data'!AY126</f>
        <v>7738.6</v>
      </c>
      <c r="H126">
        <f>'Monthly Data'!CB126</f>
        <v>0</v>
      </c>
      <c r="I126">
        <f>'Monthly Data'!CF126</f>
        <v>31</v>
      </c>
      <c r="J126">
        <f>'Monthly Data'!CE126</f>
        <v>1</v>
      </c>
      <c r="K126">
        <f>'Monthly Data'!CQ126</f>
        <v>29.650000000000006</v>
      </c>
      <c r="L126">
        <f>'Monthly Data'!CP126</f>
        <v>28.65</v>
      </c>
      <c r="N126" s="6">
        <f t="shared" si="19"/>
        <v>-12141897.0683104</v>
      </c>
      <c r="O126" s="6">
        <f t="shared" si="39"/>
        <v>671797.62564276939</v>
      </c>
      <c r="P126" s="6">
        <f t="shared" si="40"/>
        <v>3610970.9649571567</v>
      </c>
      <c r="Q126" s="6">
        <f t="shared" si="41"/>
        <v>10842221.11569743</v>
      </c>
      <c r="R126" s="6">
        <f t="shared" si="42"/>
        <v>0</v>
      </c>
      <c r="S126" s="6">
        <f t="shared" si="43"/>
        <v>19225004.128495038</v>
      </c>
      <c r="T126" s="6">
        <f t="shared" si="44"/>
        <v>-730615.53830697597</v>
      </c>
      <c r="U126" s="6">
        <f t="shared" si="45"/>
        <v>108242.12618486033</v>
      </c>
      <c r="V126" s="6">
        <f t="shared" si="46"/>
        <v>709750.43801097071</v>
      </c>
      <c r="W126" s="6">
        <f t="shared" si="47"/>
        <v>22295473.792370852</v>
      </c>
      <c r="X126" s="6">
        <f t="shared" si="48"/>
        <v>773528.79917110503</v>
      </c>
      <c r="Y126" s="15">
        <f t="shared" si="49"/>
        <v>3.5941398391990856E-2</v>
      </c>
    </row>
    <row r="127" spans="1:25">
      <c r="A127" s="245">
        <v>44713</v>
      </c>
      <c r="B127">
        <f t="shared" si="37"/>
        <v>6</v>
      </c>
      <c r="C127">
        <f t="shared" si="38"/>
        <v>2022</v>
      </c>
      <c r="D127" s="6">
        <f>'Monthly Data'!F127</f>
        <v>25550582.993199747</v>
      </c>
      <c r="E127">
        <f>'Monthly Data'!AO127</f>
        <v>2.8999999999999986</v>
      </c>
      <c r="F127">
        <f>'Monthly Data'!AN127</f>
        <v>96.5</v>
      </c>
      <c r="G127" s="70">
        <f>'Monthly Data'!AY127</f>
        <v>7809.2</v>
      </c>
      <c r="H127">
        <f>'Monthly Data'!CB127</f>
        <v>0</v>
      </c>
      <c r="I127">
        <f>'Monthly Data'!CF127</f>
        <v>30</v>
      </c>
      <c r="J127">
        <f>'Monthly Data'!CE127</f>
        <v>0</v>
      </c>
      <c r="K127">
        <f>'Monthly Data'!CQ127</f>
        <v>1.4499999999999993</v>
      </c>
      <c r="L127">
        <f>'Monthly Data'!CP127</f>
        <v>48.25</v>
      </c>
      <c r="N127" s="6">
        <f t="shared" si="19"/>
        <v>-12141897.0683104</v>
      </c>
      <c r="O127" s="6">
        <f t="shared" si="39"/>
        <v>32853.509517099992</v>
      </c>
      <c r="P127" s="6">
        <f t="shared" si="40"/>
        <v>6081303.6320831701</v>
      </c>
      <c r="Q127" s="6">
        <f t="shared" si="41"/>
        <v>10941135.752811151</v>
      </c>
      <c r="R127" s="6">
        <f t="shared" si="42"/>
        <v>0</v>
      </c>
      <c r="S127" s="6">
        <f t="shared" si="43"/>
        <v>18604842.7049952</v>
      </c>
      <c r="T127" s="6">
        <f t="shared" si="44"/>
        <v>0</v>
      </c>
      <c r="U127" s="6">
        <f t="shared" si="45"/>
        <v>5293.459796561463</v>
      </c>
      <c r="V127" s="6">
        <f t="shared" si="46"/>
        <v>1195303.9662837465</v>
      </c>
      <c r="W127" s="6">
        <f t="shared" si="47"/>
        <v>24718835.957176529</v>
      </c>
      <c r="X127" s="6">
        <f t="shared" si="48"/>
        <v>-831747.03602321818</v>
      </c>
      <c r="Y127" s="15">
        <f t="shared" si="49"/>
        <v>3.2552957255205746E-2</v>
      </c>
    </row>
    <row r="128" spans="1:25">
      <c r="A128" s="245">
        <v>44743</v>
      </c>
      <c r="B128">
        <f t="shared" si="37"/>
        <v>7</v>
      </c>
      <c r="C128">
        <f t="shared" si="38"/>
        <v>2022</v>
      </c>
      <c r="D128" s="6">
        <f>'Monthly Data'!F128</f>
        <v>31912101.993199747</v>
      </c>
      <c r="E128">
        <f>'Monthly Data'!AO128</f>
        <v>0</v>
      </c>
      <c r="F128">
        <f>'Monthly Data'!AN128</f>
        <v>183.89999999999995</v>
      </c>
      <c r="G128" s="70">
        <f>'Monthly Data'!AY128</f>
        <v>7843.6</v>
      </c>
      <c r="H128">
        <f>'Monthly Data'!CB128</f>
        <v>0</v>
      </c>
      <c r="I128">
        <f>'Monthly Data'!CF128</f>
        <v>31</v>
      </c>
      <c r="J128">
        <f>'Monthly Data'!CE128</f>
        <v>0</v>
      </c>
      <c r="K128">
        <f>'Monthly Data'!CQ128</f>
        <v>0</v>
      </c>
      <c r="L128">
        <f>'Monthly Data'!CP128</f>
        <v>91.949999999999974</v>
      </c>
      <c r="N128" s="6">
        <f t="shared" si="19"/>
        <v>-12141897.0683104</v>
      </c>
      <c r="O128" s="6">
        <f t="shared" si="39"/>
        <v>0</v>
      </c>
      <c r="P128" s="6">
        <f t="shared" si="40"/>
        <v>11589137.18072637</v>
      </c>
      <c r="Q128" s="6">
        <f t="shared" si="41"/>
        <v>10989332.119903389</v>
      </c>
      <c r="R128" s="6">
        <f t="shared" si="42"/>
        <v>0</v>
      </c>
      <c r="S128" s="6">
        <f t="shared" si="43"/>
        <v>19225004.128495038</v>
      </c>
      <c r="T128" s="6">
        <f t="shared" si="44"/>
        <v>0</v>
      </c>
      <c r="U128" s="6">
        <f t="shared" si="45"/>
        <v>0</v>
      </c>
      <c r="V128" s="6">
        <f t="shared" si="46"/>
        <v>2277890.149218455</v>
      </c>
      <c r="W128" s="6">
        <f t="shared" si="47"/>
        <v>31939466.510032851</v>
      </c>
      <c r="X128" s="6">
        <f t="shared" si="48"/>
        <v>27364.516833104193</v>
      </c>
      <c r="Y128" s="15">
        <f t="shared" si="49"/>
        <v>8.5749653341341751E-4</v>
      </c>
    </row>
    <row r="129" spans="1:29">
      <c r="A129" s="245">
        <v>44774</v>
      </c>
      <c r="B129">
        <f t="shared" si="37"/>
        <v>8</v>
      </c>
      <c r="C129">
        <f t="shared" si="38"/>
        <v>2022</v>
      </c>
      <c r="D129" s="6">
        <f>'Monthly Data'!F129</f>
        <v>31833424.993199747</v>
      </c>
      <c r="E129">
        <f>'Monthly Data'!AO129</f>
        <v>0</v>
      </c>
      <c r="F129">
        <f>'Monthly Data'!AN129</f>
        <v>167.99999999999997</v>
      </c>
      <c r="G129" s="70">
        <f>'Monthly Data'!AY129</f>
        <v>7825.4</v>
      </c>
      <c r="H129">
        <f>'Monthly Data'!CB129</f>
        <v>0</v>
      </c>
      <c r="I129">
        <f>'Monthly Data'!CF129</f>
        <v>31</v>
      </c>
      <c r="J129">
        <f>'Monthly Data'!CE129</f>
        <v>0</v>
      </c>
      <c r="K129">
        <f>'Monthly Data'!CQ129</f>
        <v>0</v>
      </c>
      <c r="L129">
        <f>'Monthly Data'!CP129</f>
        <v>83.999999999999986</v>
      </c>
      <c r="N129" s="6">
        <f t="shared" si="19"/>
        <v>-12141897.0683104</v>
      </c>
      <c r="O129" s="6">
        <f t="shared" si="39"/>
        <v>0</v>
      </c>
      <c r="P129" s="6">
        <f t="shared" si="40"/>
        <v>10587140.001968626</v>
      </c>
      <c r="Q129" s="6">
        <f t="shared" si="41"/>
        <v>10963832.879174355</v>
      </c>
      <c r="R129" s="6">
        <f t="shared" si="42"/>
        <v>0</v>
      </c>
      <c r="S129" s="6">
        <f t="shared" si="43"/>
        <v>19225004.128495038</v>
      </c>
      <c r="T129" s="6">
        <f t="shared" si="44"/>
        <v>0</v>
      </c>
      <c r="U129" s="6">
        <f t="shared" si="45"/>
        <v>0</v>
      </c>
      <c r="V129" s="6">
        <f t="shared" si="46"/>
        <v>2080943.6925976102</v>
      </c>
      <c r="W129" s="6">
        <f t="shared" si="47"/>
        <v>30715023.633925226</v>
      </c>
      <c r="X129" s="6">
        <f t="shared" si="48"/>
        <v>-1118401.3592745215</v>
      </c>
      <c r="Y129" s="15">
        <f t="shared" si="49"/>
        <v>3.5132925832310986E-2</v>
      </c>
    </row>
    <row r="130" spans="1:29">
      <c r="A130" s="245">
        <v>44805</v>
      </c>
      <c r="B130">
        <f t="shared" si="37"/>
        <v>9</v>
      </c>
      <c r="C130">
        <f t="shared" si="38"/>
        <v>2022</v>
      </c>
      <c r="D130" s="6">
        <f>'Monthly Data'!F130</f>
        <v>23843776.993199747</v>
      </c>
      <c r="E130">
        <f>'Monthly Data'!AO130</f>
        <v>17.5</v>
      </c>
      <c r="F130">
        <f>'Monthly Data'!AN130</f>
        <v>79.700000000000017</v>
      </c>
      <c r="G130" s="70">
        <f>'Monthly Data'!AY130</f>
        <v>7766.7</v>
      </c>
      <c r="H130">
        <f>'Monthly Data'!CB130</f>
        <v>0</v>
      </c>
      <c r="I130">
        <f>'Monthly Data'!CF130</f>
        <v>30</v>
      </c>
      <c r="J130">
        <f>'Monthly Data'!CE130</f>
        <v>1</v>
      </c>
      <c r="K130">
        <f>'Monthly Data'!CQ130</f>
        <v>8.75</v>
      </c>
      <c r="L130">
        <f>'Monthly Data'!CP130</f>
        <v>39.850000000000009</v>
      </c>
      <c r="N130" s="6">
        <f t="shared" si="19"/>
        <v>-12141897.0683104</v>
      </c>
      <c r="O130" s="6">
        <f t="shared" si="39"/>
        <v>198253.93674112076</v>
      </c>
      <c r="P130" s="6">
        <f t="shared" si="40"/>
        <v>5022589.6318863081</v>
      </c>
      <c r="Q130" s="6">
        <f t="shared" si="41"/>
        <v>10881590.82253731</v>
      </c>
      <c r="R130" s="6">
        <f t="shared" si="42"/>
        <v>0</v>
      </c>
      <c r="S130" s="6">
        <f t="shared" si="43"/>
        <v>18604842.7049952</v>
      </c>
      <c r="T130" s="6">
        <f t="shared" si="44"/>
        <v>-730615.53830697597</v>
      </c>
      <c r="U130" s="6">
        <f t="shared" si="45"/>
        <v>31943.291875801948</v>
      </c>
      <c r="V130" s="6">
        <f t="shared" si="46"/>
        <v>987209.5970239857</v>
      </c>
      <c r="W130" s="6">
        <f t="shared" si="47"/>
        <v>22853917.378442351</v>
      </c>
      <c r="X130" s="6">
        <f t="shared" si="48"/>
        <v>-989859.61475739628</v>
      </c>
      <c r="Y130" s="15">
        <f t="shared" si="49"/>
        <v>4.151437983335042E-2</v>
      </c>
    </row>
    <row r="131" spans="1:29">
      <c r="A131" s="245">
        <v>44835</v>
      </c>
      <c r="B131">
        <f t="shared" si="37"/>
        <v>10</v>
      </c>
      <c r="C131">
        <f t="shared" si="38"/>
        <v>2022</v>
      </c>
      <c r="D131" s="6">
        <f>'Monthly Data'!F131</f>
        <v>19191633.993199747</v>
      </c>
      <c r="E131">
        <f>'Monthly Data'!AO131</f>
        <v>125.90000000000002</v>
      </c>
      <c r="F131">
        <f>'Monthly Data'!AN131</f>
        <v>7.0000000000000036</v>
      </c>
      <c r="G131" s="70">
        <f>'Monthly Data'!AY131</f>
        <v>7743.5</v>
      </c>
      <c r="H131">
        <f>'Monthly Data'!CB131</f>
        <v>0</v>
      </c>
      <c r="I131">
        <f>'Monthly Data'!CF131</f>
        <v>31</v>
      </c>
      <c r="J131">
        <f>'Monthly Data'!CE131</f>
        <v>1</v>
      </c>
      <c r="K131">
        <f>'Monthly Data'!CQ131</f>
        <v>62.95000000000001</v>
      </c>
      <c r="L131">
        <f>'Monthly Data'!CP131</f>
        <v>3.5000000000000018</v>
      </c>
      <c r="N131" s="6">
        <f t="shared" ref="N131:N133" si="50">$AC$7</f>
        <v>-12141897.0683104</v>
      </c>
      <c r="O131" s="6">
        <f t="shared" si="39"/>
        <v>1426295.464897549</v>
      </c>
      <c r="P131" s="6">
        <f t="shared" si="40"/>
        <v>441130.83341535972</v>
      </c>
      <c r="Q131" s="6">
        <f t="shared" si="41"/>
        <v>10849086.295893708</v>
      </c>
      <c r="R131" s="6">
        <f t="shared" si="42"/>
        <v>0</v>
      </c>
      <c r="S131" s="6">
        <f t="shared" si="43"/>
        <v>19225004.128495038</v>
      </c>
      <c r="T131" s="6">
        <f t="shared" si="44"/>
        <v>-730615.53830697597</v>
      </c>
      <c r="U131" s="6">
        <f t="shared" si="45"/>
        <v>229809.1684093409</v>
      </c>
      <c r="V131" s="6">
        <f t="shared" si="46"/>
        <v>86705.987191567154</v>
      </c>
      <c r="W131" s="6">
        <f t="shared" si="47"/>
        <v>19385519.271685179</v>
      </c>
      <c r="X131" s="6">
        <f t="shared" si="48"/>
        <v>193885.27848543227</v>
      </c>
      <c r="Y131" s="15">
        <f t="shared" si="49"/>
        <v>1.0102593586045485E-2</v>
      </c>
    </row>
    <row r="132" spans="1:29">
      <c r="A132" s="245">
        <v>44866</v>
      </c>
      <c r="B132">
        <f t="shared" si="37"/>
        <v>11</v>
      </c>
      <c r="C132">
        <f t="shared" si="38"/>
        <v>2022</v>
      </c>
      <c r="D132" s="6">
        <f>'Monthly Data'!F132</f>
        <v>20227937.993199747</v>
      </c>
      <c r="E132">
        <f>'Monthly Data'!AO132</f>
        <v>256.90000000000003</v>
      </c>
      <c r="F132">
        <f>'Monthly Data'!AN132</f>
        <v>2.8999999999999986</v>
      </c>
      <c r="G132" s="70">
        <f>'Monthly Data'!AY132</f>
        <v>7738.9</v>
      </c>
      <c r="H132">
        <f>'Monthly Data'!CB132</f>
        <v>0</v>
      </c>
      <c r="I132">
        <f>'Monthly Data'!CF132</f>
        <v>30</v>
      </c>
      <c r="J132">
        <f>'Monthly Data'!CE132</f>
        <v>0</v>
      </c>
      <c r="K132">
        <f>'Monthly Data'!CQ132</f>
        <v>128.45000000000002</v>
      </c>
      <c r="L132">
        <f>'Monthly Data'!CP132</f>
        <v>1.4499999999999993</v>
      </c>
      <c r="N132" s="6">
        <f t="shared" si="50"/>
        <v>-12141897.0683104</v>
      </c>
      <c r="O132" s="6">
        <f t="shared" si="39"/>
        <v>2910367.7913596532</v>
      </c>
      <c r="P132" s="6">
        <f t="shared" si="40"/>
        <v>182754.20241493455</v>
      </c>
      <c r="Q132" s="6">
        <f t="shared" si="41"/>
        <v>10842641.432852304</v>
      </c>
      <c r="R132" s="6">
        <f t="shared" si="42"/>
        <v>0</v>
      </c>
      <c r="S132" s="6">
        <f t="shared" si="43"/>
        <v>18604842.7049952</v>
      </c>
      <c r="T132" s="6">
        <f t="shared" si="44"/>
        <v>0</v>
      </c>
      <c r="U132" s="6">
        <f t="shared" si="45"/>
        <v>468927.52473677264</v>
      </c>
      <c r="V132" s="6">
        <f t="shared" si="46"/>
        <v>35921.051836506354</v>
      </c>
      <c r="W132" s="6">
        <f t="shared" si="47"/>
        <v>20903557.639884971</v>
      </c>
      <c r="X132" s="6">
        <f t="shared" si="48"/>
        <v>675619.64668522403</v>
      </c>
      <c r="Y132" s="15">
        <f t="shared" si="49"/>
        <v>3.3400322213384015E-2</v>
      </c>
    </row>
    <row r="133" spans="1:29">
      <c r="A133" s="245">
        <v>44896</v>
      </c>
      <c r="B133">
        <f t="shared" si="37"/>
        <v>12</v>
      </c>
      <c r="C133">
        <f t="shared" si="38"/>
        <v>2022</v>
      </c>
      <c r="D133" s="6">
        <f>'Monthly Data'!F133</f>
        <v>24496452.993199747</v>
      </c>
      <c r="E133">
        <f>'Monthly Data'!AO133</f>
        <v>442.5</v>
      </c>
      <c r="F133">
        <f>'Monthly Data'!AN133</f>
        <v>0</v>
      </c>
      <c r="G133" s="70">
        <f>'Monthly Data'!AY133</f>
        <v>7777.2</v>
      </c>
      <c r="H133">
        <f>'Monthly Data'!CB133</f>
        <v>1</v>
      </c>
      <c r="I133">
        <f>'Monthly Data'!CF133</f>
        <v>31</v>
      </c>
      <c r="J133">
        <f>'Monthly Data'!CE133</f>
        <v>0</v>
      </c>
      <c r="K133">
        <f>'Monthly Data'!CQ133</f>
        <v>221.25</v>
      </c>
      <c r="L133">
        <f>'Monthly Data'!CP133</f>
        <v>0</v>
      </c>
      <c r="N133" s="6">
        <f t="shared" si="50"/>
        <v>-12141897.0683104</v>
      </c>
      <c r="O133" s="6">
        <f t="shared" si="39"/>
        <v>5012992.4004540537</v>
      </c>
      <c r="P133" s="6">
        <f t="shared" si="40"/>
        <v>0</v>
      </c>
      <c r="Q133" s="6">
        <f t="shared" si="41"/>
        <v>10896301.922957906</v>
      </c>
      <c r="R133" s="6">
        <f t="shared" si="42"/>
        <v>695677.72202584799</v>
      </c>
      <c r="S133" s="6">
        <f t="shared" si="43"/>
        <v>19225004.128495038</v>
      </c>
      <c r="T133" s="6">
        <f t="shared" si="44"/>
        <v>0</v>
      </c>
      <c r="U133" s="6">
        <f t="shared" si="45"/>
        <v>807708.95171670639</v>
      </c>
      <c r="V133" s="6">
        <f t="shared" si="46"/>
        <v>0</v>
      </c>
      <c r="W133" s="6">
        <f t="shared" si="47"/>
        <v>24495788.05733915</v>
      </c>
      <c r="X133" s="6">
        <f t="shared" si="48"/>
        <v>-664.93586059659719</v>
      </c>
      <c r="Y133" s="15">
        <f t="shared" si="49"/>
        <v>2.7144169026478421E-5</v>
      </c>
    </row>
    <row r="134" spans="1:29">
      <c r="Q134" s="6"/>
      <c r="R134" s="6"/>
      <c r="U134" s="6"/>
      <c r="V134" s="6"/>
      <c r="Y134" s="16">
        <f>AVERAGE(Y2:Y133)</f>
        <v>2.2697489239215937E-2</v>
      </c>
    </row>
    <row r="135" spans="1:29">
      <c r="Y135" s="16"/>
    </row>
    <row r="137" spans="1:29">
      <c r="W137" s="6"/>
      <c r="X137" s="76"/>
      <c r="Y137" s="6"/>
      <c r="AA137">
        <v>1</v>
      </c>
      <c r="AB137" s="6">
        <f t="shared" ref="AB137:AB148" si="51">SUMIFS(X:X,$B:$B,$AA137)</f>
        <v>-3992170.6917425878</v>
      </c>
      <c r="AC137" s="15">
        <f t="shared" ref="AC137:AC148" si="52">SUMIFS(Y:Y,$B:$B,$AA137)</f>
        <v>0.17515553934152944</v>
      </c>
    </row>
    <row r="138" spans="1:29">
      <c r="W138" s="6"/>
      <c r="X138" s="76"/>
      <c r="Y138" s="6"/>
      <c r="AA138">
        <f>AA137+1</f>
        <v>2</v>
      </c>
      <c r="AB138" s="6">
        <f t="shared" si="51"/>
        <v>230631.37942238525</v>
      </c>
      <c r="AC138" s="15">
        <f t="shared" si="52"/>
        <v>0.19895525830915181</v>
      </c>
    </row>
    <row r="139" spans="1:29">
      <c r="W139" s="6"/>
      <c r="X139" s="76"/>
      <c r="Y139" s="6"/>
      <c r="AA139">
        <f t="shared" ref="AA139:AA148" si="53">AA138+1</f>
        <v>3</v>
      </c>
      <c r="AB139" s="6">
        <f t="shared" si="51"/>
        <v>1001204.4000662416</v>
      </c>
      <c r="AC139" s="15">
        <f t="shared" si="52"/>
        <v>0.16514763203924304</v>
      </c>
    </row>
    <row r="140" spans="1:29">
      <c r="W140" s="6"/>
      <c r="X140" s="76"/>
      <c r="Y140" s="6"/>
      <c r="AA140">
        <f t="shared" si="53"/>
        <v>4</v>
      </c>
      <c r="AB140" s="6">
        <f t="shared" si="51"/>
        <v>-1106140.4257665686</v>
      </c>
      <c r="AC140" s="15">
        <f t="shared" si="52"/>
        <v>0.18974838025003776</v>
      </c>
    </row>
    <row r="141" spans="1:29">
      <c r="W141" s="6"/>
      <c r="X141" s="76"/>
      <c r="Y141" s="6"/>
      <c r="AA141">
        <f t="shared" si="53"/>
        <v>5</v>
      </c>
      <c r="AB141" s="6">
        <f t="shared" si="51"/>
        <v>4993813.6905513592</v>
      </c>
      <c r="AC141" s="15">
        <f t="shared" si="52"/>
        <v>0.41989603902265793</v>
      </c>
    </row>
    <row r="142" spans="1:29">
      <c r="W142" s="6"/>
      <c r="X142" s="76"/>
      <c r="Y142" s="6"/>
      <c r="AA142">
        <f t="shared" si="53"/>
        <v>6</v>
      </c>
      <c r="AB142" s="6">
        <f t="shared" si="51"/>
        <v>2058965.1711820029</v>
      </c>
      <c r="AC142" s="15">
        <f t="shared" si="52"/>
        <v>0.30612882756195831</v>
      </c>
    </row>
    <row r="143" spans="1:29">
      <c r="W143" s="6"/>
      <c r="X143" s="76"/>
      <c r="Y143" s="6"/>
      <c r="AA143">
        <f t="shared" si="53"/>
        <v>7</v>
      </c>
      <c r="AB143" s="6">
        <f t="shared" si="51"/>
        <v>-1521004.0309101939</v>
      </c>
      <c r="AC143" s="15">
        <f t="shared" si="52"/>
        <v>0.16042262533382284</v>
      </c>
    </row>
    <row r="144" spans="1:29">
      <c r="W144" s="6"/>
      <c r="X144" s="76"/>
      <c r="Y144" s="6"/>
      <c r="AA144">
        <f t="shared" si="53"/>
        <v>8</v>
      </c>
      <c r="AB144" s="6">
        <f t="shared" si="51"/>
        <v>-3411281.4866287932</v>
      </c>
      <c r="AC144" s="15">
        <f t="shared" si="52"/>
        <v>0.28623281675241397</v>
      </c>
    </row>
    <row r="145" spans="23:29">
      <c r="W145" s="6"/>
      <c r="X145" s="76"/>
      <c r="Y145" s="6"/>
      <c r="AA145">
        <f t="shared" si="53"/>
        <v>9</v>
      </c>
      <c r="AB145" s="6">
        <f t="shared" si="51"/>
        <v>-6103812.2635646872</v>
      </c>
      <c r="AC145" s="15">
        <f t="shared" si="52"/>
        <v>0.39333314294039906</v>
      </c>
    </row>
    <row r="146" spans="23:29">
      <c r="W146" s="6"/>
      <c r="X146" s="76"/>
      <c r="Y146" s="6"/>
      <c r="AA146">
        <f t="shared" si="53"/>
        <v>10</v>
      </c>
      <c r="AB146" s="6">
        <f t="shared" si="51"/>
        <v>-441256.03355763108</v>
      </c>
      <c r="AC146" s="15">
        <f t="shared" si="52"/>
        <v>0.32934359267324376</v>
      </c>
    </row>
    <row r="147" spans="23:29">
      <c r="W147" s="6"/>
      <c r="X147" s="76"/>
      <c r="Y147" s="6"/>
      <c r="AA147">
        <f t="shared" si="53"/>
        <v>11</v>
      </c>
      <c r="AB147" s="6">
        <f t="shared" si="51"/>
        <v>2443742.9968661591</v>
      </c>
      <c r="AC147" s="15">
        <f t="shared" si="52"/>
        <v>0.20059284447013492</v>
      </c>
    </row>
    <row r="148" spans="23:29">
      <c r="W148" s="6"/>
      <c r="X148" s="76"/>
      <c r="Y148" s="6"/>
      <c r="AA148">
        <f t="shared" si="53"/>
        <v>12</v>
      </c>
      <c r="AB148" s="6">
        <f t="shared" si="51"/>
        <v>-392412.41280782223</v>
      </c>
      <c r="AC148" s="15">
        <f t="shared" si="52"/>
        <v>0.17111188088191057</v>
      </c>
    </row>
    <row r="149" spans="23:29">
      <c r="AB149" s="6"/>
      <c r="AC149" s="15"/>
    </row>
    <row r="150" spans="23:29">
      <c r="W150" s="6"/>
      <c r="X150" s="76"/>
      <c r="AA150">
        <v>2012</v>
      </c>
      <c r="AB150" s="6">
        <f t="shared" ref="AB150:AB159" si="54">SUMIFS(X:X,$C:$C,$AA150)</f>
        <v>-2896488.8131163865</v>
      </c>
      <c r="AC150" s="15">
        <f t="shared" ref="AC150:AC159" si="55">SUMIFS(Y:Y,$C:$C,$AA150)</f>
        <v>0.23831551516558708</v>
      </c>
    </row>
    <row r="151" spans="23:29">
      <c r="W151" s="6"/>
      <c r="X151" s="76"/>
      <c r="AA151">
        <f>AA150+1</f>
        <v>2013</v>
      </c>
      <c r="AB151" s="6">
        <f t="shared" si="54"/>
        <v>-1771267.536403589</v>
      </c>
      <c r="AC151" s="15">
        <f t="shared" si="55"/>
        <v>0.35164968529483714</v>
      </c>
    </row>
    <row r="152" spans="23:29">
      <c r="W152" s="6"/>
      <c r="X152" s="76"/>
      <c r="AA152">
        <f t="shared" ref="AA152:AA159" si="56">AA151+1</f>
        <v>2014</v>
      </c>
      <c r="AB152" s="6">
        <f t="shared" si="54"/>
        <v>673202.10060373694</v>
      </c>
      <c r="AC152" s="15">
        <f t="shared" si="55"/>
        <v>0.29114652368165861</v>
      </c>
    </row>
    <row r="153" spans="23:29">
      <c r="W153" s="6"/>
      <c r="X153" s="76"/>
      <c r="AA153">
        <f t="shared" si="56"/>
        <v>2015</v>
      </c>
      <c r="AB153" s="6">
        <f t="shared" si="54"/>
        <v>3649470.300554201</v>
      </c>
      <c r="AC153" s="15">
        <f t="shared" si="55"/>
        <v>0.26264699387781332</v>
      </c>
    </row>
    <row r="154" spans="23:29">
      <c r="W154" s="6"/>
      <c r="X154" s="76"/>
      <c r="AA154">
        <f t="shared" si="56"/>
        <v>2016</v>
      </c>
      <c r="AB154" s="6">
        <f t="shared" si="54"/>
        <v>2780009.7407103702</v>
      </c>
      <c r="AC154" s="15">
        <f t="shared" si="55"/>
        <v>0.27213834330244058</v>
      </c>
    </row>
    <row r="155" spans="23:29">
      <c r="W155" s="6"/>
      <c r="X155" s="76"/>
      <c r="AA155">
        <f t="shared" si="56"/>
        <v>2017</v>
      </c>
      <c r="AB155" s="6">
        <f t="shared" si="54"/>
        <v>2746309.5347362235</v>
      </c>
      <c r="AC155" s="15">
        <f t="shared" si="55"/>
        <v>0.27134247327081273</v>
      </c>
    </row>
    <row r="156" spans="23:29">
      <c r="W156" s="6"/>
      <c r="X156" s="76"/>
      <c r="AA156">
        <f t="shared" si="56"/>
        <v>2018</v>
      </c>
      <c r="AB156" s="6">
        <f t="shared" si="54"/>
        <v>-3680367.1509253308</v>
      </c>
      <c r="AC156" s="15">
        <f t="shared" si="55"/>
        <v>0.29167053871659926</v>
      </c>
    </row>
    <row r="157" spans="23:29">
      <c r="W157" s="6"/>
      <c r="X157" s="76"/>
      <c r="AA157">
        <f t="shared" si="56"/>
        <v>2019</v>
      </c>
      <c r="AB157" s="6">
        <f t="shared" si="54"/>
        <v>-2494218.7301037647</v>
      </c>
      <c r="AC157" s="15">
        <f t="shared" si="55"/>
        <v>0.22187319705718089</v>
      </c>
    </row>
    <row r="158" spans="23:29">
      <c r="W158" s="6"/>
      <c r="X158" s="76"/>
      <c r="AA158">
        <f t="shared" si="56"/>
        <v>2020</v>
      </c>
      <c r="AB158" s="6">
        <f t="shared" si="54"/>
        <v>-6223812.370715037</v>
      </c>
      <c r="AC158" s="15">
        <f t="shared" si="55"/>
        <v>0.32263875569892742</v>
      </c>
    </row>
    <row r="159" spans="23:29">
      <c r="W159" s="6"/>
      <c r="X159" s="76"/>
      <c r="AA159">
        <f t="shared" si="56"/>
        <v>2021</v>
      </c>
      <c r="AB159" s="6">
        <f t="shared" si="54"/>
        <v>2858034.1065078154</v>
      </c>
      <c r="AC159" s="15">
        <f t="shared" si="55"/>
        <v>0.24587474548936777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3" tint="0.79998168889431442"/>
  </sheetPr>
  <dimension ref="A1:W180"/>
  <sheetViews>
    <sheetView topLeftCell="I1" workbookViewId="0">
      <selection activeCell="AE43" sqref="AE43"/>
    </sheetView>
  </sheetViews>
  <sheetFormatPr defaultRowHeight="15"/>
  <cols>
    <col min="1" max="1" width="12.28515625" customWidth="1"/>
    <col min="4" max="4" width="16.85546875" style="6" customWidth="1"/>
    <col min="7" max="7" width="11.42578125" customWidth="1"/>
    <col min="10" max="12" width="13.42578125" bestFit="1" customWidth="1"/>
    <col min="13" max="13" width="14.140625" bestFit="1" customWidth="1"/>
    <col min="14" max="14" width="13.42578125" bestFit="1" customWidth="1"/>
    <col min="15" max="15" width="14.42578125" bestFit="1" customWidth="1"/>
    <col min="16" max="16" width="12.28515625" bestFit="1" customWidth="1"/>
    <col min="17" max="17" width="13" customWidth="1"/>
    <col min="18" max="18" width="12.42578125" customWidth="1"/>
    <col min="19" max="19" width="15.7109375" customWidth="1"/>
    <col min="20" max="20" width="12.7109375" bestFit="1" customWidth="1"/>
    <col min="21" max="21" width="15.28515625" customWidth="1"/>
  </cols>
  <sheetData>
    <row r="1" spans="1:23">
      <c r="A1" t="s">
        <v>0</v>
      </c>
      <c r="B1" t="s">
        <v>52</v>
      </c>
      <c r="C1" t="s">
        <v>53</v>
      </c>
      <c r="D1" s="6" t="s">
        <v>78</v>
      </c>
      <c r="E1" t="s">
        <v>179</v>
      </c>
      <c r="F1" t="s">
        <v>178</v>
      </c>
      <c r="G1" t="str">
        <f>'Monthly Data'!CI1</f>
        <v>COVID_AM</v>
      </c>
      <c r="H1" t="str">
        <f>'Monthly Data'!BA1</f>
        <v>Adj.Lnd_FTE</v>
      </c>
      <c r="J1" t="s">
        <v>85</v>
      </c>
      <c r="K1" t="str">
        <f>E1</f>
        <v>HDD14</v>
      </c>
      <c r="L1" t="str">
        <f t="shared" ref="L1:N1" si="0">F1</f>
        <v>CDD16</v>
      </c>
      <c r="M1" t="str">
        <f t="shared" si="0"/>
        <v>COVID_AM</v>
      </c>
      <c r="N1" t="str">
        <f t="shared" si="0"/>
        <v>Adj.Lnd_FTE</v>
      </c>
      <c r="O1" t="s">
        <v>86</v>
      </c>
      <c r="P1" t="s">
        <v>104</v>
      </c>
      <c r="Q1" t="s">
        <v>87</v>
      </c>
    </row>
    <row r="2" spans="1:23">
      <c r="A2" s="245">
        <v>40909</v>
      </c>
      <c r="B2">
        <f t="shared" ref="B2:B21" si="1">MONTH(A2)</f>
        <v>1</v>
      </c>
      <c r="C2">
        <f t="shared" ref="C2:C21" si="2">YEAR(A2)</f>
        <v>2012</v>
      </c>
      <c r="D2" s="6">
        <v>9715146.4363389518</v>
      </c>
      <c r="E2">
        <v>488.59999999999997</v>
      </c>
      <c r="F2">
        <v>0</v>
      </c>
      <c r="G2">
        <f>'Monthly Data'!CI2</f>
        <v>0</v>
      </c>
      <c r="H2">
        <f>'Monthly Data'!BA2</f>
        <v>234.6</v>
      </c>
      <c r="J2" s="6">
        <f>$T$7</f>
        <v>4665603.6585154198</v>
      </c>
      <c r="K2" s="6">
        <f>E2*$T$8</f>
        <v>2119604.0062753283</v>
      </c>
      <c r="L2" s="6">
        <f>F2*$T$9</f>
        <v>0</v>
      </c>
      <c r="M2" s="6">
        <f>G2*$T$10</f>
        <v>0</v>
      </c>
      <c r="N2" s="6">
        <f>H2*$T$11</f>
        <v>2360758.3738714801</v>
      </c>
      <c r="O2" s="6">
        <f>SUM(J2:N2)</f>
        <v>9145966.0386622287</v>
      </c>
      <c r="P2" s="6">
        <f t="shared" ref="P2:P33" si="3">O2-D2</f>
        <v>-569180.39767672308</v>
      </c>
      <c r="Q2" s="15">
        <f t="shared" ref="Q2:Q33" si="4">ABS(O2-D2)/D2</f>
        <v>5.8586908741564227E-2</v>
      </c>
      <c r="S2" t="s">
        <v>368</v>
      </c>
    </row>
    <row r="3" spans="1:23">
      <c r="A3" s="245">
        <v>40940</v>
      </c>
      <c r="B3">
        <f t="shared" si="1"/>
        <v>2</v>
      </c>
      <c r="C3">
        <f t="shared" si="2"/>
        <v>2012</v>
      </c>
      <c r="D3" s="6">
        <v>8758035.2273938507</v>
      </c>
      <c r="E3">
        <v>405.99999999999994</v>
      </c>
      <c r="F3">
        <v>0</v>
      </c>
      <c r="G3">
        <f>'Monthly Data'!CI3</f>
        <v>0</v>
      </c>
      <c r="H3">
        <f>'Monthly Data'!BA3</f>
        <v>232.7</v>
      </c>
      <c r="J3" s="6">
        <f t="shared" ref="J3:J66" si="5">$T$7</f>
        <v>4665603.6585154198</v>
      </c>
      <c r="K3" s="6">
        <f t="shared" ref="K3:K66" si="6">E3*$T$8</f>
        <v>1761275.5353004162</v>
      </c>
      <c r="L3" s="6">
        <f t="shared" ref="L3:L66" si="7">F3*$T$9</f>
        <v>0</v>
      </c>
      <c r="M3" s="6">
        <f t="shared" ref="M3:M66" si="8">G3*$T$10</f>
        <v>0</v>
      </c>
      <c r="N3" s="6">
        <f t="shared" ref="N3:N66" si="9">H3*$T$11</f>
        <v>2341638.8473993749</v>
      </c>
      <c r="O3" s="6">
        <f t="shared" ref="O3:O66" si="10">SUM(J3:N3)</f>
        <v>8768518.0412152112</v>
      </c>
      <c r="P3" s="6">
        <f t="shared" si="3"/>
        <v>10482.813821360469</v>
      </c>
      <c r="Q3" s="15">
        <f t="shared" si="4"/>
        <v>1.1969367043160278E-3</v>
      </c>
      <c r="S3" t="s">
        <v>339</v>
      </c>
    </row>
    <row r="4" spans="1:23">
      <c r="A4" s="245">
        <v>40969</v>
      </c>
      <c r="B4">
        <f t="shared" si="1"/>
        <v>3</v>
      </c>
      <c r="C4">
        <f t="shared" si="2"/>
        <v>2012</v>
      </c>
      <c r="D4" s="6">
        <v>8522126.5363044497</v>
      </c>
      <c r="E4">
        <v>216.19999999999996</v>
      </c>
      <c r="F4">
        <v>13.300000000000004</v>
      </c>
      <c r="G4">
        <f>'Monthly Data'!CI4</f>
        <v>0</v>
      </c>
      <c r="H4">
        <f>'Monthly Data'!BA4</f>
        <v>231.5</v>
      </c>
      <c r="J4" s="6">
        <f t="shared" si="5"/>
        <v>4665603.6585154198</v>
      </c>
      <c r="K4" s="6">
        <f>E4*$T$8</f>
        <v>937900.91313288163</v>
      </c>
      <c r="L4" s="6">
        <f>F4*$T$9</f>
        <v>199735.69473893265</v>
      </c>
      <c r="M4" s="6">
        <f>G4*$T$10</f>
        <v>0</v>
      </c>
      <c r="N4" s="6">
        <f t="shared" si="9"/>
        <v>2329563.3569959407</v>
      </c>
      <c r="O4" s="6">
        <f t="shared" si="10"/>
        <v>8132803.6233831756</v>
      </c>
      <c r="P4" s="6">
        <f t="shared" si="3"/>
        <v>-389322.91292127408</v>
      </c>
      <c r="Q4" s="15">
        <f t="shared" si="4"/>
        <v>4.5683775201265757E-2</v>
      </c>
      <c r="S4" t="s">
        <v>372</v>
      </c>
    </row>
    <row r="5" spans="1:23">
      <c r="A5" s="245">
        <v>41000</v>
      </c>
      <c r="B5">
        <f t="shared" si="1"/>
        <v>4</v>
      </c>
      <c r="C5">
        <f t="shared" si="2"/>
        <v>2012</v>
      </c>
      <c r="D5" s="6">
        <v>7739075.6310959514</v>
      </c>
      <c r="E5">
        <v>223.79999999999995</v>
      </c>
      <c r="F5">
        <v>2</v>
      </c>
      <c r="G5">
        <f>'Monthly Data'!CI5</f>
        <v>0</v>
      </c>
      <c r="H5">
        <f>'Monthly Data'!BA5</f>
        <v>236.5</v>
      </c>
      <c r="J5" s="6">
        <f t="shared" si="5"/>
        <v>4665603.6585154198</v>
      </c>
      <c r="K5" s="6">
        <f t="shared" si="6"/>
        <v>970870.60295623913</v>
      </c>
      <c r="L5" s="6">
        <f t="shared" si="7"/>
        <v>30035.442817884599</v>
      </c>
      <c r="M5" s="6">
        <f t="shared" si="8"/>
        <v>0</v>
      </c>
      <c r="N5" s="6">
        <f t="shared" si="9"/>
        <v>2379877.9003435848</v>
      </c>
      <c r="O5" s="6">
        <f t="shared" si="10"/>
        <v>8046387.6046331283</v>
      </c>
      <c r="P5" s="6">
        <f t="shared" si="3"/>
        <v>307311.97353717685</v>
      </c>
      <c r="Q5" s="15">
        <f t="shared" si="4"/>
        <v>3.9709131708492884E-2</v>
      </c>
    </row>
    <row r="6" spans="1:23">
      <c r="A6" s="245">
        <v>41030</v>
      </c>
      <c r="B6">
        <f t="shared" si="1"/>
        <v>5</v>
      </c>
      <c r="C6">
        <f t="shared" si="2"/>
        <v>2012</v>
      </c>
      <c r="D6" s="6">
        <v>7942686.7721972512</v>
      </c>
      <c r="E6">
        <v>33.5</v>
      </c>
      <c r="F6">
        <v>47.099999999999994</v>
      </c>
      <c r="G6">
        <f>'Monthly Data'!CI6</f>
        <v>0</v>
      </c>
      <c r="H6">
        <f>'Monthly Data'!BA6</f>
        <v>242.2</v>
      </c>
      <c r="J6" s="6">
        <f t="shared" si="5"/>
        <v>4665603.6585154198</v>
      </c>
      <c r="K6" s="6">
        <f t="shared" si="6"/>
        <v>145326.92224769446</v>
      </c>
      <c r="L6" s="6">
        <f t="shared" si="7"/>
        <v>707334.67836118222</v>
      </c>
      <c r="M6" s="6">
        <f t="shared" si="8"/>
        <v>0</v>
      </c>
      <c r="N6" s="6">
        <f t="shared" si="9"/>
        <v>2437236.4797598994</v>
      </c>
      <c r="O6" s="6">
        <f t="shared" si="10"/>
        <v>7955501.7388841957</v>
      </c>
      <c r="P6" s="6">
        <f t="shared" si="3"/>
        <v>12814.966686944477</v>
      </c>
      <c r="Q6" s="15">
        <f t="shared" si="4"/>
        <v>1.6134296938162358E-3</v>
      </c>
      <c r="T6" t="s">
        <v>89</v>
      </c>
      <c r="U6" t="s">
        <v>90</v>
      </c>
      <c r="V6" t="s">
        <v>91</v>
      </c>
      <c r="W6" t="s">
        <v>92</v>
      </c>
    </row>
    <row r="7" spans="1:23">
      <c r="A7" s="245">
        <v>41061</v>
      </c>
      <c r="B7">
        <f t="shared" si="1"/>
        <v>6</v>
      </c>
      <c r="C7">
        <f t="shared" si="2"/>
        <v>2012</v>
      </c>
      <c r="D7" s="6">
        <v>8944453.9506688509</v>
      </c>
      <c r="E7">
        <v>2.7999999999999989</v>
      </c>
      <c r="F7">
        <v>139.40000000000003</v>
      </c>
      <c r="G7">
        <f>'Monthly Data'!CI7</f>
        <v>0</v>
      </c>
      <c r="H7">
        <f>'Monthly Data'!BA7</f>
        <v>246.2</v>
      </c>
      <c r="J7" s="6">
        <f t="shared" si="5"/>
        <v>4665603.6585154198</v>
      </c>
      <c r="K7" s="6">
        <f t="shared" si="6"/>
        <v>12146.727829658039</v>
      </c>
      <c r="L7" s="6">
        <f t="shared" si="7"/>
        <v>2093470.3644065571</v>
      </c>
      <c r="M7" s="6">
        <f t="shared" si="8"/>
        <v>0</v>
      </c>
      <c r="N7" s="6">
        <f t="shared" si="9"/>
        <v>2477488.114438015</v>
      </c>
      <c r="O7" s="6">
        <f t="shared" si="10"/>
        <v>9248708.8651896492</v>
      </c>
      <c r="P7" s="6">
        <f t="shared" si="3"/>
        <v>304254.91452079825</v>
      </c>
      <c r="Q7" s="15">
        <f t="shared" si="4"/>
        <v>3.401604124733032E-2</v>
      </c>
      <c r="S7" t="s">
        <v>85</v>
      </c>
      <c r="T7" s="6">
        <v>4665603.6585154198</v>
      </c>
      <c r="U7" s="70">
        <v>470024.68424504402</v>
      </c>
      <c r="V7" s="85">
        <v>9.9262949689745295</v>
      </c>
      <c r="W7" s="240">
        <v>1.5404974761241601E-17</v>
      </c>
    </row>
    <row r="8" spans="1:23">
      <c r="A8" s="245">
        <v>41091</v>
      </c>
      <c r="B8">
        <f t="shared" si="1"/>
        <v>7</v>
      </c>
      <c r="C8">
        <f t="shared" si="2"/>
        <v>2012</v>
      </c>
      <c r="D8" s="6">
        <v>10398756.83768275</v>
      </c>
      <c r="E8">
        <v>0</v>
      </c>
      <c r="F8">
        <v>215.9</v>
      </c>
      <c r="G8">
        <f>'Monthly Data'!CI8</f>
        <v>0</v>
      </c>
      <c r="H8">
        <f>'Monthly Data'!BA8</f>
        <v>247.9</v>
      </c>
      <c r="J8" s="6">
        <f t="shared" si="5"/>
        <v>4665603.6585154198</v>
      </c>
      <c r="K8" s="6">
        <f t="shared" si="6"/>
        <v>0</v>
      </c>
      <c r="L8" s="6">
        <f t="shared" si="7"/>
        <v>3242326.0521906423</v>
      </c>
      <c r="M8" s="6">
        <f t="shared" si="8"/>
        <v>0</v>
      </c>
      <c r="N8" s="6">
        <f t="shared" si="9"/>
        <v>2494595.0591762145</v>
      </c>
      <c r="O8" s="6">
        <f t="shared" si="10"/>
        <v>10402524.769882277</v>
      </c>
      <c r="P8" s="6">
        <f t="shared" si="3"/>
        <v>3767.9321995265782</v>
      </c>
      <c r="Q8" s="15">
        <f t="shared" si="4"/>
        <v>3.6234448582088597E-4</v>
      </c>
      <c r="S8" t="s">
        <v>179</v>
      </c>
      <c r="T8" s="6">
        <v>4338.1170820207299</v>
      </c>
      <c r="U8" s="70">
        <v>176.59538518840299</v>
      </c>
      <c r="V8" s="85">
        <v>24.565291314903501</v>
      </c>
      <c r="W8" s="240">
        <v>4.3990446231676102E-50</v>
      </c>
    </row>
    <row r="9" spans="1:23">
      <c r="A9" s="245">
        <v>41122</v>
      </c>
      <c r="B9">
        <f t="shared" si="1"/>
        <v>8</v>
      </c>
      <c r="C9">
        <f t="shared" si="2"/>
        <v>2012</v>
      </c>
      <c r="D9" s="6">
        <v>9361959.3423689511</v>
      </c>
      <c r="E9">
        <v>0</v>
      </c>
      <c r="F9">
        <v>147.50000000000003</v>
      </c>
      <c r="G9">
        <f>'Monthly Data'!CI9</f>
        <v>0</v>
      </c>
      <c r="H9">
        <f>'Monthly Data'!BA9</f>
        <v>248.9</v>
      </c>
      <c r="J9" s="6">
        <f t="shared" si="5"/>
        <v>4665603.6585154198</v>
      </c>
      <c r="K9" s="6">
        <f t="shared" si="6"/>
        <v>0</v>
      </c>
      <c r="L9" s="6">
        <f t="shared" si="7"/>
        <v>2215113.9078189898</v>
      </c>
      <c r="M9" s="6">
        <f t="shared" si="8"/>
        <v>0</v>
      </c>
      <c r="N9" s="6">
        <f t="shared" si="9"/>
        <v>2504657.9678457435</v>
      </c>
      <c r="O9" s="6">
        <f t="shared" si="10"/>
        <v>9385375.5341801532</v>
      </c>
      <c r="P9" s="6">
        <f t="shared" si="3"/>
        <v>23416.191811202094</v>
      </c>
      <c r="Q9" s="15">
        <f t="shared" si="4"/>
        <v>2.5012063132157183E-3</v>
      </c>
      <c r="S9" t="s">
        <v>178</v>
      </c>
      <c r="T9" s="6">
        <v>15017.7214089423</v>
      </c>
      <c r="U9" s="70">
        <v>569.71181371910495</v>
      </c>
      <c r="V9" s="85">
        <v>26.360207121045899</v>
      </c>
      <c r="W9" s="240">
        <v>2.4371155123999201E-53</v>
      </c>
    </row>
    <row r="10" spans="1:23">
      <c r="A10" s="245">
        <v>41153</v>
      </c>
      <c r="B10">
        <f t="shared" si="1"/>
        <v>9</v>
      </c>
      <c r="C10">
        <f t="shared" si="2"/>
        <v>2012</v>
      </c>
      <c r="D10" s="6">
        <v>7892744.2531334516</v>
      </c>
      <c r="E10">
        <v>26.4</v>
      </c>
      <c r="F10">
        <v>52.199999999999996</v>
      </c>
      <c r="G10">
        <f>'Monthly Data'!CI10</f>
        <v>0</v>
      </c>
      <c r="H10">
        <f>'Monthly Data'!BA10</f>
        <v>248.4</v>
      </c>
      <c r="J10" s="6">
        <f t="shared" si="5"/>
        <v>4665603.6585154198</v>
      </c>
      <c r="K10" s="6">
        <f t="shared" si="6"/>
        <v>114526.29096534726</v>
      </c>
      <c r="L10" s="6">
        <f t="shared" si="7"/>
        <v>783925.05754678801</v>
      </c>
      <c r="M10" s="6">
        <f t="shared" si="8"/>
        <v>0</v>
      </c>
      <c r="N10" s="6">
        <f t="shared" si="9"/>
        <v>2499626.5135109788</v>
      </c>
      <c r="O10" s="6">
        <f t="shared" si="10"/>
        <v>8063681.520538534</v>
      </c>
      <c r="P10" s="6">
        <f t="shared" si="3"/>
        <v>170937.26740508247</v>
      </c>
      <c r="Q10" s="15">
        <f t="shared" si="4"/>
        <v>2.1657520112503287E-2</v>
      </c>
      <c r="S10" t="s">
        <v>279</v>
      </c>
      <c r="T10" s="6">
        <v>-1002482.05151127</v>
      </c>
      <c r="U10" s="70">
        <v>153332.34724462</v>
      </c>
      <c r="V10" s="85">
        <v>-6.5379684686621102</v>
      </c>
      <c r="W10" s="240">
        <v>1.3758468777363801E-9</v>
      </c>
    </row>
    <row r="11" spans="1:23">
      <c r="A11" s="245">
        <v>41183</v>
      </c>
      <c r="B11">
        <f t="shared" si="1"/>
        <v>10</v>
      </c>
      <c r="C11">
        <f t="shared" si="2"/>
        <v>2012</v>
      </c>
      <c r="D11" s="6">
        <v>7783049.2121892506</v>
      </c>
      <c r="E11">
        <v>118.29999999999998</v>
      </c>
      <c r="F11">
        <v>9.8000000000000007</v>
      </c>
      <c r="G11">
        <f>'Monthly Data'!CI11</f>
        <v>0</v>
      </c>
      <c r="H11">
        <f>'Monthly Data'!BA11</f>
        <v>243.5</v>
      </c>
      <c r="J11" s="6">
        <f t="shared" si="5"/>
        <v>4665603.6585154198</v>
      </c>
      <c r="K11" s="6">
        <f t="shared" si="6"/>
        <v>513199.25080305227</v>
      </c>
      <c r="L11" s="6">
        <f t="shared" si="7"/>
        <v>147173.66980763455</v>
      </c>
      <c r="M11" s="6">
        <f t="shared" si="8"/>
        <v>0</v>
      </c>
      <c r="N11" s="6">
        <f t="shared" si="9"/>
        <v>2450318.2610302875</v>
      </c>
      <c r="O11" s="6">
        <f t="shared" si="10"/>
        <v>7776294.8401563941</v>
      </c>
      <c r="P11" s="6">
        <f t="shared" si="3"/>
        <v>-6754.3720328565687</v>
      </c>
      <c r="Q11" s="15">
        <f t="shared" si="4"/>
        <v>8.6783108377091567E-4</v>
      </c>
      <c r="S11" t="s">
        <v>340</v>
      </c>
      <c r="T11" s="6">
        <v>10062.908669528901</v>
      </c>
      <c r="U11" s="70">
        <v>1871.4602424908201</v>
      </c>
      <c r="V11" s="85">
        <v>5.3770357718824098</v>
      </c>
      <c r="W11" s="240">
        <v>3.5071847555944602E-7</v>
      </c>
    </row>
    <row r="12" spans="1:23">
      <c r="A12" s="245">
        <v>41214</v>
      </c>
      <c r="B12">
        <f t="shared" si="1"/>
        <v>11</v>
      </c>
      <c r="C12">
        <f t="shared" si="2"/>
        <v>2012</v>
      </c>
      <c r="D12" s="6">
        <v>8189402.8398290509</v>
      </c>
      <c r="E12">
        <v>310.49999999999994</v>
      </c>
      <c r="F12">
        <v>0</v>
      </c>
      <c r="G12">
        <f>'Monthly Data'!CI12</f>
        <v>0</v>
      </c>
      <c r="H12">
        <f>'Monthly Data'!BA12</f>
        <v>241.1</v>
      </c>
      <c r="J12" s="6">
        <f t="shared" si="5"/>
        <v>4665603.6585154198</v>
      </c>
      <c r="K12" s="6">
        <f t="shared" si="6"/>
        <v>1346985.3539674364</v>
      </c>
      <c r="L12" s="6">
        <f t="shared" si="7"/>
        <v>0</v>
      </c>
      <c r="M12" s="6">
        <f t="shared" si="8"/>
        <v>0</v>
      </c>
      <c r="N12" s="6">
        <f t="shared" si="9"/>
        <v>2426167.280223418</v>
      </c>
      <c r="O12" s="6">
        <f t="shared" si="10"/>
        <v>8438756.2927062735</v>
      </c>
      <c r="P12" s="6">
        <f t="shared" si="3"/>
        <v>249353.45287722256</v>
      </c>
      <c r="Q12" s="15">
        <f t="shared" si="4"/>
        <v>3.0448307129855107E-2</v>
      </c>
    </row>
    <row r="13" spans="1:23">
      <c r="A13" s="245">
        <v>41244</v>
      </c>
      <c r="B13">
        <f t="shared" si="1"/>
        <v>12</v>
      </c>
      <c r="C13">
        <f t="shared" si="2"/>
        <v>2012</v>
      </c>
      <c r="D13" s="6">
        <v>9020722.2922806516</v>
      </c>
      <c r="E13">
        <v>392.7</v>
      </c>
      <c r="F13">
        <v>0</v>
      </c>
      <c r="G13">
        <f>'Monthly Data'!CI13</f>
        <v>0</v>
      </c>
      <c r="H13">
        <f>'Monthly Data'!BA13</f>
        <v>239.7</v>
      </c>
      <c r="J13" s="6">
        <f t="shared" si="5"/>
        <v>4665603.6585154198</v>
      </c>
      <c r="K13" s="6">
        <f t="shared" si="6"/>
        <v>1703578.5781095405</v>
      </c>
      <c r="L13" s="6">
        <f t="shared" si="7"/>
        <v>0</v>
      </c>
      <c r="M13" s="6">
        <f t="shared" si="8"/>
        <v>0</v>
      </c>
      <c r="N13" s="6">
        <f t="shared" si="9"/>
        <v>2412079.2080860776</v>
      </c>
      <c r="O13" s="6">
        <f t="shared" si="10"/>
        <v>8781261.444711037</v>
      </c>
      <c r="P13" s="6">
        <f t="shared" si="3"/>
        <v>-239460.84756961465</v>
      </c>
      <c r="Q13" s="15">
        <f t="shared" si="4"/>
        <v>2.6545640117369502E-2</v>
      </c>
      <c r="S13" t="s">
        <v>190</v>
      </c>
    </row>
    <row r="14" spans="1:23">
      <c r="A14" s="245">
        <v>41275</v>
      </c>
      <c r="B14">
        <f t="shared" si="1"/>
        <v>1</v>
      </c>
      <c r="C14">
        <f t="shared" si="2"/>
        <v>2013</v>
      </c>
      <c r="D14" s="6">
        <v>9534040.4083122835</v>
      </c>
      <c r="E14">
        <v>520.09999999999991</v>
      </c>
      <c r="F14">
        <v>0</v>
      </c>
      <c r="G14">
        <f>'Monthly Data'!CI14</f>
        <v>0</v>
      </c>
      <c r="H14">
        <f>'Monthly Data'!BA14</f>
        <v>240.7</v>
      </c>
      <c r="J14" s="6">
        <f t="shared" si="5"/>
        <v>4665603.6585154198</v>
      </c>
      <c r="K14" s="6">
        <f t="shared" si="6"/>
        <v>2256254.6943589812</v>
      </c>
      <c r="L14" s="6">
        <f t="shared" si="7"/>
        <v>0</v>
      </c>
      <c r="M14" s="6">
        <f t="shared" si="8"/>
        <v>0</v>
      </c>
      <c r="N14" s="6">
        <f t="shared" si="9"/>
        <v>2422142.1167556061</v>
      </c>
      <c r="O14" s="6">
        <f t="shared" si="10"/>
        <v>9344000.4696300067</v>
      </c>
      <c r="P14" s="6">
        <f t="shared" si="3"/>
        <v>-190039.93868227676</v>
      </c>
      <c r="Q14" s="15">
        <f t="shared" si="4"/>
        <v>1.9932780913807523E-2</v>
      </c>
      <c r="S14" t="s">
        <v>94</v>
      </c>
      <c r="T14" s="6">
        <v>8777023.6121904608</v>
      </c>
      <c r="U14" t="s">
        <v>95</v>
      </c>
      <c r="V14" s="6">
        <v>796413.38200194505</v>
      </c>
    </row>
    <row r="15" spans="1:23">
      <c r="A15" s="245">
        <v>41306</v>
      </c>
      <c r="B15">
        <f t="shared" si="1"/>
        <v>2</v>
      </c>
      <c r="C15">
        <f t="shared" si="2"/>
        <v>2013</v>
      </c>
      <c r="D15" s="6">
        <v>9006643.9426317848</v>
      </c>
      <c r="E15">
        <v>507.19999999999993</v>
      </c>
      <c r="F15">
        <v>0</v>
      </c>
      <c r="G15">
        <f>'Monthly Data'!CI15</f>
        <v>0</v>
      </c>
      <c r="H15">
        <f>'Monthly Data'!BA15</f>
        <v>237.8</v>
      </c>
      <c r="J15" s="6">
        <f t="shared" si="5"/>
        <v>4665603.6585154198</v>
      </c>
      <c r="K15" s="6">
        <f t="shared" si="6"/>
        <v>2200292.9840009138</v>
      </c>
      <c r="L15" s="6">
        <f t="shared" si="7"/>
        <v>0</v>
      </c>
      <c r="M15" s="6">
        <f t="shared" si="8"/>
        <v>0</v>
      </c>
      <c r="N15" s="6">
        <f t="shared" si="9"/>
        <v>2392959.6816139729</v>
      </c>
      <c r="O15" s="6">
        <f t="shared" si="10"/>
        <v>9258856.324130306</v>
      </c>
      <c r="P15" s="6">
        <f t="shared" si="3"/>
        <v>252212.38149852119</v>
      </c>
      <c r="Q15" s="15">
        <f t="shared" si="4"/>
        <v>2.8002925740708645E-2</v>
      </c>
      <c r="S15" t="s">
        <v>96</v>
      </c>
      <c r="T15" s="241">
        <v>9322619662025</v>
      </c>
      <c r="U15" t="s">
        <v>97</v>
      </c>
      <c r="V15" s="6">
        <v>270936.25455389498</v>
      </c>
    </row>
    <row r="16" spans="1:23">
      <c r="A16" s="245">
        <v>41334</v>
      </c>
      <c r="B16">
        <f t="shared" si="1"/>
        <v>3</v>
      </c>
      <c r="C16">
        <f t="shared" si="2"/>
        <v>2013</v>
      </c>
      <c r="D16" s="6">
        <v>9257804.8367192838</v>
      </c>
      <c r="E16">
        <v>435.40000000000015</v>
      </c>
      <c r="F16">
        <v>0</v>
      </c>
      <c r="G16">
        <f>'Monthly Data'!CI16</f>
        <v>0</v>
      </c>
      <c r="H16">
        <f>'Monthly Data'!BA16</f>
        <v>236.6</v>
      </c>
      <c r="J16" s="6">
        <f t="shared" si="5"/>
        <v>4665603.6585154198</v>
      </c>
      <c r="K16" s="6">
        <f t="shared" si="6"/>
        <v>1888816.1775118264</v>
      </c>
      <c r="L16" s="6">
        <f t="shared" si="7"/>
        <v>0</v>
      </c>
      <c r="M16" s="6">
        <f t="shared" si="8"/>
        <v>0</v>
      </c>
      <c r="N16" s="6">
        <f t="shared" si="9"/>
        <v>2380884.1912105377</v>
      </c>
      <c r="O16" s="6">
        <f t="shared" si="10"/>
        <v>8935304.0272377841</v>
      </c>
      <c r="P16" s="6">
        <f t="shared" si="3"/>
        <v>-322500.80948149972</v>
      </c>
      <c r="Q16" s="15">
        <f t="shared" si="4"/>
        <v>3.4835559311248702E-2</v>
      </c>
      <c r="S16" t="s">
        <v>98</v>
      </c>
      <c r="T16" s="242">
        <v>0.88780200277797805</v>
      </c>
      <c r="U16" t="s">
        <v>99</v>
      </c>
      <c r="V16" s="120">
        <v>0.884268207589883</v>
      </c>
    </row>
    <row r="17" spans="1:22">
      <c r="A17" s="245">
        <v>41365</v>
      </c>
      <c r="B17">
        <f t="shared" si="1"/>
        <v>4</v>
      </c>
      <c r="C17">
        <f t="shared" si="2"/>
        <v>2013</v>
      </c>
      <c r="D17" s="6">
        <v>8125918.1034470843</v>
      </c>
      <c r="E17">
        <v>243.3</v>
      </c>
      <c r="F17">
        <v>0.19999999999999929</v>
      </c>
      <c r="G17">
        <f>'Monthly Data'!CI17</f>
        <v>0</v>
      </c>
      <c r="H17">
        <f>'Monthly Data'!BA17</f>
        <v>237</v>
      </c>
      <c r="J17" s="6">
        <f t="shared" si="5"/>
        <v>4665603.6585154198</v>
      </c>
      <c r="K17" s="6">
        <f t="shared" si="6"/>
        <v>1055463.8860556437</v>
      </c>
      <c r="L17" s="6">
        <f t="shared" si="7"/>
        <v>3003.5442817884491</v>
      </c>
      <c r="M17" s="6">
        <f t="shared" si="8"/>
        <v>0</v>
      </c>
      <c r="N17" s="6">
        <f t="shared" si="9"/>
        <v>2384909.3546783496</v>
      </c>
      <c r="O17" s="6">
        <f t="shared" si="10"/>
        <v>8108980.4435312012</v>
      </c>
      <c r="P17" s="6">
        <f t="shared" si="3"/>
        <v>-16937.659915883094</v>
      </c>
      <c r="Q17" s="15">
        <f t="shared" si="4"/>
        <v>2.0843995349519944E-3</v>
      </c>
      <c r="S17" t="s">
        <v>373</v>
      </c>
      <c r="T17" s="244">
        <v>235.27391675169301</v>
      </c>
      <c r="U17" t="s">
        <v>100</v>
      </c>
      <c r="V17" s="120">
        <v>1.0722167344964801E-57</v>
      </c>
    </row>
    <row r="18" spans="1:22">
      <c r="A18" s="245">
        <v>41395</v>
      </c>
      <c r="B18">
        <f t="shared" si="1"/>
        <v>5</v>
      </c>
      <c r="C18">
        <f t="shared" si="2"/>
        <v>2013</v>
      </c>
      <c r="D18" s="6">
        <v>8062929.2464828845</v>
      </c>
      <c r="E18">
        <v>66.600000000000009</v>
      </c>
      <c r="F18">
        <v>58.900000000000006</v>
      </c>
      <c r="G18">
        <f>'Monthly Data'!CI18</f>
        <v>0</v>
      </c>
      <c r="H18">
        <f>'Monthly Data'!BA18</f>
        <v>239.1</v>
      </c>
      <c r="J18" s="6">
        <f t="shared" si="5"/>
        <v>4665603.6585154198</v>
      </c>
      <c r="K18" s="6">
        <f t="shared" si="6"/>
        <v>288918.59766258067</v>
      </c>
      <c r="L18" s="6">
        <f t="shared" si="7"/>
        <v>884543.7909867015</v>
      </c>
      <c r="M18" s="6">
        <f t="shared" si="8"/>
        <v>0</v>
      </c>
      <c r="N18" s="6">
        <f t="shared" si="9"/>
        <v>2406041.46288436</v>
      </c>
      <c r="O18" s="6">
        <f t="shared" si="10"/>
        <v>8245107.5100490628</v>
      </c>
      <c r="P18" s="6">
        <f t="shared" si="3"/>
        <v>182178.26356617827</v>
      </c>
      <c r="Q18" s="15">
        <f t="shared" si="4"/>
        <v>2.2594550689582934E-2</v>
      </c>
      <c r="S18" t="s">
        <v>101</v>
      </c>
      <c r="T18" s="243">
        <v>-4.7596453694323498E-2</v>
      </c>
      <c r="U18" t="s">
        <v>102</v>
      </c>
      <c r="V18" s="120">
        <v>2.05797896205888</v>
      </c>
    </row>
    <row r="19" spans="1:22">
      <c r="A19" s="245">
        <v>41426</v>
      </c>
      <c r="B19">
        <f t="shared" si="1"/>
        <v>6</v>
      </c>
      <c r="C19">
        <f t="shared" si="2"/>
        <v>2013</v>
      </c>
      <c r="D19" s="6">
        <v>8348247.6178910844</v>
      </c>
      <c r="E19">
        <v>8</v>
      </c>
      <c r="F19">
        <v>89.3</v>
      </c>
      <c r="G19">
        <f>'Monthly Data'!CI19</f>
        <v>0</v>
      </c>
      <c r="H19">
        <f>'Monthly Data'!BA19</f>
        <v>241.8</v>
      </c>
      <c r="J19" s="6">
        <f t="shared" si="5"/>
        <v>4665603.6585154198</v>
      </c>
      <c r="K19" s="6">
        <f t="shared" si="6"/>
        <v>34704.936656165839</v>
      </c>
      <c r="L19" s="6">
        <f t="shared" si="7"/>
        <v>1341082.5218185473</v>
      </c>
      <c r="M19" s="6">
        <f t="shared" si="8"/>
        <v>0</v>
      </c>
      <c r="N19" s="6">
        <f t="shared" si="9"/>
        <v>2433211.3162920885</v>
      </c>
      <c r="O19" s="6">
        <f t="shared" si="10"/>
        <v>8474602.4332822226</v>
      </c>
      <c r="P19" s="6">
        <f t="shared" si="3"/>
        <v>126354.8153911382</v>
      </c>
      <c r="Q19" s="15">
        <f t="shared" si="4"/>
        <v>1.5135489646994642E-2</v>
      </c>
    </row>
    <row r="20" spans="1:22">
      <c r="A20" s="245">
        <v>41456</v>
      </c>
      <c r="B20">
        <f t="shared" si="1"/>
        <v>7</v>
      </c>
      <c r="C20">
        <f t="shared" si="2"/>
        <v>2013</v>
      </c>
      <c r="D20" s="6">
        <v>9941815.5495547839</v>
      </c>
      <c r="E20">
        <v>0</v>
      </c>
      <c r="F20">
        <v>173.5</v>
      </c>
      <c r="G20">
        <f>'Monthly Data'!CI20</f>
        <v>0</v>
      </c>
      <c r="H20">
        <f>'Monthly Data'!BA20</f>
        <v>241.8</v>
      </c>
      <c r="J20" s="6">
        <f t="shared" si="5"/>
        <v>4665603.6585154198</v>
      </c>
      <c r="K20" s="6">
        <f t="shared" si="6"/>
        <v>0</v>
      </c>
      <c r="L20" s="6">
        <f t="shared" si="7"/>
        <v>2605574.6644514888</v>
      </c>
      <c r="M20" s="6">
        <f t="shared" si="8"/>
        <v>0</v>
      </c>
      <c r="N20" s="6">
        <f t="shared" si="9"/>
        <v>2433211.3162920885</v>
      </c>
      <c r="O20" s="6">
        <f t="shared" si="10"/>
        <v>9704389.6392589975</v>
      </c>
      <c r="P20" s="6">
        <f t="shared" si="3"/>
        <v>-237425.91029578634</v>
      </c>
      <c r="Q20" s="15">
        <f t="shared" si="4"/>
        <v>2.3881544483735546E-2</v>
      </c>
    </row>
    <row r="21" spans="1:22">
      <c r="A21" s="245">
        <v>41487</v>
      </c>
      <c r="B21">
        <f t="shared" si="1"/>
        <v>8</v>
      </c>
      <c r="C21">
        <f t="shared" si="2"/>
        <v>2013</v>
      </c>
      <c r="D21" s="6">
        <v>9130044.4114049841</v>
      </c>
      <c r="E21">
        <v>0</v>
      </c>
      <c r="F21">
        <v>126.10000000000002</v>
      </c>
      <c r="G21">
        <f>'Monthly Data'!CI21</f>
        <v>0</v>
      </c>
      <c r="H21">
        <f>'Monthly Data'!BA21</f>
        <v>240.8</v>
      </c>
      <c r="J21" s="6">
        <f t="shared" si="5"/>
        <v>4665603.6585154198</v>
      </c>
      <c r="K21" s="6">
        <f t="shared" si="6"/>
        <v>0</v>
      </c>
      <c r="L21" s="6">
        <f t="shared" si="7"/>
        <v>1893734.6696676244</v>
      </c>
      <c r="M21" s="6">
        <f t="shared" si="8"/>
        <v>0</v>
      </c>
      <c r="N21" s="6">
        <f t="shared" si="9"/>
        <v>2423148.4076225595</v>
      </c>
      <c r="O21" s="6">
        <f t="shared" si="10"/>
        <v>8982486.7358056027</v>
      </c>
      <c r="P21" s="6">
        <f t="shared" si="3"/>
        <v>-147557.67559938133</v>
      </c>
      <c r="Q21" s="15">
        <f t="shared" si="4"/>
        <v>1.6161769751640704E-2</v>
      </c>
    </row>
    <row r="22" spans="1:22">
      <c r="A22" s="245">
        <v>41518</v>
      </c>
      <c r="B22">
        <f t="shared" ref="B22:B85" si="11">MONTH(A22)</f>
        <v>9</v>
      </c>
      <c r="C22">
        <f t="shared" ref="C22:C85" si="12">YEAR(A22)</f>
        <v>2013</v>
      </c>
      <c r="D22" s="6">
        <v>7742147.1490493836</v>
      </c>
      <c r="E22">
        <v>24</v>
      </c>
      <c r="F22">
        <v>58.499999999999993</v>
      </c>
      <c r="G22">
        <f>'Monthly Data'!CI22</f>
        <v>0</v>
      </c>
      <c r="H22">
        <f>'Monthly Data'!BA22</f>
        <v>238.6</v>
      </c>
      <c r="J22" s="6">
        <f t="shared" si="5"/>
        <v>4665603.6585154198</v>
      </c>
      <c r="K22" s="6">
        <f t="shared" si="6"/>
        <v>104114.80996849752</v>
      </c>
      <c r="L22" s="6">
        <f t="shared" si="7"/>
        <v>878536.70242312446</v>
      </c>
      <c r="M22" s="6">
        <f t="shared" si="8"/>
        <v>0</v>
      </c>
      <c r="N22" s="6">
        <f t="shared" si="9"/>
        <v>2401010.0085495957</v>
      </c>
      <c r="O22" s="6">
        <f t="shared" si="10"/>
        <v>8049265.1794566382</v>
      </c>
      <c r="P22" s="6">
        <f t="shared" si="3"/>
        <v>307118.03040725458</v>
      </c>
      <c r="Q22" s="15">
        <f t="shared" si="4"/>
        <v>3.9668327725463595E-2</v>
      </c>
    </row>
    <row r="23" spans="1:22">
      <c r="A23" s="245">
        <v>41548</v>
      </c>
      <c r="B23">
        <f t="shared" si="11"/>
        <v>10</v>
      </c>
      <c r="C23">
        <f t="shared" si="12"/>
        <v>2013</v>
      </c>
      <c r="D23" s="6">
        <v>7764874.1227563843</v>
      </c>
      <c r="E23">
        <v>111.4</v>
      </c>
      <c r="F23">
        <v>14.300000000000004</v>
      </c>
      <c r="G23">
        <f>'Monthly Data'!CI23</f>
        <v>0</v>
      </c>
      <c r="H23">
        <f>'Monthly Data'!BA23</f>
        <v>237.6</v>
      </c>
      <c r="J23" s="6">
        <f t="shared" si="5"/>
        <v>4665603.6585154198</v>
      </c>
      <c r="K23" s="6">
        <f t="shared" si="6"/>
        <v>483266.24293710932</v>
      </c>
      <c r="L23" s="6">
        <f t="shared" si="7"/>
        <v>214753.41614787496</v>
      </c>
      <c r="M23" s="6">
        <f t="shared" si="8"/>
        <v>0</v>
      </c>
      <c r="N23" s="6">
        <f t="shared" si="9"/>
        <v>2390947.0998800667</v>
      </c>
      <c r="O23" s="6">
        <f t="shared" si="10"/>
        <v>7754570.4174804706</v>
      </c>
      <c r="P23" s="6">
        <f t="shared" si="3"/>
        <v>-10303.7052759137</v>
      </c>
      <c r="Q23" s="15">
        <f t="shared" si="4"/>
        <v>1.3269635943893548E-3</v>
      </c>
    </row>
    <row r="24" spans="1:22">
      <c r="A24" s="245">
        <v>41579</v>
      </c>
      <c r="B24">
        <f t="shared" si="11"/>
        <v>11</v>
      </c>
      <c r="C24">
        <f t="shared" si="12"/>
        <v>2013</v>
      </c>
      <c r="D24" s="6">
        <v>8442140.3708957825</v>
      </c>
      <c r="E24">
        <v>345.70000000000005</v>
      </c>
      <c r="F24">
        <v>0</v>
      </c>
      <c r="G24">
        <f>'Monthly Data'!CI24</f>
        <v>0</v>
      </c>
      <c r="H24">
        <f>'Monthly Data'!BA24</f>
        <v>236.7</v>
      </c>
      <c r="J24" s="6">
        <f t="shared" si="5"/>
        <v>4665603.6585154198</v>
      </c>
      <c r="K24" s="6">
        <f t="shared" si="6"/>
        <v>1499687.0752545665</v>
      </c>
      <c r="L24" s="6">
        <f t="shared" si="7"/>
        <v>0</v>
      </c>
      <c r="M24" s="6">
        <f t="shared" si="8"/>
        <v>0</v>
      </c>
      <c r="N24" s="6">
        <f t="shared" si="9"/>
        <v>2381890.4820774905</v>
      </c>
      <c r="O24" s="6">
        <f t="shared" si="10"/>
        <v>8547181.2158474773</v>
      </c>
      <c r="P24" s="6">
        <f t="shared" si="3"/>
        <v>105040.84495169483</v>
      </c>
      <c r="Q24" s="15">
        <f t="shared" si="4"/>
        <v>1.2442442359028095E-2</v>
      </c>
    </row>
    <row r="25" spans="1:22">
      <c r="A25" s="245">
        <v>41609</v>
      </c>
      <c r="B25">
        <f t="shared" si="11"/>
        <v>12</v>
      </c>
      <c r="C25">
        <f t="shared" si="12"/>
        <v>2013</v>
      </c>
      <c r="D25" s="6">
        <v>9615887.6118512843</v>
      </c>
      <c r="E25">
        <v>549.6</v>
      </c>
      <c r="F25">
        <v>0</v>
      </c>
      <c r="G25">
        <f>'Monthly Data'!CI25</f>
        <v>0</v>
      </c>
      <c r="H25">
        <f>'Monthly Data'!BA25</f>
        <v>236.2</v>
      </c>
      <c r="J25" s="6">
        <f t="shared" si="5"/>
        <v>4665603.6585154198</v>
      </c>
      <c r="K25" s="6">
        <f t="shared" si="6"/>
        <v>2384229.1482785931</v>
      </c>
      <c r="L25" s="6">
        <f t="shared" si="7"/>
        <v>0</v>
      </c>
      <c r="M25" s="6">
        <f t="shared" si="8"/>
        <v>0</v>
      </c>
      <c r="N25" s="6">
        <f t="shared" si="9"/>
        <v>2376859.0277427263</v>
      </c>
      <c r="O25" s="6">
        <f t="shared" si="10"/>
        <v>9426691.8345367387</v>
      </c>
      <c r="P25" s="6">
        <f t="shared" si="3"/>
        <v>-189195.77731454559</v>
      </c>
      <c r="Q25" s="15">
        <f t="shared" si="4"/>
        <v>1.9675331591996525E-2</v>
      </c>
    </row>
    <row r="26" spans="1:22">
      <c r="A26" s="245">
        <v>41640</v>
      </c>
      <c r="B26">
        <f t="shared" si="11"/>
        <v>1</v>
      </c>
      <c r="C26">
        <f t="shared" si="12"/>
        <v>2014</v>
      </c>
      <c r="D26" s="6">
        <v>10330036.572259538</v>
      </c>
      <c r="E26">
        <v>702.30000000000007</v>
      </c>
      <c r="F26">
        <v>0</v>
      </c>
      <c r="G26">
        <f>'Monthly Data'!CI26</f>
        <v>0</v>
      </c>
      <c r="H26">
        <f>'Monthly Data'!BA26</f>
        <v>233.3</v>
      </c>
      <c r="J26" s="6">
        <f t="shared" si="5"/>
        <v>4665603.6585154198</v>
      </c>
      <c r="K26" s="6">
        <f t="shared" si="6"/>
        <v>3046659.626703159</v>
      </c>
      <c r="L26" s="6">
        <f t="shared" si="7"/>
        <v>0</v>
      </c>
      <c r="M26" s="6">
        <f t="shared" si="8"/>
        <v>0</v>
      </c>
      <c r="N26" s="6">
        <f t="shared" si="9"/>
        <v>2347676.5926010925</v>
      </c>
      <c r="O26" s="6">
        <f t="shared" si="10"/>
        <v>10059939.877819672</v>
      </c>
      <c r="P26" s="6">
        <f t="shared" si="3"/>
        <v>-270096.69443986565</v>
      </c>
      <c r="Q26" s="15">
        <f t="shared" si="4"/>
        <v>2.6146731674231247E-2</v>
      </c>
    </row>
    <row r="27" spans="1:22">
      <c r="A27" s="245">
        <v>41671</v>
      </c>
      <c r="B27">
        <f t="shared" si="11"/>
        <v>2</v>
      </c>
      <c r="C27">
        <f t="shared" si="12"/>
        <v>2014</v>
      </c>
      <c r="D27" s="6">
        <v>9342848.3845273387</v>
      </c>
      <c r="E27">
        <v>651.70000000000005</v>
      </c>
      <c r="F27">
        <v>0</v>
      </c>
      <c r="G27">
        <f>'Monthly Data'!CI27</f>
        <v>0</v>
      </c>
      <c r="H27">
        <f>'Monthly Data'!BA27</f>
        <v>231.5</v>
      </c>
      <c r="J27" s="6">
        <f t="shared" si="5"/>
        <v>4665603.6585154198</v>
      </c>
      <c r="K27" s="6">
        <f t="shared" si="6"/>
        <v>2827150.90235291</v>
      </c>
      <c r="L27" s="6">
        <f t="shared" si="7"/>
        <v>0</v>
      </c>
      <c r="M27" s="6">
        <f t="shared" si="8"/>
        <v>0</v>
      </c>
      <c r="N27" s="6">
        <f t="shared" si="9"/>
        <v>2329563.3569959407</v>
      </c>
      <c r="O27" s="6">
        <f t="shared" si="10"/>
        <v>9822317.9178642705</v>
      </c>
      <c r="P27" s="6">
        <f t="shared" si="3"/>
        <v>479469.53333693184</v>
      </c>
      <c r="Q27" s="15">
        <f t="shared" si="4"/>
        <v>5.1319417120262785E-2</v>
      </c>
    </row>
    <row r="28" spans="1:22">
      <c r="A28" s="245">
        <v>41699</v>
      </c>
      <c r="B28">
        <f t="shared" si="11"/>
        <v>3</v>
      </c>
      <c r="C28">
        <f t="shared" si="12"/>
        <v>2014</v>
      </c>
      <c r="D28" s="6">
        <v>9830145.6265787389</v>
      </c>
      <c r="E28">
        <v>561.30000000000007</v>
      </c>
      <c r="F28">
        <v>0</v>
      </c>
      <c r="G28">
        <f>'Monthly Data'!CI28</f>
        <v>0</v>
      </c>
      <c r="H28">
        <f>'Monthly Data'!BA28</f>
        <v>230.4</v>
      </c>
      <c r="J28" s="6">
        <f t="shared" si="5"/>
        <v>4665603.6585154198</v>
      </c>
      <c r="K28" s="6">
        <f t="shared" si="6"/>
        <v>2434985.118138236</v>
      </c>
      <c r="L28" s="6">
        <f t="shared" si="7"/>
        <v>0</v>
      </c>
      <c r="M28" s="6">
        <f t="shared" si="8"/>
        <v>0</v>
      </c>
      <c r="N28" s="6">
        <f t="shared" si="9"/>
        <v>2318494.1574594588</v>
      </c>
      <c r="O28" s="6">
        <f t="shared" si="10"/>
        <v>9419082.9341131151</v>
      </c>
      <c r="P28" s="6">
        <f t="shared" si="3"/>
        <v>-411062.69246562384</v>
      </c>
      <c r="Q28" s="15">
        <f t="shared" si="4"/>
        <v>4.1816541491938114E-2</v>
      </c>
    </row>
    <row r="29" spans="1:22">
      <c r="A29" s="245">
        <v>41730</v>
      </c>
      <c r="B29">
        <f t="shared" si="11"/>
        <v>4</v>
      </c>
      <c r="C29">
        <f t="shared" si="12"/>
        <v>2014</v>
      </c>
      <c r="D29" s="6">
        <v>8001586.9321141401</v>
      </c>
      <c r="E29">
        <v>226.79999999999998</v>
      </c>
      <c r="F29">
        <v>0</v>
      </c>
      <c r="G29">
        <f>'Monthly Data'!CI29</f>
        <v>0</v>
      </c>
      <c r="H29">
        <f>'Monthly Data'!BA29</f>
        <v>232.8</v>
      </c>
      <c r="J29" s="6">
        <f t="shared" si="5"/>
        <v>4665603.6585154198</v>
      </c>
      <c r="K29" s="6">
        <f t="shared" si="6"/>
        <v>983884.95420230145</v>
      </c>
      <c r="L29" s="6">
        <f t="shared" si="7"/>
        <v>0</v>
      </c>
      <c r="M29" s="6">
        <f t="shared" si="8"/>
        <v>0</v>
      </c>
      <c r="N29" s="6">
        <f t="shared" si="9"/>
        <v>2342645.1382663283</v>
      </c>
      <c r="O29" s="6">
        <f t="shared" si="10"/>
        <v>7992133.7509840503</v>
      </c>
      <c r="P29" s="6">
        <f t="shared" si="3"/>
        <v>-9453.1811300897971</v>
      </c>
      <c r="Q29" s="15">
        <f t="shared" si="4"/>
        <v>1.1814132884252905E-3</v>
      </c>
    </row>
    <row r="30" spans="1:22">
      <c r="A30" s="245">
        <v>41760</v>
      </c>
      <c r="B30">
        <f t="shared" si="11"/>
        <v>5</v>
      </c>
      <c r="C30">
        <f t="shared" si="12"/>
        <v>2014</v>
      </c>
      <c r="D30" s="6">
        <v>7894834.0307170395</v>
      </c>
      <c r="E30">
        <v>74.099999999999994</v>
      </c>
      <c r="F30">
        <v>27.500000000000004</v>
      </c>
      <c r="G30">
        <f>'Monthly Data'!CI30</f>
        <v>0</v>
      </c>
      <c r="H30">
        <f>'Monthly Data'!BA30</f>
        <v>236.9</v>
      </c>
      <c r="J30" s="6">
        <f t="shared" si="5"/>
        <v>4665603.6585154198</v>
      </c>
      <c r="K30" s="6">
        <f t="shared" si="6"/>
        <v>321454.47577773605</v>
      </c>
      <c r="L30" s="6">
        <f t="shared" si="7"/>
        <v>412987.33874591329</v>
      </c>
      <c r="M30" s="6">
        <f t="shared" si="8"/>
        <v>0</v>
      </c>
      <c r="N30" s="6">
        <f t="shared" si="9"/>
        <v>2383903.0638113967</v>
      </c>
      <c r="O30" s="6">
        <f t="shared" si="10"/>
        <v>7783948.5368504655</v>
      </c>
      <c r="P30" s="6">
        <f t="shared" si="3"/>
        <v>-110885.49386657402</v>
      </c>
      <c r="Q30" s="15">
        <f t="shared" si="4"/>
        <v>1.4045322984009959E-2</v>
      </c>
    </row>
    <row r="31" spans="1:22">
      <c r="A31" s="245">
        <v>41791</v>
      </c>
      <c r="B31">
        <f t="shared" si="11"/>
        <v>6</v>
      </c>
      <c r="C31">
        <f t="shared" si="12"/>
        <v>2014</v>
      </c>
      <c r="D31" s="6">
        <v>8660683.5504774395</v>
      </c>
      <c r="E31">
        <v>3.3000000000000007</v>
      </c>
      <c r="F31">
        <v>96.499999999999986</v>
      </c>
      <c r="G31">
        <f>'Monthly Data'!CI31</f>
        <v>0</v>
      </c>
      <c r="H31">
        <f>'Monthly Data'!BA31</f>
        <v>241.6</v>
      </c>
      <c r="J31" s="6">
        <f t="shared" si="5"/>
        <v>4665603.6585154198</v>
      </c>
      <c r="K31" s="6">
        <f t="shared" si="6"/>
        <v>14315.786370668411</v>
      </c>
      <c r="L31" s="6">
        <f t="shared" si="7"/>
        <v>1449210.1159629317</v>
      </c>
      <c r="M31" s="6">
        <f t="shared" si="8"/>
        <v>0</v>
      </c>
      <c r="N31" s="6">
        <f t="shared" si="9"/>
        <v>2431198.7345581823</v>
      </c>
      <c r="O31" s="6">
        <f t="shared" si="10"/>
        <v>8560328.2954072021</v>
      </c>
      <c r="P31" s="6">
        <f t="shared" si="3"/>
        <v>-100355.25507023744</v>
      </c>
      <c r="Q31" s="15">
        <f t="shared" si="4"/>
        <v>1.1587452016383296E-2</v>
      </c>
    </row>
    <row r="32" spans="1:22">
      <c r="A32" s="245">
        <v>41821</v>
      </c>
      <c r="B32">
        <f t="shared" si="11"/>
        <v>7</v>
      </c>
      <c r="C32">
        <f t="shared" si="12"/>
        <v>2014</v>
      </c>
      <c r="D32" s="6">
        <v>8972779.9475971386</v>
      </c>
      <c r="E32">
        <v>0</v>
      </c>
      <c r="F32">
        <v>109.60000000000002</v>
      </c>
      <c r="G32">
        <f>'Monthly Data'!CI32</f>
        <v>0</v>
      </c>
      <c r="H32">
        <f>'Monthly Data'!BA32</f>
        <v>246.1</v>
      </c>
      <c r="J32" s="6">
        <f t="shared" si="5"/>
        <v>4665603.6585154198</v>
      </c>
      <c r="K32" s="6">
        <f t="shared" si="6"/>
        <v>0</v>
      </c>
      <c r="L32" s="6">
        <f t="shared" si="7"/>
        <v>1645942.2664200764</v>
      </c>
      <c r="M32" s="6">
        <f t="shared" si="8"/>
        <v>0</v>
      </c>
      <c r="N32" s="6">
        <f t="shared" si="9"/>
        <v>2476481.8235710622</v>
      </c>
      <c r="O32" s="6">
        <f t="shared" si="10"/>
        <v>8788027.7485065591</v>
      </c>
      <c r="P32" s="6">
        <f t="shared" si="3"/>
        <v>-184752.19909057952</v>
      </c>
      <c r="Q32" s="15">
        <f t="shared" si="4"/>
        <v>2.0590296448767267E-2</v>
      </c>
    </row>
    <row r="33" spans="1:17">
      <c r="A33" s="245">
        <v>41852</v>
      </c>
      <c r="B33">
        <f t="shared" si="11"/>
        <v>8</v>
      </c>
      <c r="C33">
        <f t="shared" si="12"/>
        <v>2014</v>
      </c>
      <c r="D33" s="6">
        <v>8995970.5378717389</v>
      </c>
      <c r="E33">
        <v>0</v>
      </c>
      <c r="F33">
        <v>113.39999999999999</v>
      </c>
      <c r="G33">
        <f>'Monthly Data'!CI33</f>
        <v>0</v>
      </c>
      <c r="H33">
        <f>'Monthly Data'!BA33</f>
        <v>247.7</v>
      </c>
      <c r="J33" s="6">
        <f t="shared" si="5"/>
        <v>4665603.6585154198</v>
      </c>
      <c r="K33" s="6">
        <f t="shared" si="6"/>
        <v>0</v>
      </c>
      <c r="L33" s="6">
        <f t="shared" si="7"/>
        <v>1703009.6077740567</v>
      </c>
      <c r="M33" s="6">
        <f t="shared" si="8"/>
        <v>0</v>
      </c>
      <c r="N33" s="6">
        <f t="shared" si="9"/>
        <v>2492582.4774423088</v>
      </c>
      <c r="O33" s="6">
        <f t="shared" si="10"/>
        <v>8861195.7437317856</v>
      </c>
      <c r="P33" s="6">
        <f t="shared" si="3"/>
        <v>-134774.79413995333</v>
      </c>
      <c r="Q33" s="15">
        <f t="shared" si="4"/>
        <v>1.4981684696784063E-2</v>
      </c>
    </row>
    <row r="34" spans="1:17">
      <c r="A34" s="245">
        <v>41883</v>
      </c>
      <c r="B34">
        <f t="shared" si="11"/>
        <v>9</v>
      </c>
      <c r="C34">
        <f t="shared" si="12"/>
        <v>2014</v>
      </c>
      <c r="D34" s="6">
        <v>8027835.84851244</v>
      </c>
      <c r="E34">
        <v>22.200000000000003</v>
      </c>
      <c r="F34">
        <v>47.5</v>
      </c>
      <c r="G34">
        <f>'Monthly Data'!CI34</f>
        <v>0</v>
      </c>
      <c r="H34">
        <f>'Monthly Data'!BA34</f>
        <v>243.9</v>
      </c>
      <c r="J34" s="6">
        <f t="shared" si="5"/>
        <v>4665603.6585154198</v>
      </c>
      <c r="K34" s="6">
        <f t="shared" si="6"/>
        <v>96306.199220860217</v>
      </c>
      <c r="L34" s="6">
        <f t="shared" si="7"/>
        <v>713341.76692475926</v>
      </c>
      <c r="M34" s="6">
        <f t="shared" si="8"/>
        <v>0</v>
      </c>
      <c r="N34" s="6">
        <f t="shared" si="9"/>
        <v>2454343.4244980989</v>
      </c>
      <c r="O34" s="6">
        <f t="shared" si="10"/>
        <v>7929595.0491591385</v>
      </c>
      <c r="P34" s="6">
        <f t="shared" ref="P34:P65" si="13">O34-D34</f>
        <v>-98240.799353301525</v>
      </c>
      <c r="Q34" s="15">
        <f t="shared" ref="Q34:Q65" si="14">ABS(O34-D34)/D34</f>
        <v>1.2237519701091742E-2</v>
      </c>
    </row>
    <row r="35" spans="1:17">
      <c r="A35" s="245">
        <v>41913</v>
      </c>
      <c r="B35">
        <f t="shared" si="11"/>
        <v>10</v>
      </c>
      <c r="C35">
        <f t="shared" si="12"/>
        <v>2014</v>
      </c>
      <c r="D35" s="6">
        <v>7886120.3539005406</v>
      </c>
      <c r="E35">
        <v>117.00000000000003</v>
      </c>
      <c r="F35">
        <v>4.1999999999999993</v>
      </c>
      <c r="G35">
        <f>'Monthly Data'!CI35</f>
        <v>0</v>
      </c>
      <c r="H35">
        <f>'Monthly Data'!BA35</f>
        <v>241.3</v>
      </c>
      <c r="J35" s="6">
        <f t="shared" si="5"/>
        <v>4665603.6585154198</v>
      </c>
      <c r="K35" s="6">
        <f t="shared" si="6"/>
        <v>507559.69859642553</v>
      </c>
      <c r="L35" s="6">
        <f t="shared" si="7"/>
        <v>63074.429917557645</v>
      </c>
      <c r="M35" s="6">
        <f t="shared" si="8"/>
        <v>0</v>
      </c>
      <c r="N35" s="6">
        <f t="shared" si="9"/>
        <v>2428179.8619573237</v>
      </c>
      <c r="O35" s="6">
        <f t="shared" si="10"/>
        <v>7664417.648986727</v>
      </c>
      <c r="P35" s="6">
        <f t="shared" si="13"/>
        <v>-221702.70491381362</v>
      </c>
      <c r="Q35" s="15">
        <f t="shared" si="14"/>
        <v>2.8113025792734399E-2</v>
      </c>
    </row>
    <row r="36" spans="1:17">
      <c r="A36" s="245">
        <v>41944</v>
      </c>
      <c r="B36">
        <f t="shared" si="11"/>
        <v>11</v>
      </c>
      <c r="C36">
        <f t="shared" si="12"/>
        <v>2014</v>
      </c>
      <c r="D36" s="6">
        <v>8807284.4124100395</v>
      </c>
      <c r="E36">
        <v>363.7</v>
      </c>
      <c r="F36">
        <v>0</v>
      </c>
      <c r="G36">
        <f>'Monthly Data'!CI36</f>
        <v>0</v>
      </c>
      <c r="H36">
        <f>'Monthly Data'!BA36</f>
        <v>240.4</v>
      </c>
      <c r="J36" s="6">
        <f t="shared" si="5"/>
        <v>4665603.6585154198</v>
      </c>
      <c r="K36" s="6">
        <f t="shared" si="6"/>
        <v>1577773.1827309395</v>
      </c>
      <c r="L36" s="6">
        <f t="shared" si="7"/>
        <v>0</v>
      </c>
      <c r="M36" s="6">
        <f t="shared" si="8"/>
        <v>0</v>
      </c>
      <c r="N36" s="6">
        <f t="shared" si="9"/>
        <v>2419123.2441547476</v>
      </c>
      <c r="O36" s="6">
        <f t="shared" si="10"/>
        <v>8662500.0854011066</v>
      </c>
      <c r="P36" s="6">
        <f t="shared" si="13"/>
        <v>-144784.32700893283</v>
      </c>
      <c r="Q36" s="15">
        <f t="shared" si="14"/>
        <v>1.6439156524220139E-2</v>
      </c>
    </row>
    <row r="37" spans="1:17">
      <c r="A37" s="245">
        <v>41974</v>
      </c>
      <c r="B37">
        <f t="shared" si="11"/>
        <v>12</v>
      </c>
      <c r="C37">
        <f t="shared" si="12"/>
        <v>2014</v>
      </c>
      <c r="D37" s="6">
        <v>9514629.8967646398</v>
      </c>
      <c r="E37">
        <v>418.49999999999989</v>
      </c>
      <c r="F37">
        <v>0</v>
      </c>
      <c r="G37">
        <f>'Monthly Data'!CI37</f>
        <v>0</v>
      </c>
      <c r="H37">
        <f>'Monthly Data'!BA37</f>
        <v>242.7</v>
      </c>
      <c r="J37" s="6">
        <f t="shared" si="5"/>
        <v>4665603.6585154198</v>
      </c>
      <c r="K37" s="6">
        <f t="shared" si="6"/>
        <v>1815501.9988256749</v>
      </c>
      <c r="L37" s="6">
        <f t="shared" si="7"/>
        <v>0</v>
      </c>
      <c r="M37" s="6">
        <f t="shared" si="8"/>
        <v>0</v>
      </c>
      <c r="N37" s="6">
        <f t="shared" si="9"/>
        <v>2442267.9340946642</v>
      </c>
      <c r="O37" s="6">
        <f t="shared" si="10"/>
        <v>8923373.5914357584</v>
      </c>
      <c r="P37" s="6">
        <f t="shared" si="13"/>
        <v>-591256.30532888137</v>
      </c>
      <c r="Q37" s="15">
        <f t="shared" si="14"/>
        <v>6.2141808114883429E-2</v>
      </c>
    </row>
    <row r="38" spans="1:17">
      <c r="A38" s="245">
        <v>42005</v>
      </c>
      <c r="B38">
        <f t="shared" si="11"/>
        <v>1</v>
      </c>
      <c r="C38">
        <f t="shared" si="12"/>
        <v>2015</v>
      </c>
      <c r="D38" s="6">
        <v>10320708.516808653</v>
      </c>
      <c r="E38">
        <v>656.8</v>
      </c>
      <c r="F38">
        <v>0</v>
      </c>
      <c r="G38">
        <f>'Monthly Data'!CI38</f>
        <v>0</v>
      </c>
      <c r="H38">
        <f>'Monthly Data'!BA38</f>
        <v>244.1</v>
      </c>
      <c r="J38" s="6">
        <f t="shared" si="5"/>
        <v>4665603.6585154198</v>
      </c>
      <c r="K38" s="6">
        <f t="shared" si="6"/>
        <v>2849275.2994712153</v>
      </c>
      <c r="L38" s="6">
        <f t="shared" si="7"/>
        <v>0</v>
      </c>
      <c r="M38" s="6">
        <f t="shared" si="8"/>
        <v>0</v>
      </c>
      <c r="N38" s="6">
        <f t="shared" si="9"/>
        <v>2456356.0062320046</v>
      </c>
      <c r="O38" s="6">
        <f t="shared" si="10"/>
        <v>9971234.9642186388</v>
      </c>
      <c r="P38" s="6">
        <f t="shared" si="13"/>
        <v>-349473.55259001441</v>
      </c>
      <c r="Q38" s="15">
        <f t="shared" si="14"/>
        <v>3.3861391591560798E-2</v>
      </c>
    </row>
    <row r="39" spans="1:17">
      <c r="A39" s="245">
        <v>42036</v>
      </c>
      <c r="B39">
        <f t="shared" si="11"/>
        <v>2</v>
      </c>
      <c r="C39">
        <f t="shared" si="12"/>
        <v>2015</v>
      </c>
      <c r="D39" s="6">
        <v>9866509.5237202533</v>
      </c>
      <c r="E39">
        <v>729.1</v>
      </c>
      <c r="F39">
        <v>0</v>
      </c>
      <c r="G39">
        <f>'Monthly Data'!CI39</f>
        <v>0</v>
      </c>
      <c r="H39">
        <f>'Monthly Data'!BA39</f>
        <v>243.4</v>
      </c>
      <c r="J39" s="6">
        <f t="shared" si="5"/>
        <v>4665603.6585154198</v>
      </c>
      <c r="K39" s="6">
        <f t="shared" si="6"/>
        <v>3162921.1645013141</v>
      </c>
      <c r="L39" s="6">
        <f t="shared" si="7"/>
        <v>0</v>
      </c>
      <c r="M39" s="6">
        <f t="shared" si="8"/>
        <v>0</v>
      </c>
      <c r="N39" s="6">
        <f t="shared" si="9"/>
        <v>2449311.9701633346</v>
      </c>
      <c r="O39" s="6">
        <f t="shared" si="10"/>
        <v>10277836.793180069</v>
      </c>
      <c r="P39" s="6">
        <f t="shared" si="13"/>
        <v>411327.2694598157</v>
      </c>
      <c r="Q39" s="15">
        <f t="shared" si="14"/>
        <v>4.1689238577324268E-2</v>
      </c>
    </row>
    <row r="40" spans="1:17">
      <c r="A40" s="245">
        <v>42064</v>
      </c>
      <c r="B40">
        <f t="shared" si="11"/>
        <v>3</v>
      </c>
      <c r="C40">
        <f t="shared" si="12"/>
        <v>2015</v>
      </c>
      <c r="D40" s="6">
        <v>9609841.243772652</v>
      </c>
      <c r="E40">
        <v>474.69999999999993</v>
      </c>
      <c r="F40">
        <v>0</v>
      </c>
      <c r="G40">
        <f>'Monthly Data'!CI40</f>
        <v>0</v>
      </c>
      <c r="H40">
        <f>'Monthly Data'!BA40</f>
        <v>241.6</v>
      </c>
      <c r="J40" s="6">
        <f t="shared" si="5"/>
        <v>4665603.6585154198</v>
      </c>
      <c r="K40" s="6">
        <f t="shared" si="6"/>
        <v>2059304.1788352402</v>
      </c>
      <c r="L40" s="6">
        <f t="shared" si="7"/>
        <v>0</v>
      </c>
      <c r="M40" s="6">
        <f t="shared" si="8"/>
        <v>0</v>
      </c>
      <c r="N40" s="6">
        <f t="shared" si="9"/>
        <v>2431198.7345581823</v>
      </c>
      <c r="O40" s="6">
        <f t="shared" si="10"/>
        <v>9156106.5719088428</v>
      </c>
      <c r="P40" s="6">
        <f t="shared" si="13"/>
        <v>-453734.67186380923</v>
      </c>
      <c r="Q40" s="15">
        <f t="shared" si="14"/>
        <v>4.7215626185067042E-2</v>
      </c>
    </row>
    <row r="41" spans="1:17">
      <c r="A41" s="245">
        <v>42095</v>
      </c>
      <c r="B41">
        <f t="shared" si="11"/>
        <v>4</v>
      </c>
      <c r="C41">
        <f t="shared" si="12"/>
        <v>2015</v>
      </c>
      <c r="D41" s="6">
        <v>8135771.8970295526</v>
      </c>
      <c r="E41">
        <v>210.70000000000005</v>
      </c>
      <c r="F41">
        <v>0</v>
      </c>
      <c r="G41">
        <f>'Monthly Data'!CI41</f>
        <v>0</v>
      </c>
      <c r="H41">
        <f>'Monthly Data'!BA41</f>
        <v>238.8</v>
      </c>
      <c r="J41" s="6">
        <f t="shared" si="5"/>
        <v>4665603.6585154198</v>
      </c>
      <c r="K41" s="6">
        <f t="shared" si="6"/>
        <v>914041.26918176794</v>
      </c>
      <c r="L41" s="6">
        <f t="shared" si="7"/>
        <v>0</v>
      </c>
      <c r="M41" s="6">
        <f t="shared" si="8"/>
        <v>0</v>
      </c>
      <c r="N41" s="6">
        <f t="shared" si="9"/>
        <v>2403022.5902835014</v>
      </c>
      <c r="O41" s="6">
        <f t="shared" si="10"/>
        <v>7982667.5179806892</v>
      </c>
      <c r="P41" s="6">
        <f t="shared" si="13"/>
        <v>-153104.37904886343</v>
      </c>
      <c r="Q41" s="15">
        <f t="shared" si="14"/>
        <v>1.8818666622740895E-2</v>
      </c>
    </row>
    <row r="42" spans="1:17">
      <c r="A42" s="245">
        <v>42125</v>
      </c>
      <c r="B42">
        <f t="shared" si="11"/>
        <v>5</v>
      </c>
      <c r="C42">
        <f t="shared" si="12"/>
        <v>2015</v>
      </c>
      <c r="D42" s="6">
        <v>8279127.9417781532</v>
      </c>
      <c r="E42">
        <v>60</v>
      </c>
      <c r="F42">
        <v>53.500000000000007</v>
      </c>
      <c r="G42">
        <f>'Monthly Data'!CI42</f>
        <v>0</v>
      </c>
      <c r="H42">
        <f>'Monthly Data'!BA42</f>
        <v>240.6</v>
      </c>
      <c r="J42" s="6">
        <f t="shared" si="5"/>
        <v>4665603.6585154198</v>
      </c>
      <c r="K42" s="6">
        <f t="shared" si="6"/>
        <v>260287.02492124378</v>
      </c>
      <c r="L42" s="6">
        <f t="shared" si="7"/>
        <v>803448.0953784131</v>
      </c>
      <c r="M42" s="6">
        <f t="shared" si="8"/>
        <v>0</v>
      </c>
      <c r="N42" s="6">
        <f t="shared" si="9"/>
        <v>2421135.8258886533</v>
      </c>
      <c r="O42" s="6">
        <f t="shared" si="10"/>
        <v>8150474.60470373</v>
      </c>
      <c r="P42" s="6">
        <f t="shared" si="13"/>
        <v>-128653.33707442321</v>
      </c>
      <c r="Q42" s="15">
        <f t="shared" si="14"/>
        <v>1.5539479275976938E-2</v>
      </c>
    </row>
    <row r="43" spans="1:17">
      <c r="A43" s="245">
        <v>42156</v>
      </c>
      <c r="B43">
        <f t="shared" si="11"/>
        <v>6</v>
      </c>
      <c r="C43">
        <f t="shared" si="12"/>
        <v>2015</v>
      </c>
      <c r="D43" s="6">
        <v>8440161.6741833519</v>
      </c>
      <c r="E43">
        <v>11.9</v>
      </c>
      <c r="F43">
        <v>64.5</v>
      </c>
      <c r="G43">
        <f>'Monthly Data'!CI43</f>
        <v>0</v>
      </c>
      <c r="H43">
        <f>'Monthly Data'!BA43</f>
        <v>250</v>
      </c>
      <c r="J43" s="6">
        <f t="shared" si="5"/>
        <v>4665603.6585154198</v>
      </c>
      <c r="K43" s="6">
        <f t="shared" si="6"/>
        <v>51623.593276046689</v>
      </c>
      <c r="L43" s="6">
        <f t="shared" si="7"/>
        <v>968643.0308767783</v>
      </c>
      <c r="M43" s="6">
        <f t="shared" si="8"/>
        <v>0</v>
      </c>
      <c r="N43" s="6">
        <f t="shared" si="9"/>
        <v>2515727.1673822254</v>
      </c>
      <c r="O43" s="6">
        <f t="shared" si="10"/>
        <v>8201597.4500504704</v>
      </c>
      <c r="P43" s="6">
        <f t="shared" si="13"/>
        <v>-238564.2241328815</v>
      </c>
      <c r="Q43" s="15">
        <f t="shared" si="14"/>
        <v>2.8265361890234687E-2</v>
      </c>
    </row>
    <row r="44" spans="1:17">
      <c r="A44" s="245">
        <v>42186</v>
      </c>
      <c r="B44">
        <f t="shared" si="11"/>
        <v>7</v>
      </c>
      <c r="C44">
        <f t="shared" si="12"/>
        <v>2015</v>
      </c>
      <c r="D44" s="6">
        <v>9819719.7518207524</v>
      </c>
      <c r="E44">
        <v>0</v>
      </c>
      <c r="F44">
        <v>138.1</v>
      </c>
      <c r="G44">
        <f>'Monthly Data'!CI44</f>
        <v>0</v>
      </c>
      <c r="H44">
        <f>'Monthly Data'!BA44</f>
        <v>256</v>
      </c>
      <c r="J44" s="6">
        <f t="shared" si="5"/>
        <v>4665603.6585154198</v>
      </c>
      <c r="K44" s="6">
        <f t="shared" si="6"/>
        <v>0</v>
      </c>
      <c r="L44" s="6">
        <f t="shared" si="7"/>
        <v>2073947.3265749314</v>
      </c>
      <c r="M44" s="6">
        <f t="shared" si="8"/>
        <v>0</v>
      </c>
      <c r="N44" s="6">
        <f t="shared" si="9"/>
        <v>2576104.6193993986</v>
      </c>
      <c r="O44" s="6">
        <f t="shared" si="10"/>
        <v>9315655.6044897493</v>
      </c>
      <c r="P44" s="6">
        <f t="shared" si="13"/>
        <v>-504064.1473310031</v>
      </c>
      <c r="Q44" s="15">
        <f t="shared" si="14"/>
        <v>5.1331826169228559E-2</v>
      </c>
    </row>
    <row r="45" spans="1:17">
      <c r="A45" s="245">
        <v>42217</v>
      </c>
      <c r="B45">
        <f t="shared" si="11"/>
        <v>8</v>
      </c>
      <c r="C45">
        <f t="shared" si="12"/>
        <v>2015</v>
      </c>
      <c r="D45" s="6">
        <v>9326215.976339452</v>
      </c>
      <c r="E45">
        <v>0</v>
      </c>
      <c r="F45">
        <v>132.59999999999997</v>
      </c>
      <c r="G45">
        <f>'Monthly Data'!CI45</f>
        <v>0</v>
      </c>
      <c r="H45">
        <f>'Monthly Data'!BA45</f>
        <v>260.7</v>
      </c>
      <c r="J45" s="6">
        <f t="shared" si="5"/>
        <v>4665603.6585154198</v>
      </c>
      <c r="K45" s="6">
        <f t="shared" si="6"/>
        <v>0</v>
      </c>
      <c r="L45" s="6">
        <f t="shared" si="7"/>
        <v>1991349.8588257483</v>
      </c>
      <c r="M45" s="6">
        <f t="shared" si="8"/>
        <v>0</v>
      </c>
      <c r="N45" s="6">
        <f t="shared" si="9"/>
        <v>2623400.2901461842</v>
      </c>
      <c r="O45" s="6">
        <f t="shared" si="10"/>
        <v>9280353.8074873537</v>
      </c>
      <c r="P45" s="6">
        <f t="shared" si="13"/>
        <v>-45862.168852098286</v>
      </c>
      <c r="Q45" s="15">
        <f t="shared" si="14"/>
        <v>4.9175538040776992E-3</v>
      </c>
    </row>
    <row r="46" spans="1:17">
      <c r="A46" s="245">
        <v>42248</v>
      </c>
      <c r="B46">
        <f t="shared" si="11"/>
        <v>9</v>
      </c>
      <c r="C46">
        <f t="shared" si="12"/>
        <v>2015</v>
      </c>
      <c r="D46" s="6">
        <v>9088680.2512800526</v>
      </c>
      <c r="E46">
        <v>1.5999999999999996</v>
      </c>
      <c r="F46">
        <v>117.69999999999999</v>
      </c>
      <c r="G46">
        <f>'Monthly Data'!CI46</f>
        <v>0</v>
      </c>
      <c r="H46">
        <f>'Monthly Data'!BA46</f>
        <v>253.9</v>
      </c>
      <c r="J46" s="6">
        <f t="shared" si="5"/>
        <v>4665603.6585154198</v>
      </c>
      <c r="K46" s="6">
        <f t="shared" si="6"/>
        <v>6940.9873312331665</v>
      </c>
      <c r="L46" s="6">
        <f t="shared" si="7"/>
        <v>1767585.8098325084</v>
      </c>
      <c r="M46" s="6">
        <f t="shared" si="8"/>
        <v>0</v>
      </c>
      <c r="N46" s="6">
        <f t="shared" si="9"/>
        <v>2554972.5111933881</v>
      </c>
      <c r="O46" s="6">
        <f t="shared" si="10"/>
        <v>8995102.9668725505</v>
      </c>
      <c r="P46" s="6">
        <f t="shared" si="13"/>
        <v>-93577.28440750204</v>
      </c>
      <c r="Q46" s="15">
        <f t="shared" si="14"/>
        <v>1.0296025585708397E-2</v>
      </c>
    </row>
    <row r="47" spans="1:17">
      <c r="A47" s="245">
        <v>42278</v>
      </c>
      <c r="B47">
        <f t="shared" si="11"/>
        <v>10</v>
      </c>
      <c r="C47">
        <f t="shared" si="12"/>
        <v>2015</v>
      </c>
      <c r="D47" s="6">
        <v>7998052.1049736533</v>
      </c>
      <c r="E47">
        <v>102.69999999999999</v>
      </c>
      <c r="F47">
        <v>1.6999999999999993</v>
      </c>
      <c r="G47">
        <f>'Monthly Data'!CI47</f>
        <v>0</v>
      </c>
      <c r="H47">
        <f>'Monthly Data'!BA47</f>
        <v>253</v>
      </c>
      <c r="J47" s="6">
        <f t="shared" si="5"/>
        <v>4665603.6585154198</v>
      </c>
      <c r="K47" s="6">
        <f t="shared" si="6"/>
        <v>445524.6243235289</v>
      </c>
      <c r="L47" s="6">
        <f t="shared" si="7"/>
        <v>25530.1263952019</v>
      </c>
      <c r="M47" s="6">
        <f t="shared" si="8"/>
        <v>0</v>
      </c>
      <c r="N47" s="6">
        <f t="shared" si="9"/>
        <v>2545915.893390812</v>
      </c>
      <c r="O47" s="6">
        <f t="shared" si="10"/>
        <v>7682574.3026249632</v>
      </c>
      <c r="P47" s="6">
        <f t="shared" si="13"/>
        <v>-315477.80234869011</v>
      </c>
      <c r="Q47" s="15">
        <f t="shared" si="14"/>
        <v>3.9444329470235344E-2</v>
      </c>
    </row>
    <row r="48" spans="1:17">
      <c r="A48" s="245">
        <v>42309</v>
      </c>
      <c r="B48">
        <f t="shared" si="11"/>
        <v>11</v>
      </c>
      <c r="C48">
        <f t="shared" si="12"/>
        <v>2015</v>
      </c>
      <c r="D48" s="6">
        <v>8128766.3749836534</v>
      </c>
      <c r="E48">
        <v>208.1</v>
      </c>
      <c r="F48">
        <v>1.3000000000000007</v>
      </c>
      <c r="G48">
        <f>'Monthly Data'!CI48</f>
        <v>0</v>
      </c>
      <c r="H48">
        <f>'Monthly Data'!BA48</f>
        <v>248.9</v>
      </c>
      <c r="J48" s="6">
        <f t="shared" si="5"/>
        <v>4665603.6585154198</v>
      </c>
      <c r="K48" s="6">
        <f t="shared" si="6"/>
        <v>902762.16476851387</v>
      </c>
      <c r="L48" s="6">
        <f t="shared" si="7"/>
        <v>19523.037831624999</v>
      </c>
      <c r="M48" s="6">
        <f t="shared" si="8"/>
        <v>0</v>
      </c>
      <c r="N48" s="6">
        <f t="shared" si="9"/>
        <v>2504657.9678457435</v>
      </c>
      <c r="O48" s="6">
        <f t="shared" si="10"/>
        <v>8092546.8289613025</v>
      </c>
      <c r="P48" s="6">
        <f t="shared" si="13"/>
        <v>-36219.5460223509</v>
      </c>
      <c r="Q48" s="15">
        <f t="shared" si="14"/>
        <v>4.4557248113092354E-3</v>
      </c>
    </row>
    <row r="49" spans="1:17">
      <c r="A49" s="245">
        <v>42339</v>
      </c>
      <c r="B49">
        <f t="shared" si="11"/>
        <v>12</v>
      </c>
      <c r="C49">
        <f t="shared" si="12"/>
        <v>2015</v>
      </c>
      <c r="D49" s="6">
        <v>8942085.5352303516</v>
      </c>
      <c r="E49">
        <v>308.40000000000003</v>
      </c>
      <c r="F49">
        <v>0</v>
      </c>
      <c r="G49">
        <f>'Monthly Data'!CI49</f>
        <v>0</v>
      </c>
      <c r="H49">
        <f>'Monthly Data'!BA49</f>
        <v>250.6</v>
      </c>
      <c r="J49" s="6">
        <f t="shared" si="5"/>
        <v>4665603.6585154198</v>
      </c>
      <c r="K49" s="6">
        <f t="shared" si="6"/>
        <v>1337875.3080951932</v>
      </c>
      <c r="L49" s="6">
        <f t="shared" si="7"/>
        <v>0</v>
      </c>
      <c r="M49" s="6">
        <f t="shared" si="8"/>
        <v>0</v>
      </c>
      <c r="N49" s="6">
        <f t="shared" si="9"/>
        <v>2521764.9125839425</v>
      </c>
      <c r="O49" s="6">
        <f t="shared" si="10"/>
        <v>8525243.8791945558</v>
      </c>
      <c r="P49" s="6">
        <f t="shared" si="13"/>
        <v>-416841.65603579581</v>
      </c>
      <c r="Q49" s="15">
        <f t="shared" si="14"/>
        <v>4.6615708873898376E-2</v>
      </c>
    </row>
    <row r="50" spans="1:17">
      <c r="A50" s="245">
        <v>42370</v>
      </c>
      <c r="B50">
        <f t="shared" si="11"/>
        <v>1</v>
      </c>
      <c r="C50">
        <f t="shared" si="12"/>
        <v>2016</v>
      </c>
      <c r="D50" s="6">
        <v>9713760.0239987727</v>
      </c>
      <c r="E50">
        <v>527.49999999999989</v>
      </c>
      <c r="F50">
        <v>0</v>
      </c>
      <c r="G50">
        <f>'Monthly Data'!CI50</f>
        <v>0</v>
      </c>
      <c r="H50">
        <f>'Monthly Data'!BA50</f>
        <v>249.8</v>
      </c>
      <c r="J50" s="6">
        <f t="shared" si="5"/>
        <v>4665603.6585154198</v>
      </c>
      <c r="K50" s="6">
        <f t="shared" si="6"/>
        <v>2288356.7607659344</v>
      </c>
      <c r="L50" s="6">
        <f t="shared" si="7"/>
        <v>0</v>
      </c>
      <c r="M50" s="6">
        <f t="shared" si="8"/>
        <v>0</v>
      </c>
      <c r="N50" s="6">
        <f t="shared" si="9"/>
        <v>2513714.5856483197</v>
      </c>
      <c r="O50" s="6">
        <f t="shared" si="10"/>
        <v>9467675.0049296729</v>
      </c>
      <c r="P50" s="6">
        <f t="shared" si="13"/>
        <v>-246085.0190690998</v>
      </c>
      <c r="Q50" s="15">
        <f t="shared" si="14"/>
        <v>2.5333652309828866E-2</v>
      </c>
    </row>
    <row r="51" spans="1:17">
      <c r="A51" s="245">
        <v>42401</v>
      </c>
      <c r="B51">
        <f t="shared" si="11"/>
        <v>2</v>
      </c>
      <c r="C51">
        <f t="shared" si="12"/>
        <v>2016</v>
      </c>
      <c r="D51" s="6">
        <v>9070727.7860055715</v>
      </c>
      <c r="E51">
        <v>466.3</v>
      </c>
      <c r="F51">
        <v>0</v>
      </c>
      <c r="G51">
        <f>'Monthly Data'!CI51</f>
        <v>0</v>
      </c>
      <c r="H51">
        <f>'Monthly Data'!BA51</f>
        <v>247.8</v>
      </c>
      <c r="J51" s="6">
        <f t="shared" si="5"/>
        <v>4665603.6585154198</v>
      </c>
      <c r="K51" s="6">
        <f t="shared" si="6"/>
        <v>2022863.9953462663</v>
      </c>
      <c r="L51" s="6">
        <f t="shared" si="7"/>
        <v>0</v>
      </c>
      <c r="M51" s="6">
        <f t="shared" si="8"/>
        <v>0</v>
      </c>
      <c r="N51" s="6">
        <f t="shared" si="9"/>
        <v>2493588.7683092616</v>
      </c>
      <c r="O51" s="6">
        <f t="shared" si="10"/>
        <v>9182056.4221709482</v>
      </c>
      <c r="P51" s="6">
        <f t="shared" si="13"/>
        <v>111328.63616537675</v>
      </c>
      <c r="Q51" s="15">
        <f t="shared" si="14"/>
        <v>1.2273396224847131E-2</v>
      </c>
    </row>
    <row r="52" spans="1:17">
      <c r="A52" s="245">
        <v>42430</v>
      </c>
      <c r="B52">
        <f t="shared" si="11"/>
        <v>3</v>
      </c>
      <c r="C52">
        <f t="shared" si="12"/>
        <v>2016</v>
      </c>
      <c r="D52" s="6">
        <v>8861048.2157562729</v>
      </c>
      <c r="E52">
        <v>316.90000000000003</v>
      </c>
      <c r="F52">
        <v>0</v>
      </c>
      <c r="G52">
        <f>'Monthly Data'!CI52</f>
        <v>0</v>
      </c>
      <c r="H52">
        <f>'Monthly Data'!BA52</f>
        <v>244.7</v>
      </c>
      <c r="J52" s="6">
        <f t="shared" si="5"/>
        <v>4665603.6585154198</v>
      </c>
      <c r="K52" s="6">
        <f t="shared" si="6"/>
        <v>1374749.3032923695</v>
      </c>
      <c r="L52" s="6">
        <f t="shared" si="7"/>
        <v>0</v>
      </c>
      <c r="M52" s="6">
        <f t="shared" si="8"/>
        <v>0</v>
      </c>
      <c r="N52" s="6">
        <f t="shared" si="9"/>
        <v>2462393.7514337217</v>
      </c>
      <c r="O52" s="6">
        <f t="shared" si="10"/>
        <v>8502746.7132415101</v>
      </c>
      <c r="P52" s="6">
        <f t="shared" si="13"/>
        <v>-358301.5025147628</v>
      </c>
      <c r="Q52" s="15">
        <f t="shared" si="14"/>
        <v>4.0435566288607817E-2</v>
      </c>
    </row>
    <row r="53" spans="1:17">
      <c r="A53" s="245">
        <v>42461</v>
      </c>
      <c r="B53">
        <f t="shared" si="11"/>
        <v>4</v>
      </c>
      <c r="C53">
        <f t="shared" si="12"/>
        <v>2016</v>
      </c>
      <c r="D53" s="6">
        <v>8183337.5863723708</v>
      </c>
      <c r="E53">
        <v>272.60000000000002</v>
      </c>
      <c r="F53">
        <v>0</v>
      </c>
      <c r="G53">
        <f>'Monthly Data'!CI53</f>
        <v>0</v>
      </c>
      <c r="H53">
        <f>'Monthly Data'!BA53</f>
        <v>241.5</v>
      </c>
      <c r="J53" s="6">
        <f t="shared" si="5"/>
        <v>4665603.6585154198</v>
      </c>
      <c r="K53" s="6">
        <f t="shared" si="6"/>
        <v>1182570.7165588511</v>
      </c>
      <c r="L53" s="6">
        <f t="shared" si="7"/>
        <v>0</v>
      </c>
      <c r="M53" s="6">
        <f t="shared" si="8"/>
        <v>0</v>
      </c>
      <c r="N53" s="6">
        <f t="shared" si="9"/>
        <v>2430192.4436912294</v>
      </c>
      <c r="O53" s="6">
        <f t="shared" si="10"/>
        <v>8278366.8187655006</v>
      </c>
      <c r="P53" s="6">
        <f t="shared" si="13"/>
        <v>95029.232393129729</v>
      </c>
      <c r="Q53" s="15">
        <f t="shared" si="14"/>
        <v>1.1612527454736921E-2</v>
      </c>
    </row>
    <row r="54" spans="1:17">
      <c r="A54" s="245">
        <v>42491</v>
      </c>
      <c r="B54">
        <f t="shared" si="11"/>
        <v>5</v>
      </c>
      <c r="C54">
        <f t="shared" si="12"/>
        <v>2016</v>
      </c>
      <c r="D54" s="6">
        <v>8312264.3294410715</v>
      </c>
      <c r="E54">
        <v>84.6</v>
      </c>
      <c r="F54">
        <v>47.8</v>
      </c>
      <c r="G54">
        <f>'Monthly Data'!CI54</f>
        <v>0</v>
      </c>
      <c r="H54">
        <f>'Monthly Data'!BA54</f>
        <v>243.5</v>
      </c>
      <c r="J54" s="6">
        <f t="shared" si="5"/>
        <v>4665603.6585154198</v>
      </c>
      <c r="K54" s="6">
        <f t="shared" si="6"/>
        <v>367004.70513895369</v>
      </c>
      <c r="L54" s="6">
        <f t="shared" si="7"/>
        <v>717847.08334744186</v>
      </c>
      <c r="M54" s="6">
        <f t="shared" si="8"/>
        <v>0</v>
      </c>
      <c r="N54" s="6">
        <f t="shared" si="9"/>
        <v>2450318.2610302875</v>
      </c>
      <c r="O54" s="6">
        <f t="shared" si="10"/>
        <v>8200773.7080321023</v>
      </c>
      <c r="P54" s="6">
        <f t="shared" si="13"/>
        <v>-111490.62140896916</v>
      </c>
      <c r="Q54" s="15">
        <f t="shared" si="14"/>
        <v>1.3412785853558864E-2</v>
      </c>
    </row>
    <row r="55" spans="1:17">
      <c r="A55" s="245">
        <v>42522</v>
      </c>
      <c r="B55">
        <f t="shared" si="11"/>
        <v>6</v>
      </c>
      <c r="C55">
        <f t="shared" si="12"/>
        <v>2016</v>
      </c>
      <c r="D55" s="6">
        <v>8595692.9989207722</v>
      </c>
      <c r="E55">
        <v>3.4000000000000004</v>
      </c>
      <c r="F55">
        <v>87</v>
      </c>
      <c r="G55">
        <f>'Monthly Data'!CI55</f>
        <v>0</v>
      </c>
      <c r="H55">
        <f>'Monthly Data'!BA55</f>
        <v>246.8</v>
      </c>
      <c r="J55" s="6">
        <f t="shared" si="5"/>
        <v>4665603.6585154198</v>
      </c>
      <c r="K55" s="6">
        <f t="shared" si="6"/>
        <v>14749.598078870484</v>
      </c>
      <c r="L55" s="6">
        <f t="shared" si="7"/>
        <v>1306541.7625779801</v>
      </c>
      <c r="M55" s="6">
        <f t="shared" si="8"/>
        <v>0</v>
      </c>
      <c r="N55" s="6">
        <f t="shared" si="9"/>
        <v>2483525.8596397326</v>
      </c>
      <c r="O55" s="6">
        <f t="shared" si="10"/>
        <v>8470420.878812002</v>
      </c>
      <c r="P55" s="6">
        <f t="shared" si="13"/>
        <v>-125272.12010877021</v>
      </c>
      <c r="Q55" s="15">
        <f t="shared" si="14"/>
        <v>1.4573824370472362E-2</v>
      </c>
    </row>
    <row r="56" spans="1:17">
      <c r="A56" s="245">
        <v>42552</v>
      </c>
      <c r="B56">
        <f t="shared" si="11"/>
        <v>7</v>
      </c>
      <c r="C56">
        <f t="shared" si="12"/>
        <v>2016</v>
      </c>
      <c r="D56" s="6">
        <v>10219490.189801874</v>
      </c>
      <c r="E56">
        <v>0</v>
      </c>
      <c r="F56">
        <v>196.80000000000004</v>
      </c>
      <c r="G56">
        <f>'Monthly Data'!CI56</f>
        <v>0</v>
      </c>
      <c r="H56">
        <f>'Monthly Data'!BA56</f>
        <v>249.6</v>
      </c>
      <c r="J56" s="6">
        <f t="shared" si="5"/>
        <v>4665603.6585154198</v>
      </c>
      <c r="K56" s="6">
        <f t="shared" si="6"/>
        <v>0</v>
      </c>
      <c r="L56" s="6">
        <f t="shared" si="7"/>
        <v>2955487.5732798451</v>
      </c>
      <c r="M56" s="6">
        <f t="shared" si="8"/>
        <v>0</v>
      </c>
      <c r="N56" s="6">
        <f t="shared" si="9"/>
        <v>2511702.0039144135</v>
      </c>
      <c r="O56" s="6">
        <f t="shared" si="10"/>
        <v>10132793.235709678</v>
      </c>
      <c r="P56" s="6">
        <f t="shared" si="13"/>
        <v>-86696.954092195258</v>
      </c>
      <c r="Q56" s="15">
        <f t="shared" si="14"/>
        <v>8.4834911020034032E-3</v>
      </c>
    </row>
    <row r="57" spans="1:17">
      <c r="A57" s="245">
        <v>42583</v>
      </c>
      <c r="B57">
        <f t="shared" si="11"/>
        <v>8</v>
      </c>
      <c r="C57">
        <f t="shared" si="12"/>
        <v>2016</v>
      </c>
      <c r="D57" s="6">
        <v>10586850.475766674</v>
      </c>
      <c r="E57">
        <v>0</v>
      </c>
      <c r="F57">
        <v>222.59999999999997</v>
      </c>
      <c r="G57">
        <f>'Monthly Data'!CI57</f>
        <v>0</v>
      </c>
      <c r="H57">
        <f>'Monthly Data'!BA57</f>
        <v>251</v>
      </c>
      <c r="J57" s="6">
        <f t="shared" si="5"/>
        <v>4665603.6585154198</v>
      </c>
      <c r="K57" s="6">
        <f t="shared" si="6"/>
        <v>0</v>
      </c>
      <c r="L57" s="6">
        <f t="shared" si="7"/>
        <v>3342944.7856305554</v>
      </c>
      <c r="M57" s="6">
        <f t="shared" si="8"/>
        <v>0</v>
      </c>
      <c r="N57" s="6">
        <f t="shared" si="9"/>
        <v>2525790.0760517539</v>
      </c>
      <c r="O57" s="6">
        <f t="shared" si="10"/>
        <v>10534338.520197731</v>
      </c>
      <c r="P57" s="6">
        <f t="shared" si="13"/>
        <v>-52511.955568943173</v>
      </c>
      <c r="Q57" s="15">
        <f t="shared" si="14"/>
        <v>4.9601111954063358E-3</v>
      </c>
    </row>
    <row r="58" spans="1:17">
      <c r="A58" s="245">
        <v>42614</v>
      </c>
      <c r="B58">
        <f t="shared" si="11"/>
        <v>9</v>
      </c>
      <c r="C58">
        <f t="shared" si="12"/>
        <v>2016</v>
      </c>
      <c r="D58" s="6">
        <v>8524200.2556404732</v>
      </c>
      <c r="E58">
        <v>0.69999999999999929</v>
      </c>
      <c r="F58">
        <v>88.399999999999977</v>
      </c>
      <c r="G58">
        <f>'Monthly Data'!CI58</f>
        <v>0</v>
      </c>
      <c r="H58">
        <f>'Monthly Data'!BA58</f>
        <v>248.4</v>
      </c>
      <c r="J58" s="6">
        <f t="shared" si="5"/>
        <v>4665603.6585154198</v>
      </c>
      <c r="K58" s="6">
        <f t="shared" si="6"/>
        <v>3036.6819574145079</v>
      </c>
      <c r="L58" s="6">
        <f t="shared" si="7"/>
        <v>1327566.5725504989</v>
      </c>
      <c r="M58" s="6">
        <f t="shared" si="8"/>
        <v>0</v>
      </c>
      <c r="N58" s="6">
        <f t="shared" si="9"/>
        <v>2499626.5135109788</v>
      </c>
      <c r="O58" s="6">
        <f t="shared" si="10"/>
        <v>8495833.4265343118</v>
      </c>
      <c r="P58" s="6">
        <f t="shared" si="13"/>
        <v>-28366.829106161371</v>
      </c>
      <c r="Q58" s="15">
        <f t="shared" si="14"/>
        <v>3.3277994715564087E-3</v>
      </c>
    </row>
    <row r="59" spans="1:17">
      <c r="A59" s="245">
        <v>42644</v>
      </c>
      <c r="B59">
        <f t="shared" si="11"/>
        <v>10</v>
      </c>
      <c r="C59">
        <f t="shared" si="12"/>
        <v>2016</v>
      </c>
      <c r="D59" s="6">
        <v>7901315.6122177718</v>
      </c>
      <c r="E59">
        <v>97.40000000000002</v>
      </c>
      <c r="F59">
        <v>23.499999999999996</v>
      </c>
      <c r="G59">
        <f>'Monthly Data'!CI59</f>
        <v>0</v>
      </c>
      <c r="H59">
        <f>'Monthly Data'!BA59</f>
        <v>247.4</v>
      </c>
      <c r="J59" s="6">
        <f t="shared" si="5"/>
        <v>4665603.6585154198</v>
      </c>
      <c r="K59" s="6">
        <f t="shared" si="6"/>
        <v>422532.60378881916</v>
      </c>
      <c r="L59" s="6">
        <f t="shared" si="7"/>
        <v>352916.45311014401</v>
      </c>
      <c r="M59" s="6">
        <f t="shared" si="8"/>
        <v>0</v>
      </c>
      <c r="N59" s="6">
        <f t="shared" si="9"/>
        <v>2489563.6048414502</v>
      </c>
      <c r="O59" s="6">
        <f t="shared" si="10"/>
        <v>7930616.3202558327</v>
      </c>
      <c r="P59" s="6">
        <f t="shared" si="13"/>
        <v>29300.708038060926</v>
      </c>
      <c r="Q59" s="15">
        <f t="shared" si="14"/>
        <v>3.7083328240620286E-3</v>
      </c>
    </row>
    <row r="60" spans="1:17">
      <c r="A60" s="245">
        <v>42675</v>
      </c>
      <c r="B60">
        <f t="shared" si="11"/>
        <v>11</v>
      </c>
      <c r="C60">
        <f t="shared" si="12"/>
        <v>2016</v>
      </c>
      <c r="D60" s="6">
        <v>7994603.2368015721</v>
      </c>
      <c r="E60">
        <v>213.29999999999998</v>
      </c>
      <c r="F60">
        <v>0</v>
      </c>
      <c r="G60">
        <f>'Monthly Data'!CI60</f>
        <v>0</v>
      </c>
      <c r="H60">
        <f>'Monthly Data'!BA60</f>
        <v>242.2</v>
      </c>
      <c r="J60" s="6">
        <f t="shared" si="5"/>
        <v>4665603.6585154198</v>
      </c>
      <c r="K60" s="6">
        <f t="shared" si="6"/>
        <v>925320.37359502155</v>
      </c>
      <c r="L60" s="6">
        <f t="shared" si="7"/>
        <v>0</v>
      </c>
      <c r="M60" s="6">
        <f t="shared" si="8"/>
        <v>0</v>
      </c>
      <c r="N60" s="6">
        <f t="shared" si="9"/>
        <v>2437236.4797598994</v>
      </c>
      <c r="O60" s="6">
        <f t="shared" si="10"/>
        <v>8028160.5118703414</v>
      </c>
      <c r="P60" s="6">
        <f t="shared" si="13"/>
        <v>33557.275068769231</v>
      </c>
      <c r="Q60" s="15">
        <f t="shared" si="14"/>
        <v>4.1974909917098782E-3</v>
      </c>
    </row>
    <row r="61" spans="1:17">
      <c r="A61" s="245">
        <v>42705</v>
      </c>
      <c r="B61">
        <f t="shared" si="11"/>
        <v>12</v>
      </c>
      <c r="C61">
        <f t="shared" si="12"/>
        <v>2016</v>
      </c>
      <c r="D61" s="6">
        <v>9430061.9246487729</v>
      </c>
      <c r="E61">
        <v>500.50000000000006</v>
      </c>
      <c r="F61">
        <v>0</v>
      </c>
      <c r="G61">
        <f>'Monthly Data'!CI61</f>
        <v>0</v>
      </c>
      <c r="H61">
        <f>'Monthly Data'!BA61</f>
        <v>241.1</v>
      </c>
      <c r="J61" s="6">
        <f t="shared" si="5"/>
        <v>4665603.6585154198</v>
      </c>
      <c r="K61" s="6">
        <f t="shared" si="6"/>
        <v>2171227.5995513755</v>
      </c>
      <c r="L61" s="6">
        <f t="shared" si="7"/>
        <v>0</v>
      </c>
      <c r="M61" s="6">
        <f t="shared" si="8"/>
        <v>0</v>
      </c>
      <c r="N61" s="6">
        <f t="shared" si="9"/>
        <v>2426167.280223418</v>
      </c>
      <c r="O61" s="6">
        <f t="shared" si="10"/>
        <v>9262998.5382902138</v>
      </c>
      <c r="P61" s="6">
        <f t="shared" si="13"/>
        <v>-167063.38635855913</v>
      </c>
      <c r="Q61" s="15">
        <f t="shared" si="14"/>
        <v>1.771604340390177E-2</v>
      </c>
    </row>
    <row r="62" spans="1:17">
      <c r="A62" s="245">
        <v>42736</v>
      </c>
      <c r="B62">
        <f t="shared" si="11"/>
        <v>1</v>
      </c>
      <c r="C62">
        <f t="shared" si="12"/>
        <v>2017</v>
      </c>
      <c r="D62" s="6">
        <v>9394536.1409439929</v>
      </c>
      <c r="E62">
        <v>474.3</v>
      </c>
      <c r="F62">
        <v>0</v>
      </c>
      <c r="G62">
        <f>'Monthly Data'!CI62</f>
        <v>0</v>
      </c>
      <c r="H62">
        <f>'Monthly Data'!BA62</f>
        <v>238.5</v>
      </c>
      <c r="J62" s="6">
        <f t="shared" si="5"/>
        <v>4665603.6585154198</v>
      </c>
      <c r="K62" s="6">
        <f t="shared" si="6"/>
        <v>2057568.9320024322</v>
      </c>
      <c r="L62" s="6">
        <f t="shared" si="7"/>
        <v>0</v>
      </c>
      <c r="M62" s="6">
        <f t="shared" si="8"/>
        <v>0</v>
      </c>
      <c r="N62" s="6">
        <f t="shared" si="9"/>
        <v>2400003.7176826429</v>
      </c>
      <c r="O62" s="6">
        <f t="shared" si="10"/>
        <v>9123176.3082004953</v>
      </c>
      <c r="P62" s="6">
        <f t="shared" si="13"/>
        <v>-271359.83274349757</v>
      </c>
      <c r="Q62" s="15">
        <f t="shared" si="14"/>
        <v>2.8884856971366175E-2</v>
      </c>
    </row>
    <row r="63" spans="1:17">
      <c r="A63" s="245">
        <v>42767</v>
      </c>
      <c r="B63">
        <f t="shared" si="11"/>
        <v>2</v>
      </c>
      <c r="C63">
        <f t="shared" si="12"/>
        <v>2017</v>
      </c>
      <c r="D63" s="6">
        <v>8205817.9846679755</v>
      </c>
      <c r="E63">
        <v>352.5</v>
      </c>
      <c r="F63">
        <v>0</v>
      </c>
      <c r="G63">
        <f>'Monthly Data'!CI63</f>
        <v>0</v>
      </c>
      <c r="H63">
        <f>'Monthly Data'!BA63</f>
        <v>241.2</v>
      </c>
      <c r="J63" s="6">
        <f t="shared" si="5"/>
        <v>4665603.6585154198</v>
      </c>
      <c r="K63" s="6">
        <f t="shared" si="6"/>
        <v>1529186.2714123072</v>
      </c>
      <c r="L63" s="6">
        <f t="shared" si="7"/>
        <v>0</v>
      </c>
      <c r="M63" s="6">
        <f t="shared" si="8"/>
        <v>0</v>
      </c>
      <c r="N63" s="6">
        <f t="shared" si="9"/>
        <v>2427173.5710903709</v>
      </c>
      <c r="O63" s="6">
        <f t="shared" si="10"/>
        <v>8621963.5010180976</v>
      </c>
      <c r="P63" s="6">
        <f t="shared" si="13"/>
        <v>416145.51635012217</v>
      </c>
      <c r="Q63" s="15">
        <f t="shared" si="14"/>
        <v>5.0713471481778218E-2</v>
      </c>
    </row>
    <row r="64" spans="1:17">
      <c r="A64" s="245">
        <v>42795</v>
      </c>
      <c r="B64">
        <f t="shared" si="11"/>
        <v>3</v>
      </c>
      <c r="C64">
        <f t="shared" si="12"/>
        <v>2017</v>
      </c>
      <c r="D64" s="6">
        <v>8991014.4320844971</v>
      </c>
      <c r="E64">
        <v>410.4</v>
      </c>
      <c r="F64">
        <v>0</v>
      </c>
      <c r="G64">
        <f>'Monthly Data'!CI64</f>
        <v>0</v>
      </c>
      <c r="H64">
        <f>'Monthly Data'!BA64</f>
        <v>243.9</v>
      </c>
      <c r="J64" s="6">
        <f t="shared" si="5"/>
        <v>4665603.6585154198</v>
      </c>
      <c r="K64" s="6">
        <f t="shared" si="6"/>
        <v>1780363.2504613074</v>
      </c>
      <c r="L64" s="6">
        <f t="shared" si="7"/>
        <v>0</v>
      </c>
      <c r="M64" s="6">
        <f t="shared" si="8"/>
        <v>0</v>
      </c>
      <c r="N64" s="6">
        <f t="shared" si="9"/>
        <v>2454343.4244980989</v>
      </c>
      <c r="O64" s="6">
        <f t="shared" si="10"/>
        <v>8900310.3334748261</v>
      </c>
      <c r="P64" s="6">
        <f t="shared" si="13"/>
        <v>-90704.098609670997</v>
      </c>
      <c r="Q64" s="15">
        <f t="shared" si="14"/>
        <v>1.0088305306906504E-2</v>
      </c>
    </row>
    <row r="65" spans="1:17">
      <c r="A65" s="245">
        <v>42826</v>
      </c>
      <c r="B65">
        <f t="shared" si="11"/>
        <v>4</v>
      </c>
      <c r="C65">
        <f t="shared" si="12"/>
        <v>2017</v>
      </c>
      <c r="D65" s="6">
        <v>7628637.7486069882</v>
      </c>
      <c r="E65">
        <v>145.69999999999996</v>
      </c>
      <c r="F65">
        <v>4.6000000000000014</v>
      </c>
      <c r="G65">
        <f>'Monthly Data'!CI65</f>
        <v>0</v>
      </c>
      <c r="H65">
        <f>'Monthly Data'!BA65</f>
        <v>245.6</v>
      </c>
      <c r="J65" s="6">
        <f t="shared" si="5"/>
        <v>4665603.6585154198</v>
      </c>
      <c r="K65" s="6">
        <f t="shared" si="6"/>
        <v>632063.65885042015</v>
      </c>
      <c r="L65" s="6">
        <f t="shared" si="7"/>
        <v>69081.518481134597</v>
      </c>
      <c r="M65" s="6">
        <f t="shared" si="8"/>
        <v>0</v>
      </c>
      <c r="N65" s="6">
        <f t="shared" si="9"/>
        <v>2471450.3692362979</v>
      </c>
      <c r="O65" s="6">
        <f t="shared" si="10"/>
        <v>7838199.2050832724</v>
      </c>
      <c r="P65" s="6">
        <f t="shared" si="13"/>
        <v>209561.45647628419</v>
      </c>
      <c r="Q65" s="15">
        <f t="shared" si="14"/>
        <v>2.74703640914855E-2</v>
      </c>
    </row>
    <row r="66" spans="1:17">
      <c r="A66" s="245">
        <v>42856</v>
      </c>
      <c r="B66">
        <f t="shared" si="11"/>
        <v>5</v>
      </c>
      <c r="C66">
        <f t="shared" si="12"/>
        <v>2017</v>
      </c>
      <c r="D66" s="6">
        <v>7802364.6196940765</v>
      </c>
      <c r="E66">
        <v>92.100000000000023</v>
      </c>
      <c r="F66">
        <v>25.3</v>
      </c>
      <c r="G66">
        <f>'Monthly Data'!CI66</f>
        <v>0</v>
      </c>
      <c r="H66">
        <f>'Monthly Data'!BA66</f>
        <v>248.3</v>
      </c>
      <c r="J66" s="6">
        <f t="shared" si="5"/>
        <v>4665603.6585154198</v>
      </c>
      <c r="K66" s="6">
        <f t="shared" si="6"/>
        <v>399540.58325410931</v>
      </c>
      <c r="L66" s="6">
        <f t="shared" si="7"/>
        <v>379948.35164624022</v>
      </c>
      <c r="M66" s="6">
        <f t="shared" si="8"/>
        <v>0</v>
      </c>
      <c r="N66" s="6">
        <f t="shared" si="9"/>
        <v>2498620.2226440259</v>
      </c>
      <c r="O66" s="6">
        <f t="shared" si="10"/>
        <v>7943712.8160597943</v>
      </c>
      <c r="P66" s="6">
        <f t="shared" ref="P66:P97" si="15">O66-D66</f>
        <v>141348.1963657178</v>
      </c>
      <c r="Q66" s="15">
        <f t="shared" ref="Q66:Q97" si="16">ABS(O66-D66)/D66</f>
        <v>1.8116071634096478E-2</v>
      </c>
    </row>
    <row r="67" spans="1:17">
      <c r="A67" s="245">
        <v>42887</v>
      </c>
      <c r="B67">
        <f t="shared" si="11"/>
        <v>6</v>
      </c>
      <c r="C67">
        <f t="shared" si="12"/>
        <v>2017</v>
      </c>
      <c r="D67" s="6">
        <v>8568018.6844583936</v>
      </c>
      <c r="E67">
        <v>0.70000000000000107</v>
      </c>
      <c r="F67">
        <v>122.8</v>
      </c>
      <c r="G67">
        <f>'Monthly Data'!CI67</f>
        <v>0</v>
      </c>
      <c r="H67">
        <f>'Monthly Data'!BA67</f>
        <v>252.6</v>
      </c>
      <c r="J67" s="6">
        <f t="shared" ref="J67:J130" si="17">$T$7</f>
        <v>4665603.6585154198</v>
      </c>
      <c r="K67" s="6">
        <f t="shared" ref="K67:K121" si="18">E67*$T$8</f>
        <v>3036.6819574145156</v>
      </c>
      <c r="L67" s="6">
        <f t="shared" ref="L67:L121" si="19">F67*$T$9</f>
        <v>1844176.1890181142</v>
      </c>
      <c r="M67" s="6">
        <f t="shared" ref="M67:M121" si="20">G67*$T$10</f>
        <v>0</v>
      </c>
      <c r="N67" s="6">
        <f t="shared" ref="N67:N121" si="21">H67*$T$11</f>
        <v>2541890.7299230001</v>
      </c>
      <c r="O67" s="6">
        <f t="shared" ref="O67:O121" si="22">SUM(J67:N67)</f>
        <v>9054707.2594139483</v>
      </c>
      <c r="P67" s="6">
        <f t="shared" si="15"/>
        <v>486688.57495555468</v>
      </c>
      <c r="Q67" s="15">
        <f t="shared" si="16"/>
        <v>5.6802931095185805E-2</v>
      </c>
    </row>
    <row r="68" spans="1:17">
      <c r="A68" s="245">
        <v>42917</v>
      </c>
      <c r="B68">
        <f t="shared" si="11"/>
        <v>7</v>
      </c>
      <c r="C68">
        <f t="shared" si="12"/>
        <v>2017</v>
      </c>
      <c r="D68" s="6">
        <v>9396094.8214159403</v>
      </c>
      <c r="E68">
        <v>0</v>
      </c>
      <c r="F68">
        <v>170.5</v>
      </c>
      <c r="G68">
        <f>'Monthly Data'!CI68</f>
        <v>0</v>
      </c>
      <c r="H68">
        <f>'Monthly Data'!BA68</f>
        <v>254.8</v>
      </c>
      <c r="J68" s="6">
        <f t="shared" si="17"/>
        <v>4665603.6585154198</v>
      </c>
      <c r="K68" s="6">
        <f t="shared" si="18"/>
        <v>0</v>
      </c>
      <c r="L68" s="6">
        <f t="shared" si="19"/>
        <v>2560521.500224662</v>
      </c>
      <c r="M68" s="6">
        <f t="shared" si="20"/>
        <v>0</v>
      </c>
      <c r="N68" s="6">
        <f t="shared" si="21"/>
        <v>2564029.1289959638</v>
      </c>
      <c r="O68" s="6">
        <f t="shared" si="22"/>
        <v>9790154.2877360452</v>
      </c>
      <c r="P68" s="6">
        <f t="shared" si="15"/>
        <v>394059.4663201049</v>
      </c>
      <c r="Q68" s="15">
        <f t="shared" si="16"/>
        <v>4.1938643001127388E-2</v>
      </c>
    </row>
    <row r="69" spans="1:17">
      <c r="A69" s="245">
        <v>42948</v>
      </c>
      <c r="B69">
        <f t="shared" si="11"/>
        <v>8</v>
      </c>
      <c r="C69">
        <f t="shared" si="12"/>
        <v>2017</v>
      </c>
      <c r="D69" s="6">
        <v>9013385.7733225636</v>
      </c>
      <c r="E69">
        <v>0.80000000000000071</v>
      </c>
      <c r="F69">
        <v>118.19999999999999</v>
      </c>
      <c r="G69">
        <f>'Monthly Data'!CI69</f>
        <v>0</v>
      </c>
      <c r="H69">
        <f>'Monthly Data'!BA69</f>
        <v>251.5</v>
      </c>
      <c r="J69" s="6">
        <f t="shared" si="17"/>
        <v>4665603.6585154198</v>
      </c>
      <c r="K69" s="6">
        <f t="shared" si="18"/>
        <v>3470.4936656165869</v>
      </c>
      <c r="L69" s="6">
        <f t="shared" si="19"/>
        <v>1775094.6705369796</v>
      </c>
      <c r="M69" s="6">
        <f t="shared" si="20"/>
        <v>0</v>
      </c>
      <c r="N69" s="6">
        <f t="shared" si="21"/>
        <v>2530821.5303865187</v>
      </c>
      <c r="O69" s="6">
        <f t="shared" si="22"/>
        <v>8974990.3531045355</v>
      </c>
      <c r="P69" s="6">
        <f t="shared" si="15"/>
        <v>-38395.420218028128</v>
      </c>
      <c r="Q69" s="15">
        <f t="shared" si="16"/>
        <v>4.2598221338389025E-3</v>
      </c>
    </row>
    <row r="70" spans="1:17">
      <c r="A70" s="245">
        <v>42979</v>
      </c>
      <c r="B70">
        <f t="shared" si="11"/>
        <v>9</v>
      </c>
      <c r="C70">
        <f t="shared" si="12"/>
        <v>2017</v>
      </c>
      <c r="D70" s="6">
        <v>8245914.4193014568</v>
      </c>
      <c r="E70">
        <v>13.7</v>
      </c>
      <c r="F70">
        <v>90</v>
      </c>
      <c r="G70">
        <f>'Monthly Data'!CI70</f>
        <v>0</v>
      </c>
      <c r="H70">
        <f>'Monthly Data'!BA70</f>
        <v>246.3</v>
      </c>
      <c r="J70" s="6">
        <f t="shared" si="17"/>
        <v>4665603.6585154198</v>
      </c>
      <c r="K70" s="6">
        <f t="shared" si="18"/>
        <v>59432.204023683997</v>
      </c>
      <c r="L70" s="6">
        <f t="shared" si="19"/>
        <v>1351594.926804807</v>
      </c>
      <c r="M70" s="6">
        <f t="shared" si="20"/>
        <v>0</v>
      </c>
      <c r="N70" s="6">
        <f t="shared" si="21"/>
        <v>2478494.4053049684</v>
      </c>
      <c r="O70" s="6">
        <f t="shared" si="22"/>
        <v>8555125.1946488805</v>
      </c>
      <c r="P70" s="6">
        <f t="shared" si="15"/>
        <v>309210.77534742374</v>
      </c>
      <c r="Q70" s="15">
        <f t="shared" si="16"/>
        <v>3.7498664141316446E-2</v>
      </c>
    </row>
    <row r="71" spans="1:17">
      <c r="A71" s="245">
        <v>43009</v>
      </c>
      <c r="B71">
        <f t="shared" si="11"/>
        <v>10</v>
      </c>
      <c r="C71">
        <f t="shared" si="12"/>
        <v>2017</v>
      </c>
      <c r="D71" s="6">
        <v>7746325.4601202719</v>
      </c>
      <c r="E71">
        <v>74.899999999999991</v>
      </c>
      <c r="F71">
        <v>24.999999999999996</v>
      </c>
      <c r="G71">
        <f>'Monthly Data'!CI71</f>
        <v>0</v>
      </c>
      <c r="H71">
        <f>'Monthly Data'!BA71</f>
        <v>244.7</v>
      </c>
      <c r="J71" s="6">
        <f t="shared" si="17"/>
        <v>4665603.6585154198</v>
      </c>
      <c r="K71" s="6">
        <f t="shared" si="18"/>
        <v>324924.9694433526</v>
      </c>
      <c r="L71" s="6">
        <f t="shared" si="19"/>
        <v>375443.03522355744</v>
      </c>
      <c r="M71" s="6">
        <f t="shared" si="20"/>
        <v>0</v>
      </c>
      <c r="N71" s="6">
        <f t="shared" si="21"/>
        <v>2462393.7514337217</v>
      </c>
      <c r="O71" s="6">
        <f t="shared" si="22"/>
        <v>7828365.4146160521</v>
      </c>
      <c r="P71" s="6">
        <f t="shared" si="15"/>
        <v>82039.95449578017</v>
      </c>
      <c r="Q71" s="15">
        <f t="shared" si="16"/>
        <v>1.0590822050808383E-2</v>
      </c>
    </row>
    <row r="72" spans="1:17">
      <c r="A72" s="245">
        <v>43040</v>
      </c>
      <c r="B72">
        <f t="shared" si="11"/>
        <v>11</v>
      </c>
      <c r="C72">
        <f t="shared" si="12"/>
        <v>2017</v>
      </c>
      <c r="D72" s="6">
        <v>8373365.6037009042</v>
      </c>
      <c r="E72">
        <v>311.8</v>
      </c>
      <c r="F72">
        <v>0</v>
      </c>
      <c r="G72">
        <f>'Monthly Data'!CI72</f>
        <v>0</v>
      </c>
      <c r="H72">
        <f>'Monthly Data'!BA72</f>
        <v>245.9</v>
      </c>
      <c r="J72" s="6">
        <f t="shared" si="17"/>
        <v>4665603.6585154198</v>
      </c>
      <c r="K72" s="6">
        <f t="shared" si="18"/>
        <v>1352624.9061740637</v>
      </c>
      <c r="L72" s="6">
        <f t="shared" si="19"/>
        <v>0</v>
      </c>
      <c r="M72" s="6">
        <f t="shared" si="20"/>
        <v>0</v>
      </c>
      <c r="N72" s="6">
        <f t="shared" si="21"/>
        <v>2474469.2418371569</v>
      </c>
      <c r="O72" s="6">
        <f t="shared" si="22"/>
        <v>8492697.8065266404</v>
      </c>
      <c r="P72" s="6">
        <f t="shared" si="15"/>
        <v>119332.20282573625</v>
      </c>
      <c r="Q72" s="15">
        <f t="shared" si="16"/>
        <v>1.4251402419714383E-2</v>
      </c>
    </row>
    <row r="73" spans="1:17">
      <c r="A73" s="245">
        <v>43070</v>
      </c>
      <c r="B73">
        <f t="shared" si="11"/>
        <v>12</v>
      </c>
      <c r="C73">
        <f t="shared" si="12"/>
        <v>2017</v>
      </c>
      <c r="D73" s="6">
        <v>9299039.0866151359</v>
      </c>
      <c r="E73">
        <v>558.9</v>
      </c>
      <c r="F73">
        <v>0</v>
      </c>
      <c r="G73">
        <f>'Monthly Data'!CI73</f>
        <v>0</v>
      </c>
      <c r="H73">
        <f>'Monthly Data'!BA73</f>
        <v>246.8</v>
      </c>
      <c r="J73" s="6">
        <f t="shared" si="17"/>
        <v>4665603.6585154198</v>
      </c>
      <c r="K73" s="6">
        <f t="shared" si="18"/>
        <v>2424573.637141386</v>
      </c>
      <c r="L73" s="6">
        <f t="shared" si="19"/>
        <v>0</v>
      </c>
      <c r="M73" s="6">
        <f t="shared" si="20"/>
        <v>0</v>
      </c>
      <c r="N73" s="6">
        <f t="shared" si="21"/>
        <v>2483525.8596397326</v>
      </c>
      <c r="O73" s="6">
        <f t="shared" si="22"/>
        <v>9573703.155296538</v>
      </c>
      <c r="P73" s="6">
        <f t="shared" si="15"/>
        <v>274664.06868140213</v>
      </c>
      <c r="Q73" s="15">
        <f t="shared" si="16"/>
        <v>2.9536822689211886E-2</v>
      </c>
    </row>
    <row r="74" spans="1:17">
      <c r="A74" s="245">
        <v>43101</v>
      </c>
      <c r="B74">
        <f t="shared" si="11"/>
        <v>1</v>
      </c>
      <c r="C74">
        <f t="shared" si="12"/>
        <v>2018</v>
      </c>
      <c r="D74" s="6">
        <v>9887375.4825748149</v>
      </c>
      <c r="E74">
        <v>593.49999999999989</v>
      </c>
      <c r="F74">
        <v>0</v>
      </c>
      <c r="G74">
        <f>'Monthly Data'!CI74</f>
        <v>0</v>
      </c>
      <c r="H74">
        <f>'Monthly Data'!BA74</f>
        <v>246.6</v>
      </c>
      <c r="J74" s="6">
        <f t="shared" si="17"/>
        <v>4665603.6585154198</v>
      </c>
      <c r="K74" s="6">
        <f t="shared" si="18"/>
        <v>2574672.4881793028</v>
      </c>
      <c r="L74" s="6">
        <f t="shared" si="19"/>
        <v>0</v>
      </c>
      <c r="M74" s="6">
        <f t="shared" si="20"/>
        <v>0</v>
      </c>
      <c r="N74" s="6">
        <f t="shared" si="21"/>
        <v>2481513.2779058269</v>
      </c>
      <c r="O74" s="6">
        <f t="shared" si="22"/>
        <v>9721789.424600549</v>
      </c>
      <c r="P74" s="6">
        <f t="shared" si="15"/>
        <v>-165586.05797426589</v>
      </c>
      <c r="Q74" s="15">
        <f t="shared" si="16"/>
        <v>1.6747220560814072E-2</v>
      </c>
    </row>
    <row r="75" spans="1:17">
      <c r="A75" s="245">
        <v>43132</v>
      </c>
      <c r="B75">
        <f t="shared" si="11"/>
        <v>2</v>
      </c>
      <c r="C75">
        <f t="shared" si="12"/>
        <v>2018</v>
      </c>
      <c r="D75" s="6">
        <v>8512331.4271643814</v>
      </c>
      <c r="E75">
        <v>456.40000000000003</v>
      </c>
      <c r="F75">
        <v>0</v>
      </c>
      <c r="G75">
        <f>'Monthly Data'!CI75</f>
        <v>0</v>
      </c>
      <c r="H75">
        <f>'Monthly Data'!BA75</f>
        <v>249</v>
      </c>
      <c r="J75" s="6">
        <f t="shared" si="17"/>
        <v>4665603.6585154198</v>
      </c>
      <c r="K75" s="6">
        <f t="shared" si="18"/>
        <v>1979916.6362342613</v>
      </c>
      <c r="L75" s="6">
        <f t="shared" si="19"/>
        <v>0</v>
      </c>
      <c r="M75" s="6">
        <f t="shared" si="20"/>
        <v>0</v>
      </c>
      <c r="N75" s="6">
        <f t="shared" si="21"/>
        <v>2505664.2587126964</v>
      </c>
      <c r="O75" s="6">
        <f t="shared" si="22"/>
        <v>9151184.5534623768</v>
      </c>
      <c r="P75" s="6">
        <f t="shared" si="15"/>
        <v>638853.12629799545</v>
      </c>
      <c r="Q75" s="15">
        <f t="shared" si="16"/>
        <v>7.5050311628997446E-2</v>
      </c>
    </row>
    <row r="76" spans="1:17">
      <c r="A76" s="245">
        <v>43160</v>
      </c>
      <c r="B76">
        <f t="shared" si="11"/>
        <v>3</v>
      </c>
      <c r="C76">
        <f t="shared" si="12"/>
        <v>2018</v>
      </c>
      <c r="D76" s="6">
        <v>8970271.9821998216</v>
      </c>
      <c r="E76">
        <v>451.2</v>
      </c>
      <c r="F76">
        <v>0</v>
      </c>
      <c r="G76">
        <f>'Monthly Data'!CI76</f>
        <v>0</v>
      </c>
      <c r="H76">
        <f>'Monthly Data'!BA76</f>
        <v>250.6</v>
      </c>
      <c r="J76" s="6">
        <f t="shared" si="17"/>
        <v>4665603.6585154198</v>
      </c>
      <c r="K76" s="6">
        <f t="shared" si="18"/>
        <v>1957358.4274077532</v>
      </c>
      <c r="L76" s="6">
        <f t="shared" si="19"/>
        <v>0</v>
      </c>
      <c r="M76" s="6">
        <f t="shared" si="20"/>
        <v>0</v>
      </c>
      <c r="N76" s="6">
        <f t="shared" si="21"/>
        <v>2521764.9125839425</v>
      </c>
      <c r="O76" s="6">
        <f t="shared" si="22"/>
        <v>9144726.998507116</v>
      </c>
      <c r="P76" s="6">
        <f t="shared" si="15"/>
        <v>174455.01630729437</v>
      </c>
      <c r="Q76" s="15">
        <f t="shared" si="16"/>
        <v>1.9448130073812093E-2</v>
      </c>
    </row>
    <row r="77" spans="1:17">
      <c r="A77" s="245">
        <v>43191</v>
      </c>
      <c r="B77">
        <f t="shared" si="11"/>
        <v>4</v>
      </c>
      <c r="C77">
        <f t="shared" si="12"/>
        <v>2018</v>
      </c>
      <c r="D77" s="6">
        <v>8297636.6351806959</v>
      </c>
      <c r="E77">
        <v>312.00000000000006</v>
      </c>
      <c r="F77">
        <v>0</v>
      </c>
      <c r="G77">
        <f>'Monthly Data'!CI77</f>
        <v>0</v>
      </c>
      <c r="H77">
        <f>'Monthly Data'!BA77</f>
        <v>253.2</v>
      </c>
      <c r="J77" s="6">
        <f t="shared" si="17"/>
        <v>4665603.6585154198</v>
      </c>
      <c r="K77" s="6">
        <f t="shared" si="18"/>
        <v>1353492.5295904679</v>
      </c>
      <c r="L77" s="6">
        <f t="shared" si="19"/>
        <v>0</v>
      </c>
      <c r="M77" s="6">
        <f t="shared" si="20"/>
        <v>0</v>
      </c>
      <c r="N77" s="6">
        <f t="shared" si="21"/>
        <v>2547928.4751247177</v>
      </c>
      <c r="O77" s="6">
        <f t="shared" si="22"/>
        <v>8567024.6632306054</v>
      </c>
      <c r="P77" s="6">
        <f t="shared" si="15"/>
        <v>269388.02804990951</v>
      </c>
      <c r="Q77" s="15">
        <f t="shared" si="16"/>
        <v>3.246563327535288E-2</v>
      </c>
    </row>
    <row r="78" spans="1:17">
      <c r="A78" s="245">
        <v>43221</v>
      </c>
      <c r="B78">
        <f t="shared" si="11"/>
        <v>5</v>
      </c>
      <c r="C78">
        <f t="shared" si="12"/>
        <v>2018</v>
      </c>
      <c r="D78" s="6">
        <v>8249231.8735396629</v>
      </c>
      <c r="E78">
        <v>47.5</v>
      </c>
      <c r="F78">
        <v>63.900000000000006</v>
      </c>
      <c r="G78">
        <f>'Monthly Data'!CI78</f>
        <v>0</v>
      </c>
      <c r="H78">
        <f>'Monthly Data'!BA78</f>
        <v>255.4</v>
      </c>
      <c r="J78" s="6">
        <f t="shared" si="17"/>
        <v>4665603.6585154198</v>
      </c>
      <c r="K78" s="6">
        <f t="shared" si="18"/>
        <v>206060.56139598467</v>
      </c>
      <c r="L78" s="6">
        <f t="shared" si="19"/>
        <v>959632.39803141297</v>
      </c>
      <c r="M78" s="6">
        <f t="shared" si="20"/>
        <v>0</v>
      </c>
      <c r="N78" s="6">
        <f t="shared" si="21"/>
        <v>2570066.8741976814</v>
      </c>
      <c r="O78" s="6">
        <f t="shared" si="22"/>
        <v>8401363.492140498</v>
      </c>
      <c r="P78" s="6">
        <f t="shared" si="15"/>
        <v>152131.61860083509</v>
      </c>
      <c r="Q78" s="15">
        <f t="shared" si="16"/>
        <v>1.844191325119789E-2</v>
      </c>
    </row>
    <row r="79" spans="1:17">
      <c r="A79" s="245">
        <v>43252</v>
      </c>
      <c r="B79">
        <f t="shared" si="11"/>
        <v>6</v>
      </c>
      <c r="C79">
        <f t="shared" si="12"/>
        <v>2018</v>
      </c>
      <c r="D79" s="6">
        <v>8373888.3241558662</v>
      </c>
      <c r="E79">
        <v>5.2999999999999989</v>
      </c>
      <c r="F79">
        <v>92.40000000000002</v>
      </c>
      <c r="G79">
        <f>'Monthly Data'!CI79</f>
        <v>0</v>
      </c>
      <c r="H79">
        <f>'Monthly Data'!BA79</f>
        <v>259.3</v>
      </c>
      <c r="J79" s="6">
        <f t="shared" si="17"/>
        <v>4665603.6585154198</v>
      </c>
      <c r="K79" s="6">
        <f t="shared" si="18"/>
        <v>22992.020534709864</v>
      </c>
      <c r="L79" s="6">
        <f t="shared" si="19"/>
        <v>1387637.4581862688</v>
      </c>
      <c r="M79" s="6">
        <f t="shared" si="20"/>
        <v>0</v>
      </c>
      <c r="N79" s="6">
        <f t="shared" si="21"/>
        <v>2609312.2180088442</v>
      </c>
      <c r="O79" s="6">
        <f t="shared" si="22"/>
        <v>8685545.3552452438</v>
      </c>
      <c r="P79" s="6">
        <f t="shared" si="15"/>
        <v>311657.03108937759</v>
      </c>
      <c r="Q79" s="15">
        <f t="shared" si="16"/>
        <v>3.7217720015485678E-2</v>
      </c>
    </row>
    <row r="80" spans="1:17">
      <c r="A80" s="245">
        <v>43282</v>
      </c>
      <c r="B80">
        <f t="shared" si="11"/>
        <v>7</v>
      </c>
      <c r="C80">
        <f t="shared" si="12"/>
        <v>2018</v>
      </c>
      <c r="D80" s="6">
        <v>9741782.1239099316</v>
      </c>
      <c r="E80">
        <v>0</v>
      </c>
      <c r="F80">
        <v>176.00000000000003</v>
      </c>
      <c r="G80">
        <f>'Monthly Data'!CI80</f>
        <v>0</v>
      </c>
      <c r="H80">
        <f>'Monthly Data'!BA80</f>
        <v>263.3</v>
      </c>
      <c r="J80" s="6">
        <f t="shared" si="17"/>
        <v>4665603.6585154198</v>
      </c>
      <c r="K80" s="6">
        <f t="shared" si="18"/>
        <v>0</v>
      </c>
      <c r="L80" s="6">
        <f t="shared" si="19"/>
        <v>2643118.9679738451</v>
      </c>
      <c r="M80" s="6">
        <f t="shared" si="20"/>
        <v>0</v>
      </c>
      <c r="N80" s="6">
        <f t="shared" si="21"/>
        <v>2649563.8526869598</v>
      </c>
      <c r="O80" s="6">
        <f t="shared" si="22"/>
        <v>9958286.4791762251</v>
      </c>
      <c r="P80" s="6">
        <f t="shared" si="15"/>
        <v>216504.35526629351</v>
      </c>
      <c r="Q80" s="15">
        <f t="shared" si="16"/>
        <v>2.2224306858075984E-2</v>
      </c>
    </row>
    <row r="81" spans="1:17">
      <c r="A81" s="245">
        <v>43313</v>
      </c>
      <c r="B81">
        <f t="shared" si="11"/>
        <v>8</v>
      </c>
      <c r="C81">
        <f t="shared" si="12"/>
        <v>2018</v>
      </c>
      <c r="D81" s="6">
        <v>9820589.6786198616</v>
      </c>
      <c r="E81">
        <v>0</v>
      </c>
      <c r="F81">
        <v>188.29999999999995</v>
      </c>
      <c r="G81">
        <f>'Monthly Data'!CI81</f>
        <v>0</v>
      </c>
      <c r="H81">
        <f>'Monthly Data'!BA81</f>
        <v>264.60000000000002</v>
      </c>
      <c r="J81" s="6">
        <f t="shared" si="17"/>
        <v>4665603.6585154198</v>
      </c>
      <c r="K81" s="6">
        <f t="shared" si="18"/>
        <v>0</v>
      </c>
      <c r="L81" s="6">
        <f t="shared" si="19"/>
        <v>2827836.9413038343</v>
      </c>
      <c r="M81" s="6">
        <f t="shared" si="20"/>
        <v>0</v>
      </c>
      <c r="N81" s="6">
        <f t="shared" si="21"/>
        <v>2662645.6339573474</v>
      </c>
      <c r="O81" s="6">
        <f t="shared" si="22"/>
        <v>10156086.233776601</v>
      </c>
      <c r="P81" s="6">
        <f t="shared" si="15"/>
        <v>335496.55515673943</v>
      </c>
      <c r="Q81" s="15">
        <f t="shared" si="16"/>
        <v>3.4162567232305797E-2</v>
      </c>
    </row>
    <row r="82" spans="1:17">
      <c r="A82" s="245">
        <v>43344</v>
      </c>
      <c r="B82">
        <f t="shared" si="11"/>
        <v>9</v>
      </c>
      <c r="C82">
        <f t="shared" si="12"/>
        <v>2018</v>
      </c>
      <c r="D82" s="6">
        <v>8296767.5050907237</v>
      </c>
      <c r="E82">
        <v>15.100000000000001</v>
      </c>
      <c r="F82">
        <v>92.7</v>
      </c>
      <c r="G82">
        <f>'Monthly Data'!CI82</f>
        <v>0</v>
      </c>
      <c r="H82">
        <f>'Monthly Data'!BA82</f>
        <v>263.3</v>
      </c>
      <c r="J82" s="6">
        <f t="shared" si="17"/>
        <v>4665603.6585154198</v>
      </c>
      <c r="K82" s="6">
        <f t="shared" si="18"/>
        <v>65505.567938513028</v>
      </c>
      <c r="L82" s="6">
        <f t="shared" si="19"/>
        <v>1392142.7746089513</v>
      </c>
      <c r="M82" s="6">
        <f t="shared" si="20"/>
        <v>0</v>
      </c>
      <c r="N82" s="6">
        <f t="shared" si="21"/>
        <v>2649563.8526869598</v>
      </c>
      <c r="O82" s="6">
        <f t="shared" si="22"/>
        <v>8772815.8537498433</v>
      </c>
      <c r="P82" s="6">
        <f t="shared" si="15"/>
        <v>476048.34865911957</v>
      </c>
      <c r="Q82" s="15">
        <f t="shared" si="16"/>
        <v>5.7377568838348936E-2</v>
      </c>
    </row>
    <row r="83" spans="1:17">
      <c r="A83" s="245">
        <v>43374</v>
      </c>
      <c r="B83">
        <f t="shared" si="11"/>
        <v>10</v>
      </c>
      <c r="C83">
        <f t="shared" si="12"/>
        <v>2018</v>
      </c>
      <c r="D83" s="6">
        <v>7823378.1220731037</v>
      </c>
      <c r="E83">
        <v>160.9</v>
      </c>
      <c r="F83">
        <v>24.2</v>
      </c>
      <c r="G83">
        <f>'Monthly Data'!CI83</f>
        <v>0</v>
      </c>
      <c r="H83">
        <f>'Monthly Data'!BA83</f>
        <v>261.8</v>
      </c>
      <c r="J83" s="6">
        <f t="shared" si="17"/>
        <v>4665603.6585154198</v>
      </c>
      <c r="K83" s="6">
        <f t="shared" si="18"/>
        <v>698003.03849713551</v>
      </c>
      <c r="L83" s="6">
        <f t="shared" si="19"/>
        <v>363428.85809640365</v>
      </c>
      <c r="M83" s="6">
        <f t="shared" si="20"/>
        <v>0</v>
      </c>
      <c r="N83" s="6">
        <f t="shared" si="21"/>
        <v>2634469.4896826665</v>
      </c>
      <c r="O83" s="6">
        <f t="shared" si="22"/>
        <v>8361505.0447916258</v>
      </c>
      <c r="P83" s="6">
        <f t="shared" si="15"/>
        <v>538126.92271852214</v>
      </c>
      <c r="Q83" s="15">
        <f t="shared" si="16"/>
        <v>6.8784470636825717E-2</v>
      </c>
    </row>
    <row r="84" spans="1:17">
      <c r="A84" s="245">
        <v>43405</v>
      </c>
      <c r="B84">
        <f t="shared" si="11"/>
        <v>11</v>
      </c>
      <c r="C84">
        <f t="shared" si="12"/>
        <v>2018</v>
      </c>
      <c r="D84" s="6">
        <v>8565433.8271822594</v>
      </c>
      <c r="E84">
        <v>373.50000000000011</v>
      </c>
      <c r="F84">
        <v>0</v>
      </c>
      <c r="G84">
        <f>'Monthly Data'!CI84</f>
        <v>0</v>
      </c>
      <c r="H84">
        <f>'Monthly Data'!BA84</f>
        <v>257</v>
      </c>
      <c r="J84" s="6">
        <f t="shared" si="17"/>
        <v>4665603.6585154198</v>
      </c>
      <c r="K84" s="6">
        <f t="shared" si="18"/>
        <v>1620286.730134743</v>
      </c>
      <c r="L84" s="6">
        <f t="shared" si="19"/>
        <v>0</v>
      </c>
      <c r="M84" s="6">
        <f t="shared" si="20"/>
        <v>0</v>
      </c>
      <c r="N84" s="6">
        <f t="shared" si="21"/>
        <v>2586167.5280689276</v>
      </c>
      <c r="O84" s="6">
        <f t="shared" si="22"/>
        <v>8872057.9167190902</v>
      </c>
      <c r="P84" s="6">
        <f t="shared" si="15"/>
        <v>306624.08953683078</v>
      </c>
      <c r="Q84" s="15">
        <f t="shared" si="16"/>
        <v>3.579784698864457E-2</v>
      </c>
    </row>
    <row r="85" spans="1:17">
      <c r="A85" s="245">
        <v>43435</v>
      </c>
      <c r="B85">
        <f t="shared" si="11"/>
        <v>12</v>
      </c>
      <c r="C85">
        <f t="shared" si="12"/>
        <v>2018</v>
      </c>
      <c r="D85" s="6">
        <v>8828754.4656966105</v>
      </c>
      <c r="E85">
        <v>420.19999999999987</v>
      </c>
      <c r="F85">
        <v>0</v>
      </c>
      <c r="G85">
        <f>'Monthly Data'!CI85</f>
        <v>0</v>
      </c>
      <c r="H85">
        <f>'Monthly Data'!BA85</f>
        <v>255.8</v>
      </c>
      <c r="J85" s="6">
        <f t="shared" si="17"/>
        <v>4665603.6585154198</v>
      </c>
      <c r="K85" s="6">
        <f t="shared" si="18"/>
        <v>1822876.7978651102</v>
      </c>
      <c r="L85" s="6">
        <f t="shared" si="19"/>
        <v>0</v>
      </c>
      <c r="M85" s="6">
        <f t="shared" si="20"/>
        <v>0</v>
      </c>
      <c r="N85" s="6">
        <f t="shared" si="21"/>
        <v>2574092.0376654929</v>
      </c>
      <c r="O85" s="6">
        <f t="shared" si="22"/>
        <v>9062572.4940460231</v>
      </c>
      <c r="P85" s="6">
        <f t="shared" si="15"/>
        <v>233818.02834941261</v>
      </c>
      <c r="Q85" s="15">
        <f t="shared" si="16"/>
        <v>2.6483693623816706E-2</v>
      </c>
    </row>
    <row r="86" spans="1:17">
      <c r="A86" s="245">
        <v>43466</v>
      </c>
      <c r="B86">
        <f t="shared" ref="B86:B97" si="23">MONTH(A86)</f>
        <v>1</v>
      </c>
      <c r="C86">
        <f t="shared" ref="C86:C97" si="24">YEAR(A86)</f>
        <v>2019</v>
      </c>
      <c r="D86" s="6">
        <v>9605510.1381623745</v>
      </c>
      <c r="E86">
        <v>594.79999999999995</v>
      </c>
      <c r="F86">
        <v>0</v>
      </c>
      <c r="G86">
        <f>'Monthly Data'!CI86</f>
        <v>0</v>
      </c>
      <c r="H86">
        <f>'Monthly Data'!BA86</f>
        <v>254.9</v>
      </c>
      <c r="J86" s="6">
        <f t="shared" si="17"/>
        <v>4665603.6585154198</v>
      </c>
      <c r="K86" s="6">
        <f t="shared" si="18"/>
        <v>2580312.0403859299</v>
      </c>
      <c r="L86" s="6">
        <f t="shared" si="19"/>
        <v>0</v>
      </c>
      <c r="M86" s="6">
        <f t="shared" si="20"/>
        <v>0</v>
      </c>
      <c r="N86" s="6">
        <f t="shared" si="21"/>
        <v>2565035.4198629167</v>
      </c>
      <c r="O86" s="6">
        <f t="shared" si="22"/>
        <v>9810951.1187642664</v>
      </c>
      <c r="P86" s="6">
        <f t="shared" si="15"/>
        <v>205440.98060189188</v>
      </c>
      <c r="Q86" s="15">
        <f t="shared" si="16"/>
        <v>2.1387826117186804E-2</v>
      </c>
    </row>
    <row r="87" spans="1:17">
      <c r="A87" s="245">
        <v>43497</v>
      </c>
      <c r="B87">
        <f t="shared" si="23"/>
        <v>2</v>
      </c>
      <c r="C87">
        <f t="shared" si="24"/>
        <v>2019</v>
      </c>
      <c r="D87" s="6">
        <v>9040925.1381623745</v>
      </c>
      <c r="E87">
        <v>492.5</v>
      </c>
      <c r="F87">
        <v>0</v>
      </c>
      <c r="G87">
        <f>'Monthly Data'!CI87</f>
        <v>0</v>
      </c>
      <c r="H87">
        <f>'Monthly Data'!BA87</f>
        <v>254.6</v>
      </c>
      <c r="J87" s="6">
        <f t="shared" si="17"/>
        <v>4665603.6585154198</v>
      </c>
      <c r="K87" s="6">
        <f t="shared" si="18"/>
        <v>2136522.6628952096</v>
      </c>
      <c r="L87" s="6">
        <f t="shared" si="19"/>
        <v>0</v>
      </c>
      <c r="M87" s="6">
        <f t="shared" si="20"/>
        <v>0</v>
      </c>
      <c r="N87" s="6">
        <f t="shared" si="21"/>
        <v>2562016.5472620581</v>
      </c>
      <c r="O87" s="6">
        <f t="shared" si="22"/>
        <v>9364142.8686726876</v>
      </c>
      <c r="P87" s="6">
        <f t="shared" si="15"/>
        <v>323217.73051031306</v>
      </c>
      <c r="Q87" s="15">
        <f t="shared" si="16"/>
        <v>3.5750515082354627E-2</v>
      </c>
    </row>
    <row r="88" spans="1:17">
      <c r="A88" s="245">
        <v>43525</v>
      </c>
      <c r="B88">
        <f t="shared" si="23"/>
        <v>3</v>
      </c>
      <c r="C88">
        <f t="shared" si="24"/>
        <v>2019</v>
      </c>
      <c r="D88" s="6">
        <v>9197067.1381623745</v>
      </c>
      <c r="E88">
        <v>450.60000000000014</v>
      </c>
      <c r="F88">
        <v>0</v>
      </c>
      <c r="G88">
        <f>'Monthly Data'!CI88</f>
        <v>0</v>
      </c>
      <c r="H88">
        <f>'Monthly Data'!BA88</f>
        <v>252</v>
      </c>
      <c r="J88" s="6">
        <f t="shared" si="17"/>
        <v>4665603.6585154198</v>
      </c>
      <c r="K88" s="6">
        <f t="shared" si="18"/>
        <v>1954755.5571585414</v>
      </c>
      <c r="L88" s="6">
        <f t="shared" si="19"/>
        <v>0</v>
      </c>
      <c r="M88" s="6">
        <f t="shared" si="20"/>
        <v>0</v>
      </c>
      <c r="N88" s="6">
        <f t="shared" si="21"/>
        <v>2535852.984721283</v>
      </c>
      <c r="O88" s="6">
        <f t="shared" si="22"/>
        <v>9156212.2003952432</v>
      </c>
      <c r="P88" s="6">
        <f t="shared" si="15"/>
        <v>-40854.937767131254</v>
      </c>
      <c r="Q88" s="15">
        <f t="shared" si="16"/>
        <v>4.442170221592435E-3</v>
      </c>
    </row>
    <row r="89" spans="1:17">
      <c r="A89" s="245">
        <v>43556</v>
      </c>
      <c r="B89">
        <f t="shared" si="23"/>
        <v>4</v>
      </c>
      <c r="C89">
        <f t="shared" si="24"/>
        <v>2019</v>
      </c>
      <c r="D89" s="6">
        <v>8127529.1381623745</v>
      </c>
      <c r="E89">
        <v>210.80000000000007</v>
      </c>
      <c r="F89">
        <v>0</v>
      </c>
      <c r="G89">
        <f>'Monthly Data'!CI89</f>
        <v>0</v>
      </c>
      <c r="H89">
        <f>'Monthly Data'!BA89</f>
        <v>249.6</v>
      </c>
      <c r="J89" s="6">
        <f t="shared" si="17"/>
        <v>4665603.6585154198</v>
      </c>
      <c r="K89" s="6">
        <f t="shared" si="18"/>
        <v>914475.08088997018</v>
      </c>
      <c r="L89" s="6">
        <f t="shared" si="19"/>
        <v>0</v>
      </c>
      <c r="M89" s="6">
        <f t="shared" si="20"/>
        <v>0</v>
      </c>
      <c r="N89" s="6">
        <f t="shared" si="21"/>
        <v>2511702.0039144135</v>
      </c>
      <c r="O89" s="6">
        <f t="shared" si="22"/>
        <v>8091780.7433198038</v>
      </c>
      <c r="P89" s="6">
        <f t="shared" si="15"/>
        <v>-35748.394842570648</v>
      </c>
      <c r="Q89" s="15">
        <f t="shared" si="16"/>
        <v>4.3984333042518409E-3</v>
      </c>
    </row>
    <row r="90" spans="1:17">
      <c r="A90" s="245">
        <v>43586</v>
      </c>
      <c r="B90">
        <f t="shared" si="23"/>
        <v>5</v>
      </c>
      <c r="C90">
        <f t="shared" si="24"/>
        <v>2019</v>
      </c>
      <c r="D90" s="6">
        <v>7917097.1381623745</v>
      </c>
      <c r="E90">
        <v>95.2</v>
      </c>
      <c r="F90">
        <v>9.9000000000000021</v>
      </c>
      <c r="G90">
        <f>'Monthly Data'!CI90</f>
        <v>0</v>
      </c>
      <c r="H90">
        <f>'Monthly Data'!BA90</f>
        <v>247.3</v>
      </c>
      <c r="J90" s="6">
        <f t="shared" si="17"/>
        <v>4665603.6585154198</v>
      </c>
      <c r="K90" s="6">
        <f t="shared" si="18"/>
        <v>412988.74620837352</v>
      </c>
      <c r="L90" s="6">
        <f t="shared" si="19"/>
        <v>148675.44194852881</v>
      </c>
      <c r="M90" s="6">
        <f t="shared" si="20"/>
        <v>0</v>
      </c>
      <c r="N90" s="6">
        <f t="shared" si="21"/>
        <v>2488557.3139744974</v>
      </c>
      <c r="O90" s="6">
        <f t="shared" si="22"/>
        <v>7715825.1606468186</v>
      </c>
      <c r="P90" s="6">
        <f t="shared" si="15"/>
        <v>-201271.97751555592</v>
      </c>
      <c r="Q90" s="15">
        <f t="shared" si="16"/>
        <v>2.5422446384467737E-2</v>
      </c>
    </row>
    <row r="91" spans="1:17">
      <c r="A91" s="245">
        <v>43617</v>
      </c>
      <c r="B91">
        <f t="shared" si="23"/>
        <v>6</v>
      </c>
      <c r="C91">
        <f t="shared" si="24"/>
        <v>2019</v>
      </c>
      <c r="D91" s="6">
        <v>8152023.1381623745</v>
      </c>
      <c r="E91">
        <v>9.3000000000000007</v>
      </c>
      <c r="F91">
        <v>62.7</v>
      </c>
      <c r="G91">
        <f>'Monthly Data'!CI91</f>
        <v>0</v>
      </c>
      <c r="H91">
        <f>'Monthly Data'!BA91</f>
        <v>250.5</v>
      </c>
      <c r="J91" s="6">
        <f t="shared" si="17"/>
        <v>4665603.6585154198</v>
      </c>
      <c r="K91" s="6">
        <f t="shared" si="18"/>
        <v>40344.488862792794</v>
      </c>
      <c r="L91" s="6">
        <f t="shared" si="19"/>
        <v>941611.1323406822</v>
      </c>
      <c r="M91" s="6">
        <f t="shared" si="20"/>
        <v>0</v>
      </c>
      <c r="N91" s="6">
        <f t="shared" si="21"/>
        <v>2520758.6217169897</v>
      </c>
      <c r="O91" s="6">
        <f t="shared" si="22"/>
        <v>8168317.9014358837</v>
      </c>
      <c r="P91" s="6">
        <f t="shared" si="15"/>
        <v>16294.763273509219</v>
      </c>
      <c r="Q91" s="15">
        <f t="shared" si="16"/>
        <v>1.9988612639269786E-3</v>
      </c>
    </row>
    <row r="92" spans="1:17">
      <c r="A92" s="245">
        <v>43647</v>
      </c>
      <c r="B92">
        <f t="shared" si="23"/>
        <v>7</v>
      </c>
      <c r="C92">
        <f t="shared" si="24"/>
        <v>2019</v>
      </c>
      <c r="D92" s="6">
        <v>10489533.138162374</v>
      </c>
      <c r="E92">
        <v>0</v>
      </c>
      <c r="F92">
        <v>204.70000000000002</v>
      </c>
      <c r="G92">
        <f>'Monthly Data'!CI92</f>
        <v>0</v>
      </c>
      <c r="H92">
        <f>'Monthly Data'!BA92</f>
        <v>250.7</v>
      </c>
      <c r="J92" s="6">
        <f t="shared" si="17"/>
        <v>4665603.6585154198</v>
      </c>
      <c r="K92" s="6">
        <f t="shared" si="18"/>
        <v>0</v>
      </c>
      <c r="L92" s="6">
        <f t="shared" si="19"/>
        <v>3074127.572410489</v>
      </c>
      <c r="M92" s="6">
        <f t="shared" si="20"/>
        <v>0</v>
      </c>
      <c r="N92" s="6">
        <f t="shared" si="21"/>
        <v>2522771.2034508954</v>
      </c>
      <c r="O92" s="6">
        <f t="shared" si="22"/>
        <v>10262502.434376804</v>
      </c>
      <c r="P92" s="6">
        <f t="shared" si="15"/>
        <v>-227030.70378557034</v>
      </c>
      <c r="Q92" s="15">
        <f t="shared" si="16"/>
        <v>2.1643547028761576E-2</v>
      </c>
    </row>
    <row r="93" spans="1:17">
      <c r="A93" s="245">
        <v>43678</v>
      </c>
      <c r="B93">
        <f t="shared" si="23"/>
        <v>8</v>
      </c>
      <c r="C93">
        <f t="shared" si="24"/>
        <v>2019</v>
      </c>
      <c r="D93" s="6">
        <v>9622269.1381623745</v>
      </c>
      <c r="E93">
        <v>0</v>
      </c>
      <c r="F93">
        <v>147.10000000000002</v>
      </c>
      <c r="G93">
        <f>'Monthly Data'!CI93</f>
        <v>0</v>
      </c>
      <c r="H93">
        <f>'Monthly Data'!BA93</f>
        <v>256.2</v>
      </c>
      <c r="J93" s="6">
        <f t="shared" si="17"/>
        <v>4665603.6585154198</v>
      </c>
      <c r="K93" s="6">
        <f t="shared" si="18"/>
        <v>0</v>
      </c>
      <c r="L93" s="6">
        <f t="shared" si="19"/>
        <v>2209106.8192554126</v>
      </c>
      <c r="M93" s="6">
        <f t="shared" si="20"/>
        <v>0</v>
      </c>
      <c r="N93" s="6">
        <f t="shared" si="21"/>
        <v>2578117.2011333043</v>
      </c>
      <c r="O93" s="6">
        <f t="shared" si="22"/>
        <v>9452827.6789041366</v>
      </c>
      <c r="P93" s="6">
        <f t="shared" si="15"/>
        <v>-169441.45925823785</v>
      </c>
      <c r="Q93" s="15">
        <f t="shared" si="16"/>
        <v>1.7609303671025478E-2</v>
      </c>
    </row>
    <row r="94" spans="1:17">
      <c r="A94" s="245">
        <v>43709</v>
      </c>
      <c r="B94">
        <f t="shared" si="23"/>
        <v>9</v>
      </c>
      <c r="C94">
        <f t="shared" si="24"/>
        <v>2019</v>
      </c>
      <c r="D94" s="6">
        <v>8273598.1381623745</v>
      </c>
      <c r="E94">
        <v>0.59999999999999964</v>
      </c>
      <c r="F94">
        <v>75.799999999999983</v>
      </c>
      <c r="G94">
        <f>'Monthly Data'!CI94</f>
        <v>0</v>
      </c>
      <c r="H94">
        <f>'Monthly Data'!BA94</f>
        <v>257.3</v>
      </c>
      <c r="J94" s="6">
        <f t="shared" si="17"/>
        <v>4665603.6585154198</v>
      </c>
      <c r="K94" s="6">
        <f t="shared" si="18"/>
        <v>2602.8702492124362</v>
      </c>
      <c r="L94" s="6">
        <f t="shared" si="19"/>
        <v>1138343.282797826</v>
      </c>
      <c r="M94" s="6">
        <f t="shared" si="20"/>
        <v>0</v>
      </c>
      <c r="N94" s="6">
        <f t="shared" si="21"/>
        <v>2589186.4006697861</v>
      </c>
      <c r="O94" s="6">
        <f t="shared" si="22"/>
        <v>8395736.2122322433</v>
      </c>
      <c r="P94" s="6">
        <f t="shared" si="15"/>
        <v>122138.07406986877</v>
      </c>
      <c r="Q94" s="15">
        <f t="shared" si="16"/>
        <v>1.4762388990891514E-2</v>
      </c>
    </row>
    <row r="95" spans="1:17">
      <c r="A95" s="245">
        <v>43739</v>
      </c>
      <c r="B95">
        <f t="shared" si="23"/>
        <v>10</v>
      </c>
      <c r="C95">
        <f t="shared" si="24"/>
        <v>2019</v>
      </c>
      <c r="D95" s="6">
        <v>7800425.1381623745</v>
      </c>
      <c r="E95">
        <v>118.5</v>
      </c>
      <c r="F95">
        <v>6.5</v>
      </c>
      <c r="G95">
        <f>'Monthly Data'!CI95</f>
        <v>0</v>
      </c>
      <c r="H95">
        <f>'Monthly Data'!BA95</f>
        <v>261.3</v>
      </c>
      <c r="J95" s="6">
        <f t="shared" si="17"/>
        <v>4665603.6585154198</v>
      </c>
      <c r="K95" s="6">
        <f t="shared" si="18"/>
        <v>514066.87421945651</v>
      </c>
      <c r="L95" s="6">
        <f t="shared" si="19"/>
        <v>97615.189158124951</v>
      </c>
      <c r="M95" s="6">
        <f t="shared" si="20"/>
        <v>0</v>
      </c>
      <c r="N95" s="6">
        <f t="shared" si="21"/>
        <v>2629438.0353479018</v>
      </c>
      <c r="O95" s="6">
        <f t="shared" si="22"/>
        <v>7906723.7572409026</v>
      </c>
      <c r="P95" s="6">
        <f t="shared" si="15"/>
        <v>106298.61907852814</v>
      </c>
      <c r="Q95" s="15">
        <f t="shared" si="16"/>
        <v>1.3627285333267103E-2</v>
      </c>
    </row>
    <row r="96" spans="1:17">
      <c r="A96" s="245">
        <v>43770</v>
      </c>
      <c r="B96">
        <f t="shared" si="23"/>
        <v>11</v>
      </c>
      <c r="C96">
        <f t="shared" si="24"/>
        <v>2019</v>
      </c>
      <c r="D96" s="6">
        <v>8616007.1381623745</v>
      </c>
      <c r="E96">
        <v>383</v>
      </c>
      <c r="F96">
        <v>0</v>
      </c>
      <c r="G96">
        <f>'Monthly Data'!CI96</f>
        <v>0</v>
      </c>
      <c r="H96">
        <f>'Monthly Data'!BA96</f>
        <v>265.2</v>
      </c>
      <c r="J96" s="6">
        <f t="shared" si="17"/>
        <v>4665603.6585154198</v>
      </c>
      <c r="K96" s="6">
        <f t="shared" si="18"/>
        <v>1661498.8424139395</v>
      </c>
      <c r="L96" s="6">
        <f t="shared" si="19"/>
        <v>0</v>
      </c>
      <c r="M96" s="6">
        <f t="shared" si="20"/>
        <v>0</v>
      </c>
      <c r="N96" s="6">
        <f t="shared" si="21"/>
        <v>2668683.3791590645</v>
      </c>
      <c r="O96" s="6">
        <f t="shared" si="22"/>
        <v>8995785.8800884243</v>
      </c>
      <c r="P96" s="6">
        <f t="shared" si="15"/>
        <v>379778.74192604981</v>
      </c>
      <c r="Q96" s="15">
        <f t="shared" si="16"/>
        <v>4.4078276147650593E-2</v>
      </c>
    </row>
    <row r="97" spans="1:17">
      <c r="A97" s="245">
        <v>43800</v>
      </c>
      <c r="B97">
        <f t="shared" si="23"/>
        <v>12</v>
      </c>
      <c r="C97">
        <f t="shared" si="24"/>
        <v>2019</v>
      </c>
      <c r="D97" s="6">
        <v>9248236.1381623745</v>
      </c>
      <c r="E97">
        <v>409.1</v>
      </c>
      <c r="F97">
        <v>0</v>
      </c>
      <c r="G97">
        <f>'Monthly Data'!CI97</f>
        <v>0</v>
      </c>
      <c r="H97">
        <f>'Monthly Data'!BA97</f>
        <v>264.5</v>
      </c>
      <c r="J97" s="6">
        <f t="shared" si="17"/>
        <v>4665603.6585154198</v>
      </c>
      <c r="K97" s="6">
        <f t="shared" si="18"/>
        <v>1774723.6982546807</v>
      </c>
      <c r="L97" s="6">
        <f t="shared" si="19"/>
        <v>0</v>
      </c>
      <c r="M97" s="6">
        <f t="shared" si="20"/>
        <v>0</v>
      </c>
      <c r="N97" s="6">
        <f t="shared" si="21"/>
        <v>2661639.343090394</v>
      </c>
      <c r="O97" s="6">
        <f t="shared" si="22"/>
        <v>9101966.6998604946</v>
      </c>
      <c r="P97" s="6">
        <f t="shared" si="15"/>
        <v>-146269.43830187991</v>
      </c>
      <c r="Q97" s="15">
        <f t="shared" si="16"/>
        <v>1.5815928152862202E-2</v>
      </c>
    </row>
    <row r="98" spans="1:17">
      <c r="A98" s="245">
        <v>43831</v>
      </c>
      <c r="B98">
        <f t="shared" ref="B98:B121" si="25">MONTH(A98)</f>
        <v>1</v>
      </c>
      <c r="C98">
        <f t="shared" ref="C98:C121" si="26">YEAR(A98)</f>
        <v>2020</v>
      </c>
      <c r="D98" s="6">
        <v>9374978.422756426</v>
      </c>
      <c r="E98">
        <v>436.29999999999995</v>
      </c>
      <c r="F98">
        <v>0</v>
      </c>
      <c r="G98">
        <f>'Monthly Data'!CI98</f>
        <v>0</v>
      </c>
      <c r="H98">
        <f>'Monthly Data'!BA98</f>
        <v>266.39999999999998</v>
      </c>
      <c r="J98" s="6">
        <f t="shared" si="17"/>
        <v>4665603.6585154198</v>
      </c>
      <c r="K98" s="6">
        <f t="shared" si="18"/>
        <v>1892720.4828856443</v>
      </c>
      <c r="L98" s="6">
        <f t="shared" si="19"/>
        <v>0</v>
      </c>
      <c r="M98" s="6">
        <f t="shared" si="20"/>
        <v>0</v>
      </c>
      <c r="N98" s="6">
        <f t="shared" si="21"/>
        <v>2680758.8695624988</v>
      </c>
      <c r="O98" s="6">
        <f t="shared" si="22"/>
        <v>9239083.0109635629</v>
      </c>
      <c r="P98" s="6">
        <f t="shared" ref="P98:P121" si="27">O98-D98</f>
        <v>-135895.41179286316</v>
      </c>
      <c r="Q98" s="15">
        <f t="shared" ref="Q98:Q121" si="28">ABS(O98-D98)/D98</f>
        <v>1.4495543953786218E-2</v>
      </c>
    </row>
    <row r="99" spans="1:17">
      <c r="A99" s="245">
        <v>43862</v>
      </c>
      <c r="B99">
        <f t="shared" si="25"/>
        <v>2</v>
      </c>
      <c r="C99">
        <f t="shared" si="26"/>
        <v>2020</v>
      </c>
      <c r="D99" s="6">
        <v>8821961.5697564259</v>
      </c>
      <c r="E99">
        <v>468.4</v>
      </c>
      <c r="F99">
        <v>0</v>
      </c>
      <c r="G99">
        <f>'Monthly Data'!CI99</f>
        <v>0</v>
      </c>
      <c r="H99">
        <f>'Monthly Data'!BA99</f>
        <v>266</v>
      </c>
      <c r="J99" s="6">
        <f t="shared" si="17"/>
        <v>4665603.6585154198</v>
      </c>
      <c r="K99" s="6">
        <f t="shared" si="18"/>
        <v>2031974.0412185097</v>
      </c>
      <c r="L99" s="6">
        <f t="shared" si="19"/>
        <v>0</v>
      </c>
      <c r="M99" s="6">
        <f t="shared" si="20"/>
        <v>0</v>
      </c>
      <c r="N99" s="6">
        <f t="shared" si="21"/>
        <v>2676733.7060946878</v>
      </c>
      <c r="O99" s="6">
        <f t="shared" si="22"/>
        <v>9374311.4058286175</v>
      </c>
      <c r="P99" s="6">
        <f t="shared" si="27"/>
        <v>552349.8360721916</v>
      </c>
      <c r="Q99" s="15">
        <f t="shared" si="28"/>
        <v>6.2610773318914154E-2</v>
      </c>
    </row>
    <row r="100" spans="1:17">
      <c r="A100" s="245">
        <v>43891</v>
      </c>
      <c r="B100">
        <f t="shared" si="25"/>
        <v>3</v>
      </c>
      <c r="C100">
        <f t="shared" si="26"/>
        <v>2020</v>
      </c>
      <c r="D100" s="6">
        <v>8206844.4992564246</v>
      </c>
      <c r="E100">
        <v>331.70000000000005</v>
      </c>
      <c r="F100">
        <v>0</v>
      </c>
      <c r="G100" s="115">
        <f>'Monthly Data'!CI100</f>
        <v>0.5</v>
      </c>
      <c r="H100">
        <f>'Monthly Data'!BA100</f>
        <v>264.10000000000002</v>
      </c>
      <c r="J100" s="6">
        <f t="shared" si="17"/>
        <v>4665603.6585154198</v>
      </c>
      <c r="K100" s="6">
        <f t="shared" si="18"/>
        <v>1438953.4361062762</v>
      </c>
      <c r="L100" s="6">
        <f t="shared" si="19"/>
        <v>0</v>
      </c>
      <c r="M100" s="6">
        <f t="shared" si="20"/>
        <v>-501241.025755635</v>
      </c>
      <c r="N100" s="6">
        <f t="shared" si="21"/>
        <v>2657614.1796225831</v>
      </c>
      <c r="O100" s="6">
        <f t="shared" si="22"/>
        <v>8260930.2484886441</v>
      </c>
      <c r="P100" s="6">
        <f t="shared" si="27"/>
        <v>54085.749232219532</v>
      </c>
      <c r="Q100" s="15">
        <f t="shared" si="28"/>
        <v>6.5903221679318932E-3</v>
      </c>
    </row>
    <row r="101" spans="1:17">
      <c r="A101" s="245">
        <v>43922</v>
      </c>
      <c r="B101">
        <f t="shared" si="25"/>
        <v>4</v>
      </c>
      <c r="C101">
        <f t="shared" si="26"/>
        <v>2020</v>
      </c>
      <c r="D101" s="6">
        <v>6776050.0758564249</v>
      </c>
      <c r="E101">
        <v>257.10000000000008</v>
      </c>
      <c r="F101">
        <v>0</v>
      </c>
      <c r="G101" s="115">
        <f>'Monthly Data'!CI101</f>
        <v>1</v>
      </c>
      <c r="H101">
        <f>'Monthly Data'!BA101</f>
        <v>248.2</v>
      </c>
      <c r="J101" s="6">
        <f t="shared" si="17"/>
        <v>4665603.6585154198</v>
      </c>
      <c r="K101" s="6">
        <f t="shared" si="18"/>
        <v>1115329.9017875299</v>
      </c>
      <c r="L101" s="6">
        <f t="shared" si="19"/>
        <v>0</v>
      </c>
      <c r="M101" s="6">
        <f t="shared" si="20"/>
        <v>-1002482.05151127</v>
      </c>
      <c r="N101" s="6">
        <f t="shared" si="21"/>
        <v>2497613.9317770731</v>
      </c>
      <c r="O101" s="6">
        <f t="shared" si="22"/>
        <v>7276065.4405687526</v>
      </c>
      <c r="P101" s="6">
        <f t="shared" si="27"/>
        <v>500015.36471232772</v>
      </c>
      <c r="Q101" s="15">
        <f t="shared" si="28"/>
        <v>7.3791568703708371E-2</v>
      </c>
    </row>
    <row r="102" spans="1:17">
      <c r="A102" s="245">
        <v>43952</v>
      </c>
      <c r="B102">
        <f t="shared" si="25"/>
        <v>5</v>
      </c>
      <c r="C102">
        <f t="shared" si="26"/>
        <v>2020</v>
      </c>
      <c r="D102" s="6">
        <v>6981050.1180564258</v>
      </c>
      <c r="E102">
        <v>121.30000000000003</v>
      </c>
      <c r="F102">
        <v>42.5</v>
      </c>
      <c r="G102" s="115">
        <f>'Monthly Data'!CI102</f>
        <v>1</v>
      </c>
      <c r="H102">
        <f>'Monthly Data'!BA102</f>
        <v>238.2</v>
      </c>
      <c r="J102" s="6">
        <f t="shared" si="17"/>
        <v>4665603.6585154198</v>
      </c>
      <c r="K102" s="6">
        <f t="shared" si="18"/>
        <v>526213.60204911465</v>
      </c>
      <c r="L102" s="6">
        <f t="shared" si="19"/>
        <v>638253.15988004778</v>
      </c>
      <c r="M102" s="6">
        <f t="shared" si="20"/>
        <v>-1002482.05151127</v>
      </c>
      <c r="N102" s="6">
        <f t="shared" si="21"/>
        <v>2396984.8450817838</v>
      </c>
      <c r="O102" s="6">
        <f t="shared" si="22"/>
        <v>7224573.2140150955</v>
      </c>
      <c r="P102" s="6">
        <f t="shared" si="27"/>
        <v>243523.09595866967</v>
      </c>
      <c r="Q102" s="15">
        <f t="shared" si="28"/>
        <v>3.4883447596057118E-2</v>
      </c>
    </row>
    <row r="103" spans="1:17">
      <c r="A103" s="245">
        <v>43983</v>
      </c>
      <c r="B103">
        <f t="shared" si="25"/>
        <v>6</v>
      </c>
      <c r="C103">
        <f t="shared" si="26"/>
        <v>2020</v>
      </c>
      <c r="D103" s="6">
        <v>7938603.4933564244</v>
      </c>
      <c r="E103">
        <v>6.7999999999999989</v>
      </c>
      <c r="F103">
        <v>111.00000000000001</v>
      </c>
      <c r="G103" s="115">
        <f>'Monthly Data'!CI103</f>
        <v>0.5</v>
      </c>
      <c r="H103">
        <f>'Monthly Data'!BA103</f>
        <v>240.3</v>
      </c>
      <c r="J103" s="6">
        <f t="shared" si="17"/>
        <v>4665603.6585154198</v>
      </c>
      <c r="K103" s="6">
        <f t="shared" si="18"/>
        <v>29499.19615774096</v>
      </c>
      <c r="L103" s="6">
        <f t="shared" si="19"/>
        <v>1666967.0763925954</v>
      </c>
      <c r="M103" s="6">
        <f t="shared" si="20"/>
        <v>-501241.025755635</v>
      </c>
      <c r="N103" s="6">
        <f t="shared" si="21"/>
        <v>2418116.9532877947</v>
      </c>
      <c r="O103" s="6">
        <f t="shared" si="22"/>
        <v>8278945.8585979175</v>
      </c>
      <c r="P103" s="6">
        <f t="shared" si="27"/>
        <v>340342.3652414931</v>
      </c>
      <c r="Q103" s="15">
        <f t="shared" si="28"/>
        <v>4.2871818138582596E-2</v>
      </c>
    </row>
    <row r="104" spans="1:17">
      <c r="A104" s="245">
        <v>44013</v>
      </c>
      <c r="B104">
        <f t="shared" si="25"/>
        <v>7</v>
      </c>
      <c r="C104">
        <f t="shared" si="26"/>
        <v>2020</v>
      </c>
      <c r="D104" s="6">
        <v>9807070.2790564243</v>
      </c>
      <c r="E104">
        <v>0</v>
      </c>
      <c r="F104">
        <v>221.09999999999994</v>
      </c>
      <c r="G104" s="115">
        <f>'Monthly Data'!CI104</f>
        <v>0.5</v>
      </c>
      <c r="H104">
        <f>'Monthly Data'!BA104</f>
        <v>253.1</v>
      </c>
      <c r="J104" s="6">
        <f t="shared" si="17"/>
        <v>4665603.6585154198</v>
      </c>
      <c r="K104" s="6">
        <f t="shared" si="18"/>
        <v>0</v>
      </c>
      <c r="L104" s="6">
        <f t="shared" si="19"/>
        <v>3320418.2035171413</v>
      </c>
      <c r="M104" s="6">
        <f t="shared" si="20"/>
        <v>-501241.025755635</v>
      </c>
      <c r="N104" s="6">
        <f t="shared" si="21"/>
        <v>2546922.1842577648</v>
      </c>
      <c r="O104" s="6">
        <f t="shared" si="22"/>
        <v>10031703.02053469</v>
      </c>
      <c r="P104" s="6">
        <f t="shared" si="27"/>
        <v>224632.74147826619</v>
      </c>
      <c r="Q104" s="15">
        <f t="shared" si="28"/>
        <v>2.2905183208280114E-2</v>
      </c>
    </row>
    <row r="105" spans="1:17">
      <c r="A105" s="245">
        <v>44044</v>
      </c>
      <c r="B105">
        <f t="shared" si="25"/>
        <v>8</v>
      </c>
      <c r="C105">
        <f t="shared" si="26"/>
        <v>2020</v>
      </c>
      <c r="D105" s="6">
        <v>9120086.2182564251</v>
      </c>
      <c r="E105">
        <v>0</v>
      </c>
      <c r="F105">
        <v>149</v>
      </c>
      <c r="G105" s="115">
        <f>'Monthly Data'!CI105</f>
        <v>0.5</v>
      </c>
      <c r="H105">
        <f>'Monthly Data'!BA105</f>
        <v>262.10000000000002</v>
      </c>
      <c r="J105" s="6">
        <f t="shared" si="17"/>
        <v>4665603.6585154198</v>
      </c>
      <c r="K105" s="6">
        <f t="shared" si="18"/>
        <v>0</v>
      </c>
      <c r="L105" s="6">
        <f t="shared" si="19"/>
        <v>2237640.4899324025</v>
      </c>
      <c r="M105" s="6">
        <f t="shared" si="20"/>
        <v>-501241.025755635</v>
      </c>
      <c r="N105" s="6">
        <f t="shared" si="21"/>
        <v>2637488.3622835251</v>
      </c>
      <c r="O105" s="6">
        <f t="shared" si="22"/>
        <v>9039491.4849757142</v>
      </c>
      <c r="P105" s="6">
        <f t="shared" si="27"/>
        <v>-80594.733280710876</v>
      </c>
      <c r="Q105" s="15">
        <f t="shared" si="28"/>
        <v>8.8370582637012553E-3</v>
      </c>
    </row>
    <row r="106" spans="1:17">
      <c r="A106" s="245">
        <v>44075</v>
      </c>
      <c r="B106">
        <f t="shared" si="25"/>
        <v>9</v>
      </c>
      <c r="C106">
        <f t="shared" si="26"/>
        <v>2020</v>
      </c>
      <c r="D106" s="6">
        <v>7766243.024256425</v>
      </c>
      <c r="E106">
        <v>21.7</v>
      </c>
      <c r="F106">
        <v>45.5</v>
      </c>
      <c r="G106" s="115">
        <f>'Monthly Data'!CI106</f>
        <v>0.5</v>
      </c>
      <c r="H106">
        <f>'Monthly Data'!BA106</f>
        <v>263</v>
      </c>
      <c r="J106" s="6">
        <f t="shared" si="17"/>
        <v>4665603.6585154198</v>
      </c>
      <c r="K106" s="6">
        <f t="shared" si="18"/>
        <v>94137.140679849836</v>
      </c>
      <c r="L106" s="6">
        <f t="shared" si="19"/>
        <v>683306.32410687464</v>
      </c>
      <c r="M106" s="6">
        <f t="shared" si="20"/>
        <v>-501241.025755635</v>
      </c>
      <c r="N106" s="6">
        <f t="shared" si="21"/>
        <v>2646544.9800861008</v>
      </c>
      <c r="O106" s="6">
        <f t="shared" si="22"/>
        <v>7588351.0776326116</v>
      </c>
      <c r="P106" s="6">
        <f t="shared" si="27"/>
        <v>-177891.94662381336</v>
      </c>
      <c r="Q106" s="15">
        <f t="shared" si="28"/>
        <v>2.2905791908417072E-2</v>
      </c>
    </row>
    <row r="107" spans="1:17">
      <c r="A107" s="245">
        <v>44105</v>
      </c>
      <c r="B107">
        <f t="shared" si="25"/>
        <v>10</v>
      </c>
      <c r="C107">
        <f t="shared" si="26"/>
        <v>2020</v>
      </c>
      <c r="D107" s="6">
        <v>7704166.380056425</v>
      </c>
      <c r="E107">
        <v>139.79999999999998</v>
      </c>
      <c r="F107">
        <v>0.60000000000000142</v>
      </c>
      <c r="G107" s="115">
        <f>'Monthly Data'!CI107</f>
        <v>0.5</v>
      </c>
      <c r="H107">
        <f>'Monthly Data'!BA107</f>
        <v>263.60000000000002</v>
      </c>
      <c r="J107" s="6">
        <f t="shared" si="17"/>
        <v>4665603.6585154198</v>
      </c>
      <c r="K107" s="6">
        <f t="shared" si="18"/>
        <v>606468.76806649799</v>
      </c>
      <c r="L107" s="6">
        <f t="shared" si="19"/>
        <v>9010.6328453654005</v>
      </c>
      <c r="M107" s="6">
        <f t="shared" si="20"/>
        <v>-501241.025755635</v>
      </c>
      <c r="N107" s="6">
        <f t="shared" si="21"/>
        <v>2652582.7252878183</v>
      </c>
      <c r="O107" s="6">
        <f t="shared" si="22"/>
        <v>7432424.7589594657</v>
      </c>
      <c r="P107" s="6">
        <f t="shared" si="27"/>
        <v>-271741.62109695934</v>
      </c>
      <c r="Q107" s="15">
        <f t="shared" si="28"/>
        <v>3.5272034337213924E-2</v>
      </c>
    </row>
    <row r="108" spans="1:17">
      <c r="A108" s="245">
        <v>44136</v>
      </c>
      <c r="B108">
        <f t="shared" si="25"/>
        <v>11</v>
      </c>
      <c r="C108">
        <f t="shared" si="26"/>
        <v>2020</v>
      </c>
      <c r="D108" s="6">
        <v>8129284.6763564246</v>
      </c>
      <c r="E108">
        <v>213.70000000000002</v>
      </c>
      <c r="F108">
        <v>3.4000000000000021</v>
      </c>
      <c r="G108" s="115">
        <f>'Monthly Data'!CI108</f>
        <v>0.5</v>
      </c>
      <c r="H108">
        <f>'Monthly Data'!BA108</f>
        <v>261.89999999999998</v>
      </c>
      <c r="J108" s="6">
        <f t="shared" si="17"/>
        <v>4665603.6585154198</v>
      </c>
      <c r="K108" s="6">
        <f t="shared" si="18"/>
        <v>927055.62042783003</v>
      </c>
      <c r="L108" s="6">
        <f t="shared" si="19"/>
        <v>51060.252790403851</v>
      </c>
      <c r="M108" s="6">
        <f t="shared" si="20"/>
        <v>-501241.025755635</v>
      </c>
      <c r="N108" s="6">
        <f t="shared" si="21"/>
        <v>2635475.7805496189</v>
      </c>
      <c r="O108" s="6">
        <f t="shared" si="22"/>
        <v>7777954.2865276374</v>
      </c>
      <c r="P108" s="6">
        <f t="shared" si="27"/>
        <v>-351330.38982878719</v>
      </c>
      <c r="Q108" s="15">
        <f t="shared" si="28"/>
        <v>4.3217872643900909E-2</v>
      </c>
    </row>
    <row r="109" spans="1:17">
      <c r="A109" s="245">
        <v>44166</v>
      </c>
      <c r="B109">
        <f t="shared" si="25"/>
        <v>12</v>
      </c>
      <c r="C109">
        <f t="shared" si="26"/>
        <v>2020</v>
      </c>
      <c r="D109" s="6">
        <v>9024138.0849564262</v>
      </c>
      <c r="E109">
        <v>421.4</v>
      </c>
      <c r="F109">
        <v>0</v>
      </c>
      <c r="G109" s="115">
        <f>'Monthly Data'!CI109</f>
        <v>0.5</v>
      </c>
      <c r="H109">
        <f>'Monthly Data'!BA109</f>
        <v>264.10000000000002</v>
      </c>
      <c r="J109" s="6">
        <f t="shared" si="17"/>
        <v>4665603.6585154198</v>
      </c>
      <c r="K109" s="6">
        <f t="shared" si="18"/>
        <v>1828082.5383635354</v>
      </c>
      <c r="L109" s="6">
        <f t="shared" si="19"/>
        <v>0</v>
      </c>
      <c r="M109" s="6">
        <f t="shared" si="20"/>
        <v>-501241.025755635</v>
      </c>
      <c r="N109" s="6">
        <f t="shared" si="21"/>
        <v>2657614.1796225831</v>
      </c>
      <c r="O109" s="6">
        <f t="shared" si="22"/>
        <v>8650059.3507459033</v>
      </c>
      <c r="P109" s="6">
        <f t="shared" si="27"/>
        <v>-374078.73421052285</v>
      </c>
      <c r="Q109" s="15">
        <f t="shared" si="28"/>
        <v>4.1453126125599295E-2</v>
      </c>
    </row>
    <row r="110" spans="1:17">
      <c r="A110" s="245">
        <v>44197</v>
      </c>
      <c r="B110">
        <f t="shared" si="25"/>
        <v>1</v>
      </c>
      <c r="C110">
        <f t="shared" si="26"/>
        <v>2021</v>
      </c>
      <c r="D110" s="6">
        <v>8980228.7675743923</v>
      </c>
      <c r="E110">
        <v>493.19999999999993</v>
      </c>
      <c r="F110">
        <v>0</v>
      </c>
      <c r="G110" s="115">
        <f>'Monthly Data'!CI110</f>
        <v>0.5</v>
      </c>
      <c r="H110">
        <f>'Monthly Data'!BA110</f>
        <v>265.5</v>
      </c>
      <c r="J110" s="6">
        <f t="shared" si="17"/>
        <v>4665603.6585154198</v>
      </c>
      <c r="K110" s="6">
        <f t="shared" si="18"/>
        <v>2139559.3448526235</v>
      </c>
      <c r="L110" s="6">
        <f t="shared" si="19"/>
        <v>0</v>
      </c>
      <c r="M110" s="6">
        <f t="shared" si="20"/>
        <v>-501241.025755635</v>
      </c>
      <c r="N110" s="6">
        <f t="shared" si="21"/>
        <v>2671702.2517599231</v>
      </c>
      <c r="O110" s="6">
        <f t="shared" si="22"/>
        <v>8975624.22937233</v>
      </c>
      <c r="P110" s="6">
        <f t="shared" si="27"/>
        <v>-4604.5382020622492</v>
      </c>
      <c r="Q110" s="15">
        <f t="shared" si="28"/>
        <v>5.1274174870558E-4</v>
      </c>
    </row>
    <row r="111" spans="1:17">
      <c r="A111" s="245">
        <v>44228</v>
      </c>
      <c r="B111">
        <f t="shared" si="25"/>
        <v>2</v>
      </c>
      <c r="C111">
        <f t="shared" si="26"/>
        <v>2021</v>
      </c>
      <c r="D111" s="6">
        <v>8656506.8509763945</v>
      </c>
      <c r="E111">
        <v>545.5999999999998</v>
      </c>
      <c r="F111">
        <v>0</v>
      </c>
      <c r="G111" s="115">
        <f>'Monthly Data'!CI111</f>
        <v>0.5</v>
      </c>
      <c r="H111">
        <f>'Monthly Data'!BA111</f>
        <v>269.3</v>
      </c>
      <c r="J111" s="6">
        <f t="shared" si="17"/>
        <v>4665603.6585154198</v>
      </c>
      <c r="K111" s="6">
        <f t="shared" si="18"/>
        <v>2366876.6799505092</v>
      </c>
      <c r="L111" s="6">
        <f t="shared" si="19"/>
        <v>0</v>
      </c>
      <c r="M111" s="6">
        <f t="shared" si="20"/>
        <v>-501241.025755635</v>
      </c>
      <c r="N111" s="6">
        <f t="shared" si="21"/>
        <v>2709941.304704133</v>
      </c>
      <c r="O111" s="6">
        <f t="shared" si="22"/>
        <v>9241180.6174144279</v>
      </c>
      <c r="P111" s="6">
        <f t="shared" si="27"/>
        <v>584673.76643803343</v>
      </c>
      <c r="Q111" s="15">
        <f t="shared" si="28"/>
        <v>6.754153569139569E-2</v>
      </c>
    </row>
    <row r="112" spans="1:17">
      <c r="A112" s="245">
        <v>44256</v>
      </c>
      <c r="B112">
        <f t="shared" si="25"/>
        <v>3</v>
      </c>
      <c r="C112">
        <f t="shared" si="26"/>
        <v>2021</v>
      </c>
      <c r="D112" s="6">
        <v>8547610.3388163969</v>
      </c>
      <c r="E112">
        <v>308.70000000000005</v>
      </c>
      <c r="F112">
        <v>0.19999999999999929</v>
      </c>
      <c r="G112" s="115">
        <f>'Monthly Data'!CI112</f>
        <v>0.5</v>
      </c>
      <c r="H112">
        <f>'Monthly Data'!BA112</f>
        <v>271.60000000000002</v>
      </c>
      <c r="J112" s="6">
        <f t="shared" si="17"/>
        <v>4665603.6585154198</v>
      </c>
      <c r="K112" s="6">
        <f t="shared" si="18"/>
        <v>1339176.7432197996</v>
      </c>
      <c r="L112" s="6">
        <f t="shared" si="19"/>
        <v>3003.5442817884491</v>
      </c>
      <c r="M112" s="6">
        <f t="shared" si="20"/>
        <v>-501241.025755635</v>
      </c>
      <c r="N112" s="6">
        <f t="shared" si="21"/>
        <v>2733085.9946440496</v>
      </c>
      <c r="O112" s="6">
        <f t="shared" si="22"/>
        <v>8239628.9149054214</v>
      </c>
      <c r="P112" s="6">
        <f t="shared" si="27"/>
        <v>-307981.42391097546</v>
      </c>
      <c r="Q112" s="15">
        <f t="shared" si="28"/>
        <v>3.603128964739661E-2</v>
      </c>
    </row>
    <row r="113" spans="1:17">
      <c r="A113" s="245">
        <v>44287</v>
      </c>
      <c r="B113">
        <f t="shared" si="25"/>
        <v>4</v>
      </c>
      <c r="C113">
        <f t="shared" si="26"/>
        <v>2021</v>
      </c>
      <c r="D113" s="6">
        <v>7437605.7805074044</v>
      </c>
      <c r="E113">
        <v>174.19999999999996</v>
      </c>
      <c r="F113">
        <v>5.6000000000000014</v>
      </c>
      <c r="G113" s="115">
        <f>'Monthly Data'!CI113</f>
        <v>0.5</v>
      </c>
      <c r="H113">
        <f>'Monthly Data'!BA113</f>
        <v>275.60000000000002</v>
      </c>
      <c r="J113" s="6">
        <f t="shared" si="17"/>
        <v>4665603.6585154198</v>
      </c>
      <c r="K113" s="6">
        <f t="shared" si="18"/>
        <v>755699.99568801094</v>
      </c>
      <c r="L113" s="6">
        <f t="shared" si="19"/>
        <v>84099.239890076904</v>
      </c>
      <c r="M113" s="6">
        <f t="shared" si="20"/>
        <v>-501241.025755635</v>
      </c>
      <c r="N113" s="6">
        <f t="shared" si="21"/>
        <v>2773337.6293221652</v>
      </c>
      <c r="O113" s="6">
        <f t="shared" si="22"/>
        <v>7777499.497660039</v>
      </c>
      <c r="P113" s="6">
        <f t="shared" si="27"/>
        <v>339893.71715263464</v>
      </c>
      <c r="Q113" s="15">
        <f t="shared" si="28"/>
        <v>4.5699345620526632E-2</v>
      </c>
    </row>
    <row r="114" spans="1:17">
      <c r="A114" s="245">
        <v>44317</v>
      </c>
      <c r="B114">
        <f t="shared" si="25"/>
        <v>5</v>
      </c>
      <c r="C114">
        <f t="shared" si="26"/>
        <v>2021</v>
      </c>
      <c r="D114" s="6">
        <v>7624172.4321373999</v>
      </c>
      <c r="E114">
        <v>97</v>
      </c>
      <c r="F114">
        <v>40.6</v>
      </c>
      <c r="G114" s="115">
        <f>'Monthly Data'!CI114</f>
        <v>0.5</v>
      </c>
      <c r="H114">
        <f>'Monthly Data'!BA114</f>
        <v>277.10000000000002</v>
      </c>
      <c r="J114" s="6">
        <f t="shared" si="17"/>
        <v>4665603.6585154198</v>
      </c>
      <c r="K114" s="6">
        <f t="shared" si="18"/>
        <v>420797.3569560108</v>
      </c>
      <c r="L114" s="6">
        <f t="shared" si="19"/>
        <v>609719.48920305737</v>
      </c>
      <c r="M114" s="6">
        <f t="shared" si="20"/>
        <v>-501241.025755635</v>
      </c>
      <c r="N114" s="6">
        <f t="shared" si="21"/>
        <v>2788431.9923264585</v>
      </c>
      <c r="O114" s="6">
        <f t="shared" si="22"/>
        <v>7983311.4712453112</v>
      </c>
      <c r="P114" s="6">
        <f t="shared" si="27"/>
        <v>359139.03910791129</v>
      </c>
      <c r="Q114" s="15">
        <f t="shared" si="28"/>
        <v>4.7105314354390644E-2</v>
      </c>
    </row>
    <row r="115" spans="1:17">
      <c r="A115" s="245">
        <v>44348</v>
      </c>
      <c r="B115">
        <f t="shared" si="25"/>
        <v>6</v>
      </c>
      <c r="C115">
        <f t="shared" si="26"/>
        <v>2021</v>
      </c>
      <c r="D115" s="6">
        <v>8939305.3996103965</v>
      </c>
      <c r="E115">
        <v>0</v>
      </c>
      <c r="F115">
        <v>153.60000000000002</v>
      </c>
      <c r="G115" s="115">
        <f>'Monthly Data'!CI115</f>
        <v>0.5</v>
      </c>
      <c r="H115">
        <f>'Monthly Data'!BA115</f>
        <v>281.2</v>
      </c>
      <c r="J115" s="6">
        <f t="shared" si="17"/>
        <v>4665603.6585154198</v>
      </c>
      <c r="K115" s="6">
        <f t="shared" si="18"/>
        <v>0</v>
      </c>
      <c r="L115" s="6">
        <f t="shared" si="19"/>
        <v>2306722.0084135374</v>
      </c>
      <c r="M115" s="6">
        <f t="shared" si="20"/>
        <v>-501241.025755635</v>
      </c>
      <c r="N115" s="6">
        <f t="shared" si="21"/>
        <v>2829689.9178715269</v>
      </c>
      <c r="O115" s="6">
        <f t="shared" si="22"/>
        <v>9300774.5590448491</v>
      </c>
      <c r="P115" s="6">
        <f t="shared" si="27"/>
        <v>361469.15943445265</v>
      </c>
      <c r="Q115" s="15">
        <f t="shared" si="28"/>
        <v>4.0435933584974805E-2</v>
      </c>
    </row>
    <row r="116" spans="1:17">
      <c r="A116" s="245">
        <v>44378</v>
      </c>
      <c r="B116">
        <f t="shared" si="25"/>
        <v>7</v>
      </c>
      <c r="C116">
        <f t="shared" si="26"/>
        <v>2021</v>
      </c>
      <c r="D116" s="6">
        <v>9619348.627058398</v>
      </c>
      <c r="E116">
        <v>0</v>
      </c>
      <c r="F116">
        <v>150.49999999999997</v>
      </c>
      <c r="G116" s="115">
        <f>'Monthly Data'!CI116</f>
        <v>0.5</v>
      </c>
      <c r="H116">
        <f>'Monthly Data'!BA116</f>
        <v>283.5</v>
      </c>
      <c r="J116" s="6">
        <f t="shared" si="17"/>
        <v>4665603.6585154198</v>
      </c>
      <c r="K116" s="6">
        <f t="shared" si="18"/>
        <v>0</v>
      </c>
      <c r="L116" s="6">
        <f t="shared" si="19"/>
        <v>2260167.0720458156</v>
      </c>
      <c r="M116" s="6">
        <f t="shared" si="20"/>
        <v>-501241.025755635</v>
      </c>
      <c r="N116" s="6">
        <f t="shared" si="21"/>
        <v>2852834.6078114435</v>
      </c>
      <c r="O116" s="6">
        <f t="shared" si="22"/>
        <v>9277364.3126170449</v>
      </c>
      <c r="P116" s="6">
        <f t="shared" si="27"/>
        <v>-341984.31444135308</v>
      </c>
      <c r="Q116" s="15">
        <f t="shared" si="28"/>
        <v>3.5551712252052149E-2</v>
      </c>
    </row>
    <row r="117" spans="1:17">
      <c r="A117" s="245">
        <v>44409</v>
      </c>
      <c r="B117">
        <f t="shared" si="25"/>
        <v>8</v>
      </c>
      <c r="C117">
        <f t="shared" si="26"/>
        <v>2021</v>
      </c>
      <c r="D117" s="6">
        <v>10353279.138714399</v>
      </c>
      <c r="E117">
        <v>0</v>
      </c>
      <c r="F117">
        <v>189.7</v>
      </c>
      <c r="G117" s="115">
        <f>'Monthly Data'!CI117</f>
        <v>0.5</v>
      </c>
      <c r="H117">
        <f>'Monthly Data'!BA117</f>
        <v>286.60000000000002</v>
      </c>
      <c r="J117" s="6">
        <f t="shared" si="17"/>
        <v>4665603.6585154198</v>
      </c>
      <c r="K117" s="6">
        <f t="shared" si="18"/>
        <v>0</v>
      </c>
      <c r="L117" s="6">
        <f t="shared" si="19"/>
        <v>2848861.7512763538</v>
      </c>
      <c r="M117" s="6">
        <f t="shared" si="20"/>
        <v>-501241.025755635</v>
      </c>
      <c r="N117" s="6">
        <f t="shared" si="21"/>
        <v>2884029.6246869829</v>
      </c>
      <c r="O117" s="6">
        <f t="shared" si="22"/>
        <v>9897254.0087231211</v>
      </c>
      <c r="P117" s="6">
        <f t="shared" si="27"/>
        <v>-456025.12999127805</v>
      </c>
      <c r="Q117" s="15">
        <f t="shared" si="28"/>
        <v>4.4046444018499067E-2</v>
      </c>
    </row>
    <row r="118" spans="1:17">
      <c r="A118" s="245">
        <v>44440</v>
      </c>
      <c r="B118">
        <f t="shared" si="25"/>
        <v>9</v>
      </c>
      <c r="C118">
        <f t="shared" si="26"/>
        <v>2021</v>
      </c>
      <c r="D118" s="6">
        <v>8403763.8862593919</v>
      </c>
      <c r="E118">
        <v>5.6999999999999975</v>
      </c>
      <c r="F118">
        <v>65.5</v>
      </c>
      <c r="G118" s="115">
        <f>'Monthly Data'!CI118</f>
        <v>0.5</v>
      </c>
      <c r="H118">
        <f>'Monthly Data'!BA118</f>
        <v>283.60000000000002</v>
      </c>
      <c r="J118" s="6">
        <f t="shared" si="17"/>
        <v>4665603.6585154198</v>
      </c>
      <c r="K118" s="6">
        <f t="shared" si="18"/>
        <v>24727.26736751815</v>
      </c>
      <c r="L118" s="6">
        <f t="shared" si="19"/>
        <v>983660.75228572066</v>
      </c>
      <c r="M118" s="6">
        <f t="shared" si="20"/>
        <v>-501241.025755635</v>
      </c>
      <c r="N118" s="6">
        <f t="shared" si="21"/>
        <v>2853840.8986783964</v>
      </c>
      <c r="O118" s="6">
        <f t="shared" si="22"/>
        <v>8026591.5510914195</v>
      </c>
      <c r="P118" s="6">
        <f t="shared" si="27"/>
        <v>-377172.33516797237</v>
      </c>
      <c r="Q118" s="15">
        <f t="shared" si="28"/>
        <v>4.4881357957315952E-2</v>
      </c>
    </row>
    <row r="119" spans="1:17">
      <c r="A119" s="245">
        <v>44470</v>
      </c>
      <c r="B119">
        <f t="shared" si="25"/>
        <v>10</v>
      </c>
      <c r="C119">
        <f t="shared" si="26"/>
        <v>2021</v>
      </c>
      <c r="D119" s="6">
        <v>8109369.5811114041</v>
      </c>
      <c r="E119">
        <v>63.599999999999994</v>
      </c>
      <c r="F119">
        <v>46.300000000000004</v>
      </c>
      <c r="G119" s="115">
        <f>'Monthly Data'!CI119</f>
        <v>0.5</v>
      </c>
      <c r="H119">
        <f>'Monthly Data'!BA119</f>
        <v>284.3</v>
      </c>
      <c r="J119" s="6">
        <f t="shared" si="17"/>
        <v>4665603.6585154198</v>
      </c>
      <c r="K119" s="6">
        <f t="shared" si="18"/>
        <v>275904.24641651841</v>
      </c>
      <c r="L119" s="6">
        <f t="shared" si="19"/>
        <v>695320.50123402849</v>
      </c>
      <c r="M119" s="6">
        <f t="shared" si="20"/>
        <v>-501241.025755635</v>
      </c>
      <c r="N119" s="6">
        <f t="shared" si="21"/>
        <v>2860884.9347470663</v>
      </c>
      <c r="O119" s="6">
        <f t="shared" si="22"/>
        <v>7996472.3151573986</v>
      </c>
      <c r="P119" s="6">
        <f t="shared" si="27"/>
        <v>-112897.26595400553</v>
      </c>
      <c r="Q119" s="15">
        <f t="shared" si="28"/>
        <v>1.3921830152737071E-2</v>
      </c>
    </row>
    <row r="120" spans="1:17">
      <c r="A120" s="245">
        <v>44501</v>
      </c>
      <c r="B120">
        <f t="shared" si="25"/>
        <v>11</v>
      </c>
      <c r="C120">
        <f t="shared" si="26"/>
        <v>2021</v>
      </c>
      <c r="D120" s="6">
        <v>8522239.7704183962</v>
      </c>
      <c r="E120">
        <v>303.09999999999997</v>
      </c>
      <c r="F120">
        <v>0</v>
      </c>
      <c r="G120" s="115">
        <f>'Monthly Data'!CI120</f>
        <v>0.5</v>
      </c>
      <c r="H120">
        <f>'Monthly Data'!BA120</f>
        <v>286</v>
      </c>
      <c r="J120" s="6">
        <f t="shared" si="17"/>
        <v>4665603.6585154198</v>
      </c>
      <c r="K120" s="6">
        <f t="shared" si="18"/>
        <v>1314883.287560483</v>
      </c>
      <c r="L120" s="6">
        <f t="shared" si="19"/>
        <v>0</v>
      </c>
      <c r="M120" s="6">
        <f t="shared" si="20"/>
        <v>-501241.025755635</v>
      </c>
      <c r="N120" s="6">
        <f t="shared" si="21"/>
        <v>2877991.8794852654</v>
      </c>
      <c r="O120" s="6">
        <f t="shared" si="22"/>
        <v>8357237.7998055341</v>
      </c>
      <c r="P120" s="6">
        <f t="shared" si="27"/>
        <v>-165001.97061286215</v>
      </c>
      <c r="Q120" s="15">
        <f t="shared" si="28"/>
        <v>1.9361338692394175E-2</v>
      </c>
    </row>
    <row r="121" spans="1:17">
      <c r="A121" s="245">
        <v>44531</v>
      </c>
      <c r="B121">
        <f t="shared" si="25"/>
        <v>12</v>
      </c>
      <c r="C121">
        <f t="shared" si="26"/>
        <v>2021</v>
      </c>
      <c r="D121" s="6">
        <v>9116150.4407464005</v>
      </c>
      <c r="E121">
        <v>373.4</v>
      </c>
      <c r="F121">
        <v>0</v>
      </c>
      <c r="G121" s="115">
        <f>'Monthly Data'!CI121</f>
        <v>0.5</v>
      </c>
      <c r="H121">
        <f>'Monthly Data'!BA121</f>
        <v>290.60000000000002</v>
      </c>
      <c r="J121" s="6">
        <f t="shared" si="17"/>
        <v>4665603.6585154198</v>
      </c>
      <c r="K121" s="6">
        <f t="shared" si="18"/>
        <v>1619852.9184265404</v>
      </c>
      <c r="L121" s="6">
        <f t="shared" si="19"/>
        <v>0</v>
      </c>
      <c r="M121" s="6">
        <f t="shared" si="20"/>
        <v>-501241.025755635</v>
      </c>
      <c r="N121" s="6">
        <f t="shared" si="21"/>
        <v>2924281.2593650986</v>
      </c>
      <c r="O121" s="6">
        <f t="shared" si="22"/>
        <v>8708496.8105514236</v>
      </c>
      <c r="P121" s="6">
        <f t="shared" si="27"/>
        <v>-407653.63019497693</v>
      </c>
      <c r="Q121" s="15">
        <f t="shared" si="28"/>
        <v>4.4717738352900591E-2</v>
      </c>
    </row>
    <row r="122" spans="1:17">
      <c r="A122" s="245">
        <v>44562</v>
      </c>
      <c r="B122">
        <f t="shared" ref="B122:B133" si="29">MONTH(A122)</f>
        <v>1</v>
      </c>
      <c r="C122">
        <f t="shared" ref="C122:C133" si="30">YEAR(A122)</f>
        <v>2022</v>
      </c>
      <c r="D122" s="6">
        <f>'Monthly Data'!J122</f>
        <v>10085148.487455031</v>
      </c>
      <c r="E122">
        <f>'Monthly Data'!AO122</f>
        <v>649.79999999999984</v>
      </c>
      <c r="F122">
        <f>'Monthly Data'!AN122</f>
        <v>0</v>
      </c>
      <c r="G122" s="7">
        <f>'Monthly Data'!CI122</f>
        <v>0.25</v>
      </c>
      <c r="H122">
        <f>'Monthly Data'!BA122</f>
        <v>292.3</v>
      </c>
      <c r="J122" s="6">
        <f t="shared" si="17"/>
        <v>4665603.6585154198</v>
      </c>
      <c r="K122" s="6">
        <f t="shared" ref="K122:K133" si="31">E122*$T$8</f>
        <v>2818908.4798970697</v>
      </c>
      <c r="L122" s="6">
        <f t="shared" ref="L122:L133" si="32">F122*$T$9</f>
        <v>0</v>
      </c>
      <c r="M122" s="6">
        <f t="shared" ref="M122:M133" si="33">G122*$T$10</f>
        <v>-250620.5128778175</v>
      </c>
      <c r="N122" s="6">
        <f t="shared" ref="N122:N133" si="34">H122*$T$11</f>
        <v>2941388.2041032976</v>
      </c>
      <c r="O122" s="6">
        <f t="shared" ref="O122:O133" si="35">SUM(J122:N122)</f>
        <v>10175279.829637971</v>
      </c>
      <c r="P122" s="6">
        <f t="shared" ref="P122:P133" si="36">O122-D122</f>
        <v>90131.342182939872</v>
      </c>
      <c r="Q122" s="15">
        <f t="shared" ref="Q122:Q133" si="37">ABS(O122-D122)/D122</f>
        <v>8.9370367025388593E-3</v>
      </c>
    </row>
    <row r="123" spans="1:17">
      <c r="A123" s="245">
        <v>44593</v>
      </c>
      <c r="B123">
        <f t="shared" si="29"/>
        <v>2</v>
      </c>
      <c r="C123">
        <f t="shared" si="30"/>
        <v>2022</v>
      </c>
      <c r="D123" s="6">
        <f>'Monthly Data'!J123</f>
        <v>9138293.4874550309</v>
      </c>
      <c r="E123">
        <f>'Monthly Data'!AO123</f>
        <v>494.60000000000008</v>
      </c>
      <c r="F123">
        <f>'Monthly Data'!AN123</f>
        <v>0</v>
      </c>
      <c r="G123" s="7">
        <f>'Monthly Data'!CI123</f>
        <v>0.25</v>
      </c>
      <c r="H123">
        <f>'Monthly Data'!BA123</f>
        <v>293</v>
      </c>
      <c r="J123" s="6">
        <f t="shared" si="17"/>
        <v>4665603.6585154198</v>
      </c>
      <c r="K123" s="6">
        <f t="shared" si="31"/>
        <v>2145632.7087674532</v>
      </c>
      <c r="L123" s="6">
        <f t="shared" si="32"/>
        <v>0</v>
      </c>
      <c r="M123" s="6">
        <f t="shared" si="33"/>
        <v>-250620.5128778175</v>
      </c>
      <c r="N123" s="6">
        <f t="shared" si="34"/>
        <v>2948432.240171968</v>
      </c>
      <c r="O123" s="6">
        <f t="shared" si="35"/>
        <v>9509048.0945770238</v>
      </c>
      <c r="P123" s="6">
        <f t="shared" si="36"/>
        <v>370754.60712199286</v>
      </c>
      <c r="Q123" s="15">
        <f t="shared" si="37"/>
        <v>4.0571536428651751E-2</v>
      </c>
    </row>
    <row r="124" spans="1:17">
      <c r="A124" s="245">
        <v>44621</v>
      </c>
      <c r="B124">
        <f t="shared" si="29"/>
        <v>3</v>
      </c>
      <c r="C124">
        <f t="shared" si="30"/>
        <v>2022</v>
      </c>
      <c r="D124" s="6">
        <f>'Monthly Data'!J124</f>
        <v>9332810.4874550309</v>
      </c>
      <c r="E124">
        <f>'Monthly Data'!AO124</f>
        <v>382.30000000000013</v>
      </c>
      <c r="F124">
        <f>'Monthly Data'!AN124</f>
        <v>0</v>
      </c>
      <c r="G124" s="7">
        <f>'Monthly Data'!CI124</f>
        <v>0.25</v>
      </c>
      <c r="H124">
        <f>'Monthly Data'!BA124</f>
        <v>294.8</v>
      </c>
      <c r="J124" s="6">
        <f t="shared" si="17"/>
        <v>4665603.6585154198</v>
      </c>
      <c r="K124" s="6">
        <f t="shared" si="31"/>
        <v>1658462.1604565256</v>
      </c>
      <c r="L124" s="6">
        <f t="shared" si="32"/>
        <v>0</v>
      </c>
      <c r="M124" s="6">
        <f t="shared" si="33"/>
        <v>-250620.5128778175</v>
      </c>
      <c r="N124" s="6">
        <f t="shared" si="34"/>
        <v>2966545.4757771199</v>
      </c>
      <c r="O124" s="6">
        <f t="shared" si="35"/>
        <v>9039990.781871248</v>
      </c>
      <c r="P124" s="6">
        <f t="shared" si="36"/>
        <v>-292819.70558378287</v>
      </c>
      <c r="Q124" s="15">
        <f t="shared" si="37"/>
        <v>3.1375297503081732E-2</v>
      </c>
    </row>
    <row r="125" spans="1:17">
      <c r="A125" s="245">
        <v>44652</v>
      </c>
      <c r="B125">
        <f t="shared" si="29"/>
        <v>4</v>
      </c>
      <c r="C125">
        <f t="shared" si="30"/>
        <v>2022</v>
      </c>
      <c r="D125" s="6">
        <f>'Monthly Data'!J125</f>
        <v>8348962.48745503</v>
      </c>
      <c r="E125">
        <f>'Monthly Data'!AO125</f>
        <v>246.29999999999995</v>
      </c>
      <c r="F125">
        <f>'Monthly Data'!AN125</f>
        <v>3.1000000000000014</v>
      </c>
      <c r="G125" s="7">
        <f>'Monthly Data'!CI125</f>
        <v>0.25</v>
      </c>
      <c r="H125">
        <f>'Monthly Data'!BA125</f>
        <v>296.8</v>
      </c>
      <c r="J125" s="6">
        <f t="shared" si="17"/>
        <v>4665603.6585154198</v>
      </c>
      <c r="K125" s="6">
        <f t="shared" si="31"/>
        <v>1068478.2373017056</v>
      </c>
      <c r="L125" s="6">
        <f t="shared" si="32"/>
        <v>46554.936367721151</v>
      </c>
      <c r="M125" s="6">
        <f t="shared" si="33"/>
        <v>-250620.5128778175</v>
      </c>
      <c r="N125" s="6">
        <f t="shared" si="34"/>
        <v>2986671.2931161779</v>
      </c>
      <c r="O125" s="6">
        <f t="shared" si="35"/>
        <v>8516687.6124232076</v>
      </c>
      <c r="P125" s="6">
        <f t="shared" si="36"/>
        <v>167725.12496817764</v>
      </c>
      <c r="Q125" s="15">
        <f t="shared" si="37"/>
        <v>2.0089337473991262E-2</v>
      </c>
    </row>
    <row r="126" spans="1:17">
      <c r="A126" s="245">
        <v>44682</v>
      </c>
      <c r="B126">
        <f t="shared" si="29"/>
        <v>5</v>
      </c>
      <c r="C126">
        <f t="shared" si="30"/>
        <v>2022</v>
      </c>
      <c r="D126" s="6">
        <f>'Monthly Data'!J126</f>
        <v>8504691.4874550309</v>
      </c>
      <c r="E126">
        <f>'Monthly Data'!AO126</f>
        <v>59.300000000000011</v>
      </c>
      <c r="F126">
        <f>'Monthly Data'!AN126</f>
        <v>57.3</v>
      </c>
      <c r="G126" s="7">
        <f>'Monthly Data'!CI126</f>
        <v>0.25</v>
      </c>
      <c r="H126">
        <f>'Monthly Data'!BA126</f>
        <v>299.2</v>
      </c>
      <c r="J126" s="6">
        <f t="shared" si="17"/>
        <v>4665603.6585154198</v>
      </c>
      <c r="K126" s="6">
        <f t="shared" si="31"/>
        <v>257250.34296382932</v>
      </c>
      <c r="L126" s="6">
        <f t="shared" si="32"/>
        <v>860515.43673239369</v>
      </c>
      <c r="M126" s="6">
        <f t="shared" si="33"/>
        <v>-250620.5128778175</v>
      </c>
      <c r="N126" s="6">
        <f t="shared" si="34"/>
        <v>3010822.2739230469</v>
      </c>
      <c r="O126" s="6">
        <f t="shared" si="35"/>
        <v>8543571.1992568728</v>
      </c>
      <c r="P126" s="6">
        <f t="shared" si="36"/>
        <v>38879.711801841855</v>
      </c>
      <c r="Q126" s="15">
        <f t="shared" si="37"/>
        <v>4.5715605156509131E-3</v>
      </c>
    </row>
    <row r="127" spans="1:17">
      <c r="A127" s="245">
        <v>44713</v>
      </c>
      <c r="B127">
        <f t="shared" si="29"/>
        <v>6</v>
      </c>
      <c r="C127">
        <f t="shared" si="30"/>
        <v>2022</v>
      </c>
      <c r="D127" s="6">
        <f>'Monthly Data'!J127</f>
        <v>9198410.4874550309</v>
      </c>
      <c r="E127">
        <f>'Monthly Data'!AO127</f>
        <v>2.8999999999999986</v>
      </c>
      <c r="F127">
        <f>'Monthly Data'!AN127</f>
        <v>96.5</v>
      </c>
      <c r="G127" s="7">
        <f>'Monthly Data'!CI127</f>
        <v>0.25</v>
      </c>
      <c r="H127">
        <f>'Monthly Data'!BA127</f>
        <v>298.5</v>
      </c>
      <c r="J127" s="6">
        <f t="shared" si="17"/>
        <v>4665603.6585154198</v>
      </c>
      <c r="K127" s="6">
        <f t="shared" si="31"/>
        <v>12580.53953786011</v>
      </c>
      <c r="L127" s="6">
        <f t="shared" si="32"/>
        <v>1449210.1159629319</v>
      </c>
      <c r="M127" s="6">
        <f t="shared" si="33"/>
        <v>-250620.5128778175</v>
      </c>
      <c r="N127" s="6">
        <f t="shared" si="34"/>
        <v>3003778.2378543769</v>
      </c>
      <c r="O127" s="6">
        <f t="shared" si="35"/>
        <v>8880552.0389927719</v>
      </c>
      <c r="P127" s="6">
        <f t="shared" si="36"/>
        <v>-317858.44846225902</v>
      </c>
      <c r="Q127" s="15">
        <f t="shared" si="37"/>
        <v>3.4555801667664268E-2</v>
      </c>
    </row>
    <row r="128" spans="1:17">
      <c r="A128" s="245">
        <v>44743</v>
      </c>
      <c r="B128">
        <f t="shared" si="29"/>
        <v>7</v>
      </c>
      <c r="C128">
        <f t="shared" si="30"/>
        <v>2022</v>
      </c>
      <c r="D128" s="6">
        <f>'Monthly Data'!J128</f>
        <v>10146642.487455031</v>
      </c>
      <c r="E128">
        <f>'Monthly Data'!AO128</f>
        <v>0</v>
      </c>
      <c r="F128">
        <f>'Monthly Data'!AN128</f>
        <v>183.89999999999995</v>
      </c>
      <c r="G128" s="7">
        <f>'Monthly Data'!CI128</f>
        <v>0.25</v>
      </c>
      <c r="H128">
        <f>'Monthly Data'!BA128</f>
        <v>298.7</v>
      </c>
      <c r="J128" s="6">
        <f t="shared" si="17"/>
        <v>4665603.6585154198</v>
      </c>
      <c r="K128" s="6">
        <f t="shared" si="31"/>
        <v>0</v>
      </c>
      <c r="L128" s="6">
        <f t="shared" si="32"/>
        <v>2761758.9671044881</v>
      </c>
      <c r="M128" s="6">
        <f t="shared" si="33"/>
        <v>-250620.5128778175</v>
      </c>
      <c r="N128" s="6">
        <f t="shared" si="34"/>
        <v>3005790.8195882826</v>
      </c>
      <c r="O128" s="6">
        <f t="shared" si="35"/>
        <v>10182532.932330374</v>
      </c>
      <c r="P128" s="6">
        <f t="shared" si="36"/>
        <v>35890.444875342771</v>
      </c>
      <c r="Q128" s="15">
        <f t="shared" si="37"/>
        <v>3.5371744810873663E-3</v>
      </c>
    </row>
    <row r="129" spans="1:21">
      <c r="A129" s="245">
        <v>44774</v>
      </c>
      <c r="B129">
        <f t="shared" si="29"/>
        <v>8</v>
      </c>
      <c r="C129">
        <f t="shared" si="30"/>
        <v>2022</v>
      </c>
      <c r="D129" s="6">
        <f>'Monthly Data'!J129</f>
        <v>10166797.487455031</v>
      </c>
      <c r="E129">
        <f>'Monthly Data'!AO129</f>
        <v>0</v>
      </c>
      <c r="F129">
        <f>'Monthly Data'!AN129</f>
        <v>167.99999999999997</v>
      </c>
      <c r="G129" s="7">
        <f>'Monthly Data'!CI129</f>
        <v>0.25</v>
      </c>
      <c r="H129">
        <f>'Monthly Data'!BA129</f>
        <v>295.39999999999998</v>
      </c>
      <c r="J129" s="6">
        <f t="shared" si="17"/>
        <v>4665603.6585154198</v>
      </c>
      <c r="K129" s="6">
        <f t="shared" si="31"/>
        <v>0</v>
      </c>
      <c r="L129" s="6">
        <f t="shared" si="32"/>
        <v>2522977.1967023057</v>
      </c>
      <c r="M129" s="6">
        <f t="shared" si="33"/>
        <v>-250620.5128778175</v>
      </c>
      <c r="N129" s="6">
        <f t="shared" si="34"/>
        <v>2972583.220978837</v>
      </c>
      <c r="O129" s="6">
        <f t="shared" si="35"/>
        <v>9910543.5633187443</v>
      </c>
      <c r="P129" s="6">
        <f t="shared" si="36"/>
        <v>-256253.9241362866</v>
      </c>
      <c r="Q129" s="15">
        <f t="shared" si="37"/>
        <v>2.520497968534165E-2</v>
      </c>
    </row>
    <row r="130" spans="1:21">
      <c r="A130" s="245">
        <v>44805</v>
      </c>
      <c r="B130">
        <f t="shared" si="29"/>
        <v>9</v>
      </c>
      <c r="C130">
        <f t="shared" si="30"/>
        <v>2022</v>
      </c>
      <c r="D130" s="6">
        <f>'Monthly Data'!J130</f>
        <v>8698705.4874550309</v>
      </c>
      <c r="E130">
        <f>'Monthly Data'!AO130</f>
        <v>17.5</v>
      </c>
      <c r="F130">
        <f>'Monthly Data'!AN130</f>
        <v>79.700000000000017</v>
      </c>
      <c r="G130" s="7">
        <f>'Monthly Data'!CI130</f>
        <v>0.25</v>
      </c>
      <c r="H130">
        <f>'Monthly Data'!BA130</f>
        <v>295.3</v>
      </c>
      <c r="J130" s="6">
        <f t="shared" si="17"/>
        <v>4665603.6585154198</v>
      </c>
      <c r="K130" s="6">
        <f t="shared" si="31"/>
        <v>75917.048935362778</v>
      </c>
      <c r="L130" s="6">
        <f t="shared" si="32"/>
        <v>1196912.3962927016</v>
      </c>
      <c r="M130" s="6">
        <f t="shared" si="33"/>
        <v>-250620.5128778175</v>
      </c>
      <c r="N130" s="6">
        <f t="shared" si="34"/>
        <v>2971576.9301118846</v>
      </c>
      <c r="O130" s="6">
        <f t="shared" si="35"/>
        <v>8659389.5209775511</v>
      </c>
      <c r="P130" s="6">
        <f t="shared" si="36"/>
        <v>-39315.966477479786</v>
      </c>
      <c r="Q130" s="15">
        <f t="shared" si="37"/>
        <v>4.5197491206225918E-3</v>
      </c>
    </row>
    <row r="131" spans="1:21">
      <c r="A131" s="245">
        <v>44835</v>
      </c>
      <c r="B131">
        <f t="shared" si="29"/>
        <v>10</v>
      </c>
      <c r="C131">
        <f t="shared" si="30"/>
        <v>2022</v>
      </c>
      <c r="D131" s="6">
        <f>'Monthly Data'!J131</f>
        <v>8039425.48745503</v>
      </c>
      <c r="E131">
        <f>'Monthly Data'!AO131</f>
        <v>125.90000000000002</v>
      </c>
      <c r="F131">
        <f>'Monthly Data'!AN131</f>
        <v>7.0000000000000036</v>
      </c>
      <c r="G131" s="7">
        <f>'Monthly Data'!CI131</f>
        <v>0.25</v>
      </c>
      <c r="H131">
        <f>'Monthly Data'!BA131</f>
        <v>293.3</v>
      </c>
      <c r="J131" s="6">
        <f t="shared" ref="J131:J133" si="38">$T$7</f>
        <v>4665603.6585154198</v>
      </c>
      <c r="K131" s="6">
        <f t="shared" si="31"/>
        <v>546168.94062640995</v>
      </c>
      <c r="L131" s="6">
        <f t="shared" si="32"/>
        <v>105124.04986259615</v>
      </c>
      <c r="M131" s="6">
        <f t="shared" si="33"/>
        <v>-250620.5128778175</v>
      </c>
      <c r="N131" s="6">
        <f t="shared" si="34"/>
        <v>2951451.1127728266</v>
      </c>
      <c r="O131" s="6">
        <f t="shared" si="35"/>
        <v>8017727.2488994356</v>
      </c>
      <c r="P131" s="6">
        <f t="shared" si="36"/>
        <v>-21698.238555594347</v>
      </c>
      <c r="Q131" s="15">
        <f t="shared" si="37"/>
        <v>2.6989787503414213E-3</v>
      </c>
    </row>
    <row r="132" spans="1:21">
      <c r="A132" s="245">
        <v>44866</v>
      </c>
      <c r="B132">
        <f t="shared" si="29"/>
        <v>11</v>
      </c>
      <c r="C132">
        <f t="shared" si="30"/>
        <v>2022</v>
      </c>
      <c r="D132" s="6">
        <f>'Monthly Data'!J132</f>
        <v>8511697.4874550309</v>
      </c>
      <c r="E132">
        <f>'Monthly Data'!AO132</f>
        <v>256.90000000000003</v>
      </c>
      <c r="F132">
        <f>'Monthly Data'!AN132</f>
        <v>2.8999999999999986</v>
      </c>
      <c r="G132" s="7">
        <f>'Monthly Data'!CI132</f>
        <v>0.25</v>
      </c>
      <c r="H132">
        <f>'Monthly Data'!BA132</f>
        <v>292.7</v>
      </c>
      <c r="J132" s="6">
        <f t="shared" si="38"/>
        <v>4665603.6585154198</v>
      </c>
      <c r="K132" s="6">
        <f t="shared" si="31"/>
        <v>1114462.2783711257</v>
      </c>
      <c r="L132" s="6">
        <f t="shared" si="32"/>
        <v>43551.392085932646</v>
      </c>
      <c r="M132" s="6">
        <f t="shared" si="33"/>
        <v>-250620.5128778175</v>
      </c>
      <c r="N132" s="6">
        <f t="shared" si="34"/>
        <v>2945413.367571109</v>
      </c>
      <c r="O132" s="6">
        <f t="shared" si="35"/>
        <v>8518410.1836657692</v>
      </c>
      <c r="P132" s="6">
        <f t="shared" si="36"/>
        <v>6712.6962107382715</v>
      </c>
      <c r="Q132" s="15">
        <f t="shared" si="37"/>
        <v>7.886436542924348E-4</v>
      </c>
    </row>
    <row r="133" spans="1:21">
      <c r="A133" s="245">
        <v>44896</v>
      </c>
      <c r="B133">
        <f t="shared" si="29"/>
        <v>12</v>
      </c>
      <c r="C133">
        <f t="shared" si="30"/>
        <v>2022</v>
      </c>
      <c r="D133" s="6">
        <f>'Monthly Data'!J133</f>
        <v>9458894.4874550309</v>
      </c>
      <c r="E133">
        <f>'Monthly Data'!AO133</f>
        <v>442.5</v>
      </c>
      <c r="F133">
        <f>'Monthly Data'!AN133</f>
        <v>0</v>
      </c>
      <c r="G133" s="7">
        <f>'Monthly Data'!CI133</f>
        <v>0.25</v>
      </c>
      <c r="H133">
        <f>'Monthly Data'!BA133</f>
        <v>293.2</v>
      </c>
      <c r="J133" s="6">
        <f t="shared" si="38"/>
        <v>4665603.6585154198</v>
      </c>
      <c r="K133" s="6">
        <f t="shared" si="31"/>
        <v>1919616.8087941729</v>
      </c>
      <c r="L133" s="6">
        <f t="shared" si="32"/>
        <v>0</v>
      </c>
      <c r="M133" s="6">
        <f t="shared" si="33"/>
        <v>-250620.5128778175</v>
      </c>
      <c r="N133" s="6">
        <f t="shared" si="34"/>
        <v>2950444.8219058737</v>
      </c>
      <c r="O133" s="6">
        <f t="shared" si="35"/>
        <v>9285044.7763376497</v>
      </c>
      <c r="P133" s="6">
        <f t="shared" si="36"/>
        <v>-173849.71111738123</v>
      </c>
      <c r="Q133" s="15">
        <f t="shared" si="37"/>
        <v>1.8379495759039435E-2</v>
      </c>
    </row>
    <row r="134" spans="1:21">
      <c r="A134" s="20"/>
      <c r="Q134" s="16">
        <f>AVERAGE(Q2:Q133)</f>
        <v>2.5319535893674968E-2</v>
      </c>
    </row>
    <row r="135" spans="1:21">
      <c r="A135" s="20"/>
      <c r="Q135" s="16"/>
    </row>
    <row r="136" spans="1:21">
      <c r="A136" s="20"/>
    </row>
    <row r="137" spans="1:21">
      <c r="A137" s="20"/>
      <c r="Q137">
        <v>1</v>
      </c>
      <c r="R137" s="6">
        <f t="shared" ref="R137:R148" si="39">SUMIF($B$2:$B$97,$Q137,P$2:P$97)</f>
        <v>-1856380.5125738513</v>
      </c>
      <c r="S137" s="15">
        <f t="shared" ref="S137:S148" si="40">SUMIF($B$2:$B$97,$Q137,Q$2:Q$97)</f>
        <v>0.23088136888035971</v>
      </c>
      <c r="U137" s="15"/>
    </row>
    <row r="138" spans="1:21">
      <c r="A138" s="20"/>
      <c r="Q138">
        <v>2</v>
      </c>
      <c r="R138" s="6">
        <f t="shared" si="39"/>
        <v>2643037.0074404366</v>
      </c>
      <c r="S138" s="15">
        <f t="shared" si="40"/>
        <v>0.29599621256058911</v>
      </c>
      <c r="U138" s="15"/>
    </row>
    <row r="139" spans="1:21">
      <c r="A139" s="20"/>
      <c r="Q139">
        <v>3</v>
      </c>
      <c r="R139" s="6">
        <f t="shared" si="39"/>
        <v>-1892026.6093164776</v>
      </c>
      <c r="S139" s="15">
        <f t="shared" si="40"/>
        <v>0.24396567408043845</v>
      </c>
      <c r="U139" s="15"/>
    </row>
    <row r="140" spans="1:21">
      <c r="A140" s="20"/>
      <c r="Q140">
        <v>4</v>
      </c>
      <c r="R140" s="6">
        <f t="shared" si="39"/>
        <v>666047.07551909331</v>
      </c>
      <c r="S140" s="15">
        <f t="shared" si="40"/>
        <v>0.13774056928043821</v>
      </c>
      <c r="U140" s="15"/>
    </row>
    <row r="141" spans="1:21">
      <c r="A141" s="20"/>
      <c r="Q141">
        <v>5</v>
      </c>
      <c r="R141" s="6">
        <f t="shared" si="39"/>
        <v>-63828.384645846672</v>
      </c>
      <c r="S141" s="15">
        <f t="shared" si="40"/>
        <v>0.12918599976670703</v>
      </c>
      <c r="U141" s="15"/>
    </row>
    <row r="142" spans="1:21">
      <c r="A142" s="20"/>
      <c r="Q142">
        <v>6</v>
      </c>
      <c r="R142" s="6">
        <f t="shared" si="39"/>
        <v>781058.49991848879</v>
      </c>
      <c r="S142" s="15">
        <f t="shared" si="40"/>
        <v>0.19959768154601376</v>
      </c>
      <c r="U142" s="15"/>
    </row>
    <row r="143" spans="1:21">
      <c r="A143" s="20"/>
      <c r="Q143">
        <v>7</v>
      </c>
      <c r="R143" s="6">
        <f t="shared" si="39"/>
        <v>-625638.16080920957</v>
      </c>
      <c r="S143" s="15">
        <f t="shared" si="40"/>
        <v>0.19045599957752063</v>
      </c>
      <c r="U143" s="15"/>
    </row>
    <row r="144" spans="1:21">
      <c r="A144" s="20"/>
      <c r="Q144">
        <v>8</v>
      </c>
      <c r="R144" s="6">
        <f t="shared" si="39"/>
        <v>-229630.72666870058</v>
      </c>
      <c r="S144" s="15">
        <f t="shared" si="40"/>
        <v>9.9554018798294702E-2</v>
      </c>
      <c r="U144" s="15"/>
    </row>
    <row r="145" spans="1:21">
      <c r="A145" s="20"/>
      <c r="Q145">
        <v>9</v>
      </c>
      <c r="R145" s="6">
        <f t="shared" si="39"/>
        <v>1165267.5830217842</v>
      </c>
      <c r="S145" s="15">
        <f t="shared" si="40"/>
        <v>0.19682581456688034</v>
      </c>
      <c r="U145" s="15"/>
    </row>
    <row r="146" spans="1:21">
      <c r="A146" s="20"/>
      <c r="Q146">
        <v>10</v>
      </c>
      <c r="R146" s="6">
        <f t="shared" si="39"/>
        <v>201527.61975961737</v>
      </c>
      <c r="S146" s="15">
        <f t="shared" si="40"/>
        <v>0.16646306078609324</v>
      </c>
      <c r="U146" s="15"/>
    </row>
    <row r="147" spans="1:21">
      <c r="A147" s="20"/>
      <c r="Q147">
        <v>11</v>
      </c>
      <c r="R147" s="6">
        <f t="shared" si="39"/>
        <v>1012682.7341550197</v>
      </c>
      <c r="S147" s="15">
        <f t="shared" si="40"/>
        <v>0.16211064737213199</v>
      </c>
      <c r="U147" s="15"/>
    </row>
    <row r="148" spans="1:21">
      <c r="A148" s="20"/>
      <c r="Q148">
        <v>12</v>
      </c>
      <c r="R148" s="6">
        <f t="shared" si="39"/>
        <v>-1241605.3138784617</v>
      </c>
      <c r="S148" s="15">
        <f t="shared" si="40"/>
        <v>0.24453097656794037</v>
      </c>
      <c r="U148" s="15"/>
    </row>
    <row r="149" spans="1:21">
      <c r="A149" s="20"/>
      <c r="R149" s="6"/>
      <c r="U149" s="15"/>
    </row>
    <row r="150" spans="1:21">
      <c r="A150" s="20"/>
      <c r="Q150">
        <v>2012</v>
      </c>
      <c r="R150" s="6">
        <f t="shared" ref="R150:R157" si="41">SUMIF($C:$C,$Q150,$P:$P)</f>
        <v>-122379.01734115463</v>
      </c>
      <c r="S150" s="15">
        <f t="shared" ref="S150:S157" si="42">SUMIF($C$2:$C$97,$Q150,Q$2:Q$97)</f>
        <v>0.26318907253932089</v>
      </c>
      <c r="U150" s="15"/>
    </row>
    <row r="151" spans="1:21">
      <c r="A151" s="20"/>
      <c r="Q151">
        <v>2013</v>
      </c>
      <c r="R151" s="6">
        <f t="shared" si="41"/>
        <v>-141057.14075049944</v>
      </c>
      <c r="S151" s="15">
        <f t="shared" si="42"/>
        <v>0.23574208534354826</v>
      </c>
      <c r="U151" s="15"/>
    </row>
    <row r="152" spans="1:21">
      <c r="A152" s="20"/>
      <c r="Q152">
        <v>2014</v>
      </c>
      <c r="R152" s="6">
        <f t="shared" si="41"/>
        <v>-1797894.9134709211</v>
      </c>
      <c r="S152" s="15">
        <f t="shared" si="42"/>
        <v>0.30060036985373173</v>
      </c>
      <c r="U152" s="15"/>
    </row>
    <row r="153" spans="1:21">
      <c r="A153" s="20"/>
      <c r="Q153">
        <v>2015</v>
      </c>
      <c r="R153" s="6">
        <f t="shared" si="41"/>
        <v>-2324245.5002476163</v>
      </c>
      <c r="S153" s="15">
        <f t="shared" si="42"/>
        <v>0.34245093285736228</v>
      </c>
      <c r="U153" s="15"/>
    </row>
    <row r="154" spans="1:21">
      <c r="A154" s="20"/>
      <c r="Q154">
        <v>2016</v>
      </c>
      <c r="R154" s="6">
        <f t="shared" si="41"/>
        <v>-906572.53656212427</v>
      </c>
      <c r="S154" s="15">
        <f t="shared" si="42"/>
        <v>0.16003502149069176</v>
      </c>
      <c r="U154" s="15"/>
    </row>
    <row r="155" spans="1:21">
      <c r="A155" s="20"/>
      <c r="Q155">
        <v>2017</v>
      </c>
      <c r="R155" s="6">
        <f t="shared" si="41"/>
        <v>2032590.8602469293</v>
      </c>
      <c r="S155" s="15">
        <f t="shared" si="42"/>
        <v>0.33015217701683608</v>
      </c>
      <c r="U155" s="15"/>
    </row>
    <row r="156" spans="1:21">
      <c r="A156" s="20"/>
      <c r="Q156">
        <v>2018</v>
      </c>
      <c r="R156" s="6">
        <f t="shared" si="41"/>
        <v>3487517.0620580642</v>
      </c>
      <c r="S156" s="15">
        <f t="shared" si="42"/>
        <v>0.44420138298367784</v>
      </c>
      <c r="U156" s="15"/>
    </row>
    <row r="157" spans="1:21">
      <c r="A157" s="20"/>
      <c r="Q157">
        <v>2019</v>
      </c>
      <c r="R157" s="6">
        <f t="shared" si="41"/>
        <v>332551.99798921496</v>
      </c>
      <c r="S157" s="15">
        <f t="shared" si="42"/>
        <v>0.22093698169823889</v>
      </c>
      <c r="U157" s="15"/>
    </row>
    <row r="158" spans="1:21">
      <c r="A158" s="20"/>
      <c r="Q158">
        <v>2020</v>
      </c>
      <c r="R158" s="6">
        <f>SUMIF($C:$C,$Q158,P:P)</f>
        <v>523416.31586151104</v>
      </c>
      <c r="S158" s="15">
        <f>SUMIF($C:$C,$Q158,Q:Q)</f>
        <v>0.40983454036609296</v>
      </c>
      <c r="U158" s="15"/>
    </row>
    <row r="159" spans="1:21">
      <c r="A159" s="20"/>
      <c r="Q159">
        <v>2021</v>
      </c>
      <c r="R159" s="6">
        <f>SUMIF($C:$C,$Q159,$P:$P)</f>
        <v>-528144.92634245381</v>
      </c>
      <c r="S159" s="15">
        <f>SUMIF($C:$C,$Q159,Q:Q)</f>
        <v>0.43980658207328893</v>
      </c>
      <c r="U159" s="15"/>
    </row>
    <row r="160" spans="1:21">
      <c r="A160" s="20"/>
    </row>
    <row r="161" spans="1:17">
      <c r="A161" s="20"/>
    </row>
    <row r="162" spans="1:17">
      <c r="A162" s="20"/>
    </row>
    <row r="163" spans="1:17">
      <c r="A163" s="20"/>
      <c r="Q163" s="15"/>
    </row>
    <row r="164" spans="1:17">
      <c r="A164" s="20"/>
      <c r="Q164" s="15"/>
    </row>
    <row r="165" spans="1:17">
      <c r="A165" s="20"/>
      <c r="Q165" s="15"/>
    </row>
    <row r="166" spans="1:17">
      <c r="A166" s="20"/>
      <c r="Q166" s="15"/>
    </row>
    <row r="167" spans="1:17">
      <c r="A167" s="20"/>
      <c r="Q167" s="15"/>
    </row>
    <row r="168" spans="1:17">
      <c r="A168" s="20"/>
      <c r="Q168" s="15"/>
    </row>
    <row r="169" spans="1:17">
      <c r="A169" s="20"/>
      <c r="Q169" s="15"/>
    </row>
    <row r="170" spans="1:17">
      <c r="A170" s="20"/>
      <c r="Q170" s="15"/>
    </row>
    <row r="171" spans="1:17">
      <c r="A171" s="20"/>
      <c r="Q171" s="15"/>
    </row>
    <row r="172" spans="1:17">
      <c r="A172" s="20"/>
      <c r="Q172" s="15"/>
    </row>
    <row r="173" spans="1:17">
      <c r="A173" s="20"/>
      <c r="Q173" s="15"/>
    </row>
    <row r="174" spans="1:17">
      <c r="A174" s="20"/>
      <c r="Q174" s="15"/>
    </row>
    <row r="175" spans="1:17">
      <c r="A175" s="20"/>
      <c r="Q175" s="15"/>
    </row>
    <row r="176" spans="1:17">
      <c r="A176" s="20"/>
      <c r="Q176" s="15"/>
    </row>
    <row r="177" spans="1:17">
      <c r="A177" s="20"/>
      <c r="Q177" s="15"/>
    </row>
    <row r="178" spans="1:17">
      <c r="A178" s="20"/>
      <c r="Q178" s="15"/>
    </row>
    <row r="179" spans="1:17">
      <c r="A179" s="20"/>
      <c r="Q179" s="15"/>
    </row>
    <row r="180" spans="1:17">
      <c r="A180" s="20"/>
      <c r="Q180" s="1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3" tint="0.79998168889431442"/>
  </sheetPr>
  <dimension ref="A1:AG180"/>
  <sheetViews>
    <sheetView topLeftCell="O1" workbookViewId="0">
      <selection activeCell="W2" sqref="W2:AA21"/>
    </sheetView>
  </sheetViews>
  <sheetFormatPr defaultRowHeight="15"/>
  <cols>
    <col min="1" max="1" width="12.28515625" customWidth="1"/>
    <col min="4" max="4" width="19.5703125" customWidth="1"/>
    <col min="9" max="9" width="11" customWidth="1"/>
    <col min="12" max="12" width="14" bestFit="1" customWidth="1"/>
    <col min="13" max="14" width="13.28515625" bestFit="1" customWidth="1"/>
    <col min="15" max="15" width="14.28515625" bestFit="1" customWidth="1"/>
    <col min="16" max="16" width="14.28515625" customWidth="1"/>
    <col min="17" max="17" width="13.28515625" bestFit="1" customWidth="1"/>
    <col min="18" max="18" width="12.28515625" bestFit="1" customWidth="1"/>
    <col min="19" max="19" width="13" customWidth="1"/>
    <col min="20" max="20" width="13.7109375" customWidth="1"/>
    <col min="23" max="23" width="13.7109375" customWidth="1"/>
    <col min="24" max="24" width="12.140625" customWidth="1"/>
    <col min="25" max="25" width="12.5703125" customWidth="1"/>
    <col min="26" max="26" width="11" customWidth="1"/>
  </cols>
  <sheetData>
    <row r="1" spans="1:33">
      <c r="A1" t="s">
        <v>0</v>
      </c>
      <c r="B1" t="s">
        <v>52</v>
      </c>
      <c r="C1" t="s">
        <v>53</v>
      </c>
      <c r="D1" t="str">
        <f>'Monthly Data'!N1</f>
        <v>GSgt50kWh_NoCDM</v>
      </c>
      <c r="E1" t="s">
        <v>179</v>
      </c>
      <c r="F1" t="s">
        <v>178</v>
      </c>
      <c r="G1" t="s">
        <v>68</v>
      </c>
      <c r="H1" t="s">
        <v>66</v>
      </c>
      <c r="I1" t="s">
        <v>8</v>
      </c>
      <c r="J1" t="str">
        <f>'Monthly Data'!CJ1</f>
        <v>COVID2020</v>
      </c>
      <c r="L1" t="s">
        <v>85</v>
      </c>
      <c r="M1" t="str">
        <f t="shared" ref="M1:R1" si="0">E1</f>
        <v>HDD14</v>
      </c>
      <c r="N1" t="str">
        <f t="shared" si="0"/>
        <v>CDD16</v>
      </c>
      <c r="O1" t="str">
        <f t="shared" si="0"/>
        <v>Month Days</v>
      </c>
      <c r="P1" t="str">
        <f t="shared" si="0"/>
        <v>Fall</v>
      </c>
      <c r="Q1" t="str">
        <f t="shared" si="0"/>
        <v>GSgt50Cust</v>
      </c>
      <c r="R1" t="str">
        <f t="shared" si="0"/>
        <v>COVID2020</v>
      </c>
      <c r="S1" t="s">
        <v>86</v>
      </c>
      <c r="T1" t="s">
        <v>104</v>
      </c>
      <c r="U1" t="s">
        <v>87</v>
      </c>
    </row>
    <row r="2" spans="1:33">
      <c r="A2" s="245">
        <v>40909</v>
      </c>
      <c r="B2">
        <f t="shared" ref="B2:B21" si="1">MONTH(A2)</f>
        <v>1</v>
      </c>
      <c r="C2">
        <f t="shared" ref="C2:C21" si="2">YEAR(A2)</f>
        <v>2012</v>
      </c>
      <c r="D2" s="6">
        <f>'Monthly Data'!N2</f>
        <v>21656892.322908267</v>
      </c>
      <c r="E2">
        <v>488.59999999999997</v>
      </c>
      <c r="F2">
        <v>0</v>
      </c>
      <c r="G2">
        <v>31</v>
      </c>
      <c r="H2">
        <v>0</v>
      </c>
      <c r="I2">
        <f>'Monthly Data'!P2</f>
        <v>434</v>
      </c>
      <c r="J2">
        <f>'Monthly Data'!CJ2</f>
        <v>0</v>
      </c>
      <c r="L2" s="6">
        <f t="shared" ref="L2:L33" si="3">$X$7</f>
        <v>-4550747.7974309605</v>
      </c>
      <c r="M2" s="6">
        <f t="shared" ref="M2:M33" si="4">E2*$X$8</f>
        <v>3511885.1685720622</v>
      </c>
      <c r="N2" s="6">
        <f t="shared" ref="N2:N33" si="5">F2*$X$9</f>
        <v>0</v>
      </c>
      <c r="O2" s="6">
        <f t="shared" ref="O2:O33" si="6">G2*$X$10</f>
        <v>15176957.600351669</v>
      </c>
      <c r="P2" s="6">
        <f>H2*$X$11</f>
        <v>0</v>
      </c>
      <c r="Q2" s="6">
        <f t="shared" ref="Q2:Q33" si="7">I2*$X$12</f>
        <v>6888748.4444476245</v>
      </c>
      <c r="R2" s="6">
        <f>J2*$X$13</f>
        <v>0</v>
      </c>
      <c r="S2" s="6">
        <f>SUM(L2:R2)</f>
        <v>21026843.415940396</v>
      </c>
      <c r="T2" s="6">
        <f t="shared" ref="T2:T33" si="8">S2-D2</f>
        <v>-630048.90696787089</v>
      </c>
      <c r="U2" s="15">
        <f t="shared" ref="U2:U33" si="9">ABS(S2-D2)/D2</f>
        <v>2.9092304545533368E-2</v>
      </c>
      <c r="W2" t="s">
        <v>381</v>
      </c>
    </row>
    <row r="3" spans="1:33">
      <c r="A3" s="245">
        <v>40940</v>
      </c>
      <c r="B3">
        <f t="shared" si="1"/>
        <v>2</v>
      </c>
      <c r="C3">
        <f t="shared" si="2"/>
        <v>2012</v>
      </c>
      <c r="D3" s="6">
        <f>'Monthly Data'!N3</f>
        <v>19270892.776922364</v>
      </c>
      <c r="E3">
        <v>405.99999999999994</v>
      </c>
      <c r="F3">
        <v>0</v>
      </c>
      <c r="G3">
        <v>29</v>
      </c>
      <c r="H3">
        <v>0</v>
      </c>
      <c r="I3">
        <f>'Monthly Data'!P3</f>
        <v>436</v>
      </c>
      <c r="J3">
        <f>'Monthly Data'!CJ3</f>
        <v>0</v>
      </c>
      <c r="L3" s="6">
        <f t="shared" si="3"/>
        <v>-4550747.7974309605</v>
      </c>
      <c r="M3" s="6">
        <f t="shared" si="4"/>
        <v>2918185.3836272149</v>
      </c>
      <c r="N3" s="6">
        <f t="shared" si="5"/>
        <v>0</v>
      </c>
      <c r="O3" s="6">
        <f t="shared" si="6"/>
        <v>14197799.04549027</v>
      </c>
      <c r="P3" s="6">
        <f t="shared" ref="P3:P66" si="10">H3*$X$11</f>
        <v>0</v>
      </c>
      <c r="Q3" s="6">
        <f t="shared" si="7"/>
        <v>6920493.8289842494</v>
      </c>
      <c r="R3" s="6">
        <f t="shared" ref="R3:R66" si="11">J3*$X$13</f>
        <v>0</v>
      </c>
      <c r="S3" s="6">
        <f t="shared" ref="S3:S66" si="12">SUM(L3:R3)</f>
        <v>19485730.460670777</v>
      </c>
      <c r="T3" s="6">
        <f t="shared" si="8"/>
        <v>214837.68374841288</v>
      </c>
      <c r="U3" s="15">
        <f t="shared" si="9"/>
        <v>1.1148299470883326E-2</v>
      </c>
      <c r="W3" t="s">
        <v>103</v>
      </c>
    </row>
    <row r="4" spans="1:33">
      <c r="A4" s="245">
        <v>40969</v>
      </c>
      <c r="B4">
        <f t="shared" si="1"/>
        <v>3</v>
      </c>
      <c r="C4">
        <f t="shared" si="2"/>
        <v>2012</v>
      </c>
      <c r="D4" s="6">
        <f>'Monthly Data'!N4</f>
        <v>20056817.881679062</v>
      </c>
      <c r="E4">
        <v>216.19999999999996</v>
      </c>
      <c r="F4">
        <v>13.300000000000004</v>
      </c>
      <c r="G4">
        <v>31</v>
      </c>
      <c r="H4">
        <v>0</v>
      </c>
      <c r="I4">
        <f>'Monthly Data'!P4</f>
        <v>436</v>
      </c>
      <c r="J4">
        <f>'Monthly Data'!CJ4</f>
        <v>0</v>
      </c>
      <c r="L4" s="6">
        <f t="shared" si="3"/>
        <v>-4550747.7974309605</v>
      </c>
      <c r="M4" s="6">
        <f t="shared" si="4"/>
        <v>1553969.6550251325</v>
      </c>
      <c r="N4" s="6">
        <f t="shared" si="5"/>
        <v>313039.77222317789</v>
      </c>
      <c r="O4" s="6">
        <f t="shared" si="6"/>
        <v>15176957.600351669</v>
      </c>
      <c r="P4" s="6">
        <f t="shared" si="10"/>
        <v>0</v>
      </c>
      <c r="Q4" s="6">
        <f t="shared" si="7"/>
        <v>6920493.8289842494</v>
      </c>
      <c r="R4" s="6">
        <f t="shared" si="11"/>
        <v>0</v>
      </c>
      <c r="S4" s="6">
        <f t="shared" si="12"/>
        <v>19413713.059153266</v>
      </c>
      <c r="T4" s="6">
        <f t="shared" si="8"/>
        <v>-643104.82252579555</v>
      </c>
      <c r="U4" s="15">
        <f t="shared" si="9"/>
        <v>3.2064150271476556E-2</v>
      </c>
      <c r="W4" t="s">
        <v>385</v>
      </c>
    </row>
    <row r="5" spans="1:33">
      <c r="A5" s="245">
        <v>41000</v>
      </c>
      <c r="B5">
        <f t="shared" si="1"/>
        <v>4</v>
      </c>
      <c r="C5">
        <f t="shared" si="2"/>
        <v>2012</v>
      </c>
      <c r="D5" s="6">
        <f>'Monthly Data'!N5</f>
        <v>18860084.058233365</v>
      </c>
      <c r="E5">
        <v>223.79999999999995</v>
      </c>
      <c r="F5">
        <v>2</v>
      </c>
      <c r="G5">
        <v>30</v>
      </c>
      <c r="H5">
        <v>0</v>
      </c>
      <c r="I5">
        <f>'Monthly Data'!P5</f>
        <v>436</v>
      </c>
      <c r="J5">
        <f>'Monthly Data'!CJ5</f>
        <v>0</v>
      </c>
      <c r="L5" s="6">
        <f t="shared" si="3"/>
        <v>-4550747.7974309605</v>
      </c>
      <c r="M5" s="6">
        <f t="shared" si="4"/>
        <v>1608595.7853590411</v>
      </c>
      <c r="N5" s="6">
        <f t="shared" si="5"/>
        <v>47073.649958372604</v>
      </c>
      <c r="O5" s="6">
        <f t="shared" si="6"/>
        <v>14687378.322920969</v>
      </c>
      <c r="P5" s="6">
        <f t="shared" si="10"/>
        <v>0</v>
      </c>
      <c r="Q5" s="6">
        <f t="shared" si="7"/>
        <v>6920493.8289842494</v>
      </c>
      <c r="R5" s="6">
        <f t="shared" si="11"/>
        <v>0</v>
      </c>
      <c r="S5" s="6">
        <f t="shared" si="12"/>
        <v>18712793.789791673</v>
      </c>
      <c r="T5" s="6">
        <f t="shared" si="8"/>
        <v>-147290.26844169199</v>
      </c>
      <c r="U5" s="15">
        <f t="shared" si="9"/>
        <v>7.8096294792171124E-3</v>
      </c>
    </row>
    <row r="6" spans="1:33">
      <c r="A6" s="245">
        <v>41030</v>
      </c>
      <c r="B6">
        <f t="shared" si="1"/>
        <v>5</v>
      </c>
      <c r="C6">
        <f t="shared" si="2"/>
        <v>2012</v>
      </c>
      <c r="D6" s="6">
        <f>'Monthly Data'!N6</f>
        <v>18641210.416657664</v>
      </c>
      <c r="E6">
        <v>33.5</v>
      </c>
      <c r="F6">
        <v>47.099999999999994</v>
      </c>
      <c r="G6">
        <v>31</v>
      </c>
      <c r="H6">
        <v>0</v>
      </c>
      <c r="I6">
        <f>'Monthly Data'!P6</f>
        <v>429</v>
      </c>
      <c r="J6">
        <f>'Monthly Data'!CJ6</f>
        <v>0</v>
      </c>
      <c r="L6" s="6">
        <f t="shared" si="3"/>
        <v>-4550747.7974309605</v>
      </c>
      <c r="M6" s="6">
        <f t="shared" si="4"/>
        <v>240786.23239288598</v>
      </c>
      <c r="N6" s="6">
        <f t="shared" si="5"/>
        <v>1108584.4565196747</v>
      </c>
      <c r="O6" s="6">
        <f t="shared" si="6"/>
        <v>15176957.600351669</v>
      </c>
      <c r="P6" s="6">
        <f t="shared" si="10"/>
        <v>0</v>
      </c>
      <c r="Q6" s="6">
        <f t="shared" si="7"/>
        <v>6809384.9831060618</v>
      </c>
      <c r="R6" s="6">
        <f t="shared" si="11"/>
        <v>0</v>
      </c>
      <c r="S6" s="6">
        <f t="shared" si="12"/>
        <v>18784965.474939331</v>
      </c>
      <c r="T6" s="6">
        <f t="shared" si="8"/>
        <v>143755.05828166753</v>
      </c>
      <c r="U6" s="15">
        <f t="shared" si="9"/>
        <v>7.7116804686249854E-3</v>
      </c>
      <c r="X6" t="s">
        <v>89</v>
      </c>
      <c r="Y6" t="s">
        <v>90</v>
      </c>
      <c r="Z6" t="s">
        <v>91</v>
      </c>
      <c r="AA6" t="s">
        <v>92</v>
      </c>
    </row>
    <row r="7" spans="1:33">
      <c r="A7" s="245">
        <v>41061</v>
      </c>
      <c r="B7">
        <f t="shared" si="1"/>
        <v>6</v>
      </c>
      <c r="C7">
        <f t="shared" si="2"/>
        <v>2012</v>
      </c>
      <c r="D7" s="6">
        <f>'Monthly Data'!N7</f>
        <v>19373443.969514765</v>
      </c>
      <c r="E7">
        <v>2.7999999999999989</v>
      </c>
      <c r="F7">
        <v>139.40000000000003</v>
      </c>
      <c r="G7">
        <v>30</v>
      </c>
      <c r="H7">
        <v>0</v>
      </c>
      <c r="I7">
        <f>'Monthly Data'!P7</f>
        <v>430</v>
      </c>
      <c r="J7">
        <f>'Monthly Data'!CJ7</f>
        <v>0</v>
      </c>
      <c r="L7" s="6">
        <f t="shared" si="3"/>
        <v>-4550747.7974309605</v>
      </c>
      <c r="M7" s="6">
        <f t="shared" si="4"/>
        <v>20125.416438808374</v>
      </c>
      <c r="N7" s="6">
        <f t="shared" si="5"/>
        <v>3281033.4020985714</v>
      </c>
      <c r="O7" s="6">
        <f t="shared" si="6"/>
        <v>14687378.322920969</v>
      </c>
      <c r="P7" s="6">
        <f t="shared" si="10"/>
        <v>0</v>
      </c>
      <c r="Q7" s="6">
        <f t="shared" si="7"/>
        <v>6825257.6753743747</v>
      </c>
      <c r="R7" s="6">
        <f t="shared" si="11"/>
        <v>0</v>
      </c>
      <c r="S7" s="6">
        <f t="shared" si="12"/>
        <v>20263047.019401763</v>
      </c>
      <c r="T7" s="6">
        <f t="shared" si="8"/>
        <v>889603.04988699779</v>
      </c>
      <c r="U7" s="15">
        <f t="shared" si="9"/>
        <v>4.5918683910142137E-2</v>
      </c>
      <c r="W7" t="s">
        <v>85</v>
      </c>
      <c r="X7" s="6">
        <v>-4550747.7974309605</v>
      </c>
      <c r="Y7" s="70">
        <v>2096588.19784074</v>
      </c>
      <c r="Z7" s="85">
        <v>-2.17054918181727</v>
      </c>
      <c r="AA7" s="240">
        <v>3.1855359179597698E-2</v>
      </c>
    </row>
    <row r="8" spans="1:33">
      <c r="A8" s="245">
        <v>41091</v>
      </c>
      <c r="B8">
        <f t="shared" si="1"/>
        <v>7</v>
      </c>
      <c r="C8">
        <f t="shared" si="2"/>
        <v>2012</v>
      </c>
      <c r="D8" s="6">
        <f>'Monthly Data'!N8</f>
        <v>23546466.734313264</v>
      </c>
      <c r="E8">
        <v>0</v>
      </c>
      <c r="F8">
        <v>215.9</v>
      </c>
      <c r="G8">
        <v>31</v>
      </c>
      <c r="H8">
        <v>0</v>
      </c>
      <c r="I8">
        <f>'Monthly Data'!P8</f>
        <v>431</v>
      </c>
      <c r="J8">
        <f>'Monthly Data'!CJ8</f>
        <v>0</v>
      </c>
      <c r="L8" s="6">
        <f t="shared" si="3"/>
        <v>-4550747.7974309605</v>
      </c>
      <c r="M8" s="6">
        <f t="shared" si="4"/>
        <v>0</v>
      </c>
      <c r="N8" s="6">
        <f t="shared" si="5"/>
        <v>5081600.513006323</v>
      </c>
      <c r="O8" s="6">
        <f t="shared" si="6"/>
        <v>15176957.600351669</v>
      </c>
      <c r="P8" s="6">
        <f t="shared" si="10"/>
        <v>0</v>
      </c>
      <c r="Q8" s="6">
        <f t="shared" si="7"/>
        <v>6841130.3676426876</v>
      </c>
      <c r="R8" s="6">
        <f t="shared" si="11"/>
        <v>0</v>
      </c>
      <c r="S8" s="6">
        <f t="shared" si="12"/>
        <v>22548940.683569722</v>
      </c>
      <c r="T8" s="6">
        <f t="shared" si="8"/>
        <v>-997526.05074354261</v>
      </c>
      <c r="U8" s="15">
        <f t="shared" si="9"/>
        <v>4.2364150086683296E-2</v>
      </c>
      <c r="W8" t="s">
        <v>179</v>
      </c>
      <c r="X8" s="6">
        <v>7187.6487281458503</v>
      </c>
      <c r="Y8" s="70">
        <v>415.77778521051999</v>
      </c>
      <c r="Z8" s="85">
        <v>17.2872360761327</v>
      </c>
      <c r="AA8" s="240">
        <v>6.0713525690773396E-35</v>
      </c>
      <c r="AG8" s="21"/>
    </row>
    <row r="9" spans="1:33">
      <c r="A9" s="245">
        <v>41122</v>
      </c>
      <c r="B9">
        <f t="shared" si="1"/>
        <v>8</v>
      </c>
      <c r="C9">
        <f t="shared" si="2"/>
        <v>2012</v>
      </c>
      <c r="D9" s="6">
        <f>'Monthly Data'!N9</f>
        <v>21799469.352462463</v>
      </c>
      <c r="E9">
        <v>0</v>
      </c>
      <c r="F9">
        <v>147.50000000000003</v>
      </c>
      <c r="G9">
        <v>31</v>
      </c>
      <c r="H9">
        <v>0</v>
      </c>
      <c r="I9">
        <f>'Monthly Data'!P9</f>
        <v>429</v>
      </c>
      <c r="J9">
        <f>'Monthly Data'!CJ9</f>
        <v>0</v>
      </c>
      <c r="L9" s="6">
        <f t="shared" si="3"/>
        <v>-4550747.7974309605</v>
      </c>
      <c r="M9" s="6">
        <f t="shared" si="4"/>
        <v>0</v>
      </c>
      <c r="N9" s="6">
        <f t="shared" si="5"/>
        <v>3471681.6844299803</v>
      </c>
      <c r="O9" s="6">
        <f t="shared" si="6"/>
        <v>15176957.600351669</v>
      </c>
      <c r="P9" s="6">
        <f t="shared" si="10"/>
        <v>0</v>
      </c>
      <c r="Q9" s="6">
        <f t="shared" si="7"/>
        <v>6809384.9831060618</v>
      </c>
      <c r="R9" s="6">
        <f t="shared" si="11"/>
        <v>0</v>
      </c>
      <c r="S9" s="6">
        <f t="shared" si="12"/>
        <v>20907276.470456749</v>
      </c>
      <c r="T9" s="6">
        <f t="shared" si="8"/>
        <v>-892192.88200571388</v>
      </c>
      <c r="U9" s="15">
        <f t="shared" si="9"/>
        <v>4.0927275227684932E-2</v>
      </c>
      <c r="W9" t="s">
        <v>178</v>
      </c>
      <c r="X9" s="6">
        <v>23536.824979186302</v>
      </c>
      <c r="Y9" s="70">
        <v>1279.09022321732</v>
      </c>
      <c r="Z9" s="85">
        <v>18.4012234258063</v>
      </c>
      <c r="AA9" s="240">
        <v>2.1989117840039399E-37</v>
      </c>
      <c r="AG9" s="21"/>
    </row>
    <row r="10" spans="1:33">
      <c r="A10" s="245">
        <v>41153</v>
      </c>
      <c r="B10">
        <f t="shared" si="1"/>
        <v>9</v>
      </c>
      <c r="C10">
        <f t="shared" si="2"/>
        <v>2012</v>
      </c>
      <c r="D10" s="6">
        <f>'Monthly Data'!N10</f>
        <v>18204589.530658066</v>
      </c>
      <c r="E10">
        <v>26.4</v>
      </c>
      <c r="F10">
        <v>52.199999999999996</v>
      </c>
      <c r="G10">
        <v>30</v>
      </c>
      <c r="H10">
        <v>1</v>
      </c>
      <c r="I10">
        <f>'Monthly Data'!P10</f>
        <v>425</v>
      </c>
      <c r="J10">
        <f>'Monthly Data'!CJ10</f>
        <v>0</v>
      </c>
      <c r="L10" s="6">
        <f t="shared" si="3"/>
        <v>-4550747.7974309605</v>
      </c>
      <c r="M10" s="6">
        <f t="shared" si="4"/>
        <v>189753.92642305043</v>
      </c>
      <c r="N10" s="6">
        <f t="shared" si="5"/>
        <v>1228622.2639135248</v>
      </c>
      <c r="O10" s="6">
        <f t="shared" si="6"/>
        <v>14687378.322920969</v>
      </c>
      <c r="P10" s="6">
        <f t="shared" si="10"/>
        <v>463327.49867077498</v>
      </c>
      <c r="Q10" s="6">
        <f t="shared" si="7"/>
        <v>6745894.214032812</v>
      </c>
      <c r="R10" s="6">
        <f t="shared" si="11"/>
        <v>0</v>
      </c>
      <c r="S10" s="6">
        <f t="shared" si="12"/>
        <v>18764228.428530172</v>
      </c>
      <c r="T10" s="6">
        <f t="shared" si="8"/>
        <v>559638.89787210524</v>
      </c>
      <c r="U10" s="15">
        <f t="shared" si="9"/>
        <v>3.0741637812246526E-2</v>
      </c>
      <c r="W10" t="s">
        <v>93</v>
      </c>
      <c r="X10" s="6">
        <v>489579.27743069897</v>
      </c>
      <c r="Y10" s="70">
        <v>59725.500009099997</v>
      </c>
      <c r="Z10" s="85">
        <v>8.1971566141113108</v>
      </c>
      <c r="AA10" s="240">
        <v>2.4997681382412702E-13</v>
      </c>
      <c r="AG10" s="21"/>
    </row>
    <row r="11" spans="1:33">
      <c r="A11" s="245">
        <v>41183</v>
      </c>
      <c r="B11">
        <f t="shared" si="1"/>
        <v>10</v>
      </c>
      <c r="C11">
        <f t="shared" si="2"/>
        <v>2012</v>
      </c>
      <c r="D11" s="6">
        <f>'Monthly Data'!N11</f>
        <v>18651082.538031064</v>
      </c>
      <c r="E11">
        <v>118.29999999999998</v>
      </c>
      <c r="F11">
        <v>9.8000000000000007</v>
      </c>
      <c r="G11">
        <v>31</v>
      </c>
      <c r="H11">
        <v>1</v>
      </c>
      <c r="I11">
        <f>'Monthly Data'!P11</f>
        <v>430</v>
      </c>
      <c r="J11">
        <f>'Monthly Data'!CJ11</f>
        <v>0</v>
      </c>
      <c r="L11" s="6">
        <f t="shared" si="3"/>
        <v>-4550747.7974309605</v>
      </c>
      <c r="M11" s="6">
        <f t="shared" si="4"/>
        <v>850298.84453965398</v>
      </c>
      <c r="N11" s="6">
        <f t="shared" si="5"/>
        <v>230660.88479602578</v>
      </c>
      <c r="O11" s="6">
        <f t="shared" si="6"/>
        <v>15176957.600351669</v>
      </c>
      <c r="P11" s="6">
        <f t="shared" si="10"/>
        <v>463327.49867077498</v>
      </c>
      <c r="Q11" s="6">
        <f t="shared" si="7"/>
        <v>6825257.6753743747</v>
      </c>
      <c r="R11" s="6">
        <f t="shared" si="11"/>
        <v>0</v>
      </c>
      <c r="S11" s="6">
        <f t="shared" si="12"/>
        <v>18995754.706301536</v>
      </c>
      <c r="T11" s="6">
        <f t="shared" si="8"/>
        <v>344672.16827047244</v>
      </c>
      <c r="U11" s="15">
        <f t="shared" si="9"/>
        <v>1.8480008737705066E-2</v>
      </c>
      <c r="W11" t="s">
        <v>66</v>
      </c>
      <c r="X11" s="6">
        <v>463327.49867077498</v>
      </c>
      <c r="Y11" s="70">
        <v>160337.156412485</v>
      </c>
      <c r="Z11" s="85">
        <v>2.8897075951553899</v>
      </c>
      <c r="AA11" s="240">
        <v>4.5472787239374196E-3</v>
      </c>
    </row>
    <row r="12" spans="1:33">
      <c r="A12" s="245">
        <v>41214</v>
      </c>
      <c r="B12">
        <f t="shared" si="1"/>
        <v>11</v>
      </c>
      <c r="C12">
        <f t="shared" si="2"/>
        <v>2012</v>
      </c>
      <c r="D12" s="6">
        <f>'Monthly Data'!N12</f>
        <v>18582249.065724567</v>
      </c>
      <c r="E12">
        <v>310.49999999999994</v>
      </c>
      <c r="F12">
        <v>0</v>
      </c>
      <c r="G12">
        <v>30</v>
      </c>
      <c r="H12">
        <v>0</v>
      </c>
      <c r="I12">
        <f>'Monthly Data'!P12</f>
        <v>430</v>
      </c>
      <c r="J12">
        <f>'Monthly Data'!CJ12</f>
        <v>0</v>
      </c>
      <c r="L12" s="6">
        <f t="shared" si="3"/>
        <v>-4550747.7974309605</v>
      </c>
      <c r="M12" s="6">
        <f t="shared" si="4"/>
        <v>2231764.9300892861</v>
      </c>
      <c r="N12" s="6">
        <f t="shared" si="5"/>
        <v>0</v>
      </c>
      <c r="O12" s="6">
        <f t="shared" si="6"/>
        <v>14687378.322920969</v>
      </c>
      <c r="P12" s="6">
        <f t="shared" si="10"/>
        <v>0</v>
      </c>
      <c r="Q12" s="6">
        <f t="shared" si="7"/>
        <v>6825257.6753743747</v>
      </c>
      <c r="R12" s="6">
        <f t="shared" si="11"/>
        <v>0</v>
      </c>
      <c r="S12" s="6">
        <f t="shared" si="12"/>
        <v>19193653.13095367</v>
      </c>
      <c r="T12" s="6">
        <f t="shared" si="8"/>
        <v>611404.06522910297</v>
      </c>
      <c r="U12" s="15">
        <f t="shared" si="9"/>
        <v>3.2902586929418214E-2</v>
      </c>
      <c r="W12" t="s">
        <v>8</v>
      </c>
      <c r="X12" s="6">
        <v>15872.692268312499</v>
      </c>
      <c r="Y12" s="70">
        <v>2503.5250594232698</v>
      </c>
      <c r="Z12" s="85">
        <v>6.3401371632241901</v>
      </c>
      <c r="AA12" s="240">
        <v>3.8119335490609597E-9</v>
      </c>
    </row>
    <row r="13" spans="1:33">
      <c r="A13" s="245">
        <v>41244</v>
      </c>
      <c r="B13">
        <f t="shared" si="1"/>
        <v>12</v>
      </c>
      <c r="C13">
        <f t="shared" si="2"/>
        <v>2012</v>
      </c>
      <c r="D13" s="6">
        <f>'Monthly Data'!N13</f>
        <v>20507929.249744967</v>
      </c>
      <c r="E13">
        <v>392.7</v>
      </c>
      <c r="F13">
        <v>0</v>
      </c>
      <c r="G13">
        <v>31</v>
      </c>
      <c r="H13">
        <v>0</v>
      </c>
      <c r="I13">
        <f>'Monthly Data'!P13</f>
        <v>429</v>
      </c>
      <c r="J13">
        <f>'Monthly Data'!CJ13</f>
        <v>0</v>
      </c>
      <c r="L13" s="6">
        <f t="shared" si="3"/>
        <v>-4550747.7974309605</v>
      </c>
      <c r="M13" s="6">
        <f t="shared" si="4"/>
        <v>2822589.6555428752</v>
      </c>
      <c r="N13" s="6">
        <f t="shared" si="5"/>
        <v>0</v>
      </c>
      <c r="O13" s="6">
        <f t="shared" si="6"/>
        <v>15176957.600351669</v>
      </c>
      <c r="P13" s="6">
        <f t="shared" si="10"/>
        <v>0</v>
      </c>
      <c r="Q13" s="6">
        <f t="shared" si="7"/>
        <v>6809384.9831060618</v>
      </c>
      <c r="R13" s="6">
        <f t="shared" si="11"/>
        <v>0</v>
      </c>
      <c r="S13" s="6">
        <f t="shared" si="12"/>
        <v>20258184.441569645</v>
      </c>
      <c r="T13" s="6">
        <f t="shared" si="8"/>
        <v>-249744.80817532167</v>
      </c>
      <c r="U13" s="15">
        <f t="shared" si="9"/>
        <v>1.2177963222611931E-2</v>
      </c>
      <c r="W13" t="s">
        <v>280</v>
      </c>
      <c r="X13" s="6">
        <v>-1425864.93988958</v>
      </c>
      <c r="Y13" s="70">
        <v>405063.56347202201</v>
      </c>
      <c r="Z13" s="85">
        <v>-3.52010170371214</v>
      </c>
      <c r="AA13" s="240">
        <v>6.0259114952798502E-4</v>
      </c>
    </row>
    <row r="14" spans="1:33">
      <c r="A14" s="245">
        <v>41275</v>
      </c>
      <c r="B14">
        <f t="shared" si="1"/>
        <v>1</v>
      </c>
      <c r="C14">
        <f t="shared" si="2"/>
        <v>2013</v>
      </c>
      <c r="D14" s="6">
        <f>'Monthly Data'!N14</f>
        <v>22574878.338350814</v>
      </c>
      <c r="E14">
        <v>520.09999999999991</v>
      </c>
      <c r="F14">
        <v>0</v>
      </c>
      <c r="G14">
        <v>31</v>
      </c>
      <c r="H14">
        <v>0</v>
      </c>
      <c r="I14">
        <f>'Monthly Data'!P14</f>
        <v>432</v>
      </c>
      <c r="J14">
        <f>'Monthly Data'!CJ14</f>
        <v>0</v>
      </c>
      <c r="L14" s="6">
        <f t="shared" si="3"/>
        <v>-4550747.7974309605</v>
      </c>
      <c r="M14" s="6">
        <f t="shared" si="4"/>
        <v>3738296.1035086559</v>
      </c>
      <c r="N14" s="6">
        <f t="shared" si="5"/>
        <v>0</v>
      </c>
      <c r="O14" s="6">
        <f t="shared" si="6"/>
        <v>15176957.600351669</v>
      </c>
      <c r="P14" s="6">
        <f t="shared" si="10"/>
        <v>0</v>
      </c>
      <c r="Q14" s="6">
        <f t="shared" si="7"/>
        <v>6857003.0599109996</v>
      </c>
      <c r="R14" s="6">
        <f t="shared" si="11"/>
        <v>0</v>
      </c>
      <c r="S14" s="6">
        <f t="shared" si="12"/>
        <v>21221508.966340363</v>
      </c>
      <c r="T14" s="6">
        <f t="shared" si="8"/>
        <v>-1353369.3720104508</v>
      </c>
      <c r="U14" s="15">
        <f t="shared" si="9"/>
        <v>5.995023989614643E-2</v>
      </c>
    </row>
    <row r="15" spans="1:33">
      <c r="A15" s="245">
        <v>41306</v>
      </c>
      <c r="B15">
        <f t="shared" si="1"/>
        <v>2</v>
      </c>
      <c r="C15">
        <f t="shared" si="2"/>
        <v>2013</v>
      </c>
      <c r="D15" s="6">
        <f>'Monthly Data'!N15</f>
        <v>18431782.240890011</v>
      </c>
      <c r="E15">
        <v>507.19999999999993</v>
      </c>
      <c r="F15">
        <v>0</v>
      </c>
      <c r="G15">
        <v>28</v>
      </c>
      <c r="H15">
        <v>0</v>
      </c>
      <c r="I15">
        <f>'Monthly Data'!P15</f>
        <v>441</v>
      </c>
      <c r="J15">
        <f>'Monthly Data'!CJ15</f>
        <v>0</v>
      </c>
      <c r="L15" s="6">
        <f t="shared" si="3"/>
        <v>-4550747.7974309605</v>
      </c>
      <c r="M15" s="6">
        <f t="shared" si="4"/>
        <v>3645575.4349155747</v>
      </c>
      <c r="N15" s="6">
        <f t="shared" si="5"/>
        <v>0</v>
      </c>
      <c r="O15" s="6">
        <f t="shared" si="6"/>
        <v>13708219.76805957</v>
      </c>
      <c r="P15" s="6">
        <f t="shared" si="10"/>
        <v>0</v>
      </c>
      <c r="Q15" s="6">
        <f t="shared" si="7"/>
        <v>6999857.2903258121</v>
      </c>
      <c r="R15" s="6">
        <f t="shared" si="11"/>
        <v>0</v>
      </c>
      <c r="S15" s="6">
        <f t="shared" si="12"/>
        <v>19802904.695869997</v>
      </c>
      <c r="T15" s="6">
        <f t="shared" si="8"/>
        <v>1371122.454979986</v>
      </c>
      <c r="U15" s="15">
        <f t="shared" si="9"/>
        <v>7.4389032870528254E-2</v>
      </c>
      <c r="W15" t="s">
        <v>190</v>
      </c>
    </row>
    <row r="16" spans="1:33">
      <c r="A16" s="245">
        <v>41334</v>
      </c>
      <c r="B16">
        <f t="shared" si="1"/>
        <v>3</v>
      </c>
      <c r="C16">
        <f t="shared" si="2"/>
        <v>2013</v>
      </c>
      <c r="D16" s="6">
        <f>'Monthly Data'!N16</f>
        <v>20313644.663039513</v>
      </c>
      <c r="E16">
        <v>435.40000000000015</v>
      </c>
      <c r="F16">
        <v>0</v>
      </c>
      <c r="G16">
        <v>31</v>
      </c>
      <c r="H16">
        <v>0</v>
      </c>
      <c r="I16">
        <f>'Monthly Data'!P16</f>
        <v>440</v>
      </c>
      <c r="J16">
        <f>'Monthly Data'!CJ16</f>
        <v>0</v>
      </c>
      <c r="L16" s="6">
        <f t="shared" si="3"/>
        <v>-4550747.7974309605</v>
      </c>
      <c r="M16" s="6">
        <f t="shared" si="4"/>
        <v>3129502.2562347045</v>
      </c>
      <c r="N16" s="6">
        <f t="shared" si="5"/>
        <v>0</v>
      </c>
      <c r="O16" s="6">
        <f t="shared" si="6"/>
        <v>15176957.600351669</v>
      </c>
      <c r="P16" s="6">
        <f t="shared" si="10"/>
        <v>0</v>
      </c>
      <c r="Q16" s="6">
        <f t="shared" si="7"/>
        <v>6983984.5980575001</v>
      </c>
      <c r="R16" s="6">
        <f t="shared" si="11"/>
        <v>0</v>
      </c>
      <c r="S16" s="6">
        <f t="shared" si="12"/>
        <v>20739696.657212913</v>
      </c>
      <c r="T16" s="6">
        <f t="shared" si="8"/>
        <v>426051.9941734001</v>
      </c>
      <c r="U16" s="15">
        <f t="shared" si="9"/>
        <v>2.0973685482871408E-2</v>
      </c>
      <c r="W16" t="s">
        <v>94</v>
      </c>
      <c r="X16" s="6">
        <v>19256242.9471457</v>
      </c>
      <c r="Y16" t="s">
        <v>95</v>
      </c>
      <c r="Z16" s="6">
        <v>1360826.1331058999</v>
      </c>
    </row>
    <row r="17" spans="1:32">
      <c r="A17" s="245">
        <v>41365</v>
      </c>
      <c r="B17">
        <f t="shared" si="1"/>
        <v>4</v>
      </c>
      <c r="C17">
        <f t="shared" si="2"/>
        <v>2013</v>
      </c>
      <c r="D17" s="6">
        <f>'Monthly Data'!N17</f>
        <v>19283907.481619515</v>
      </c>
      <c r="E17">
        <v>243.3</v>
      </c>
      <c r="F17">
        <v>0.19999999999999929</v>
      </c>
      <c r="G17">
        <v>30</v>
      </c>
      <c r="H17">
        <v>0</v>
      </c>
      <c r="I17">
        <f>'Monthly Data'!P17</f>
        <v>441</v>
      </c>
      <c r="J17">
        <f>'Monthly Data'!CJ17</f>
        <v>0</v>
      </c>
      <c r="L17" s="6">
        <f t="shared" si="3"/>
        <v>-4550747.7974309605</v>
      </c>
      <c r="M17" s="6">
        <f t="shared" si="4"/>
        <v>1748754.9355578856</v>
      </c>
      <c r="N17" s="6">
        <f t="shared" si="5"/>
        <v>4707.3649958372434</v>
      </c>
      <c r="O17" s="6">
        <f t="shared" si="6"/>
        <v>14687378.322920969</v>
      </c>
      <c r="P17" s="6">
        <f t="shared" si="10"/>
        <v>0</v>
      </c>
      <c r="Q17" s="6">
        <f t="shared" si="7"/>
        <v>6999857.2903258121</v>
      </c>
      <c r="R17" s="6">
        <f t="shared" si="11"/>
        <v>0</v>
      </c>
      <c r="S17" s="6">
        <f t="shared" si="12"/>
        <v>18889950.116369542</v>
      </c>
      <c r="T17" s="6">
        <f t="shared" si="8"/>
        <v>-393957.36524997279</v>
      </c>
      <c r="U17" s="15">
        <f t="shared" si="9"/>
        <v>2.042933288419237E-2</v>
      </c>
      <c r="W17" t="s">
        <v>96</v>
      </c>
      <c r="X17" s="241">
        <v>40613020741744</v>
      </c>
      <c r="Y17" t="s">
        <v>97</v>
      </c>
      <c r="Z17" s="6">
        <v>570003.65431631403</v>
      </c>
    </row>
    <row r="18" spans="1:32">
      <c r="A18" s="245">
        <v>41395</v>
      </c>
      <c r="B18">
        <f t="shared" si="1"/>
        <v>5</v>
      </c>
      <c r="C18">
        <f t="shared" si="2"/>
        <v>2013</v>
      </c>
      <c r="D18" s="6">
        <f>'Monthly Data'!N18</f>
        <v>19146377.191588316</v>
      </c>
      <c r="E18">
        <v>66.600000000000009</v>
      </c>
      <c r="F18">
        <v>58.900000000000006</v>
      </c>
      <c r="G18">
        <v>31</v>
      </c>
      <c r="H18">
        <v>0</v>
      </c>
      <c r="I18">
        <f>'Monthly Data'!P18</f>
        <v>440</v>
      </c>
      <c r="J18">
        <f>'Monthly Data'!CJ18</f>
        <v>0</v>
      </c>
      <c r="L18" s="6">
        <f t="shared" si="3"/>
        <v>-4550747.7974309605</v>
      </c>
      <c r="M18" s="6">
        <f t="shared" si="4"/>
        <v>478697.40529451368</v>
      </c>
      <c r="N18" s="6">
        <f t="shared" si="5"/>
        <v>1386318.9912740733</v>
      </c>
      <c r="O18" s="6">
        <f t="shared" si="6"/>
        <v>15176957.600351669</v>
      </c>
      <c r="P18" s="6">
        <f t="shared" si="10"/>
        <v>0</v>
      </c>
      <c r="Q18" s="6">
        <f t="shared" si="7"/>
        <v>6983984.5980575001</v>
      </c>
      <c r="R18" s="6">
        <f t="shared" si="11"/>
        <v>0</v>
      </c>
      <c r="S18" s="6">
        <f t="shared" si="12"/>
        <v>19475210.797546797</v>
      </c>
      <c r="T18" s="6">
        <f t="shared" si="8"/>
        <v>328833.60595848039</v>
      </c>
      <c r="U18" s="15">
        <f t="shared" si="9"/>
        <v>1.7174716797230375E-2</v>
      </c>
      <c r="W18" t="s">
        <v>98</v>
      </c>
      <c r="X18" s="242">
        <v>0.83264309593218</v>
      </c>
      <c r="Y18" t="s">
        <v>99</v>
      </c>
      <c r="Z18" s="120">
        <v>0.82460996453692503</v>
      </c>
      <c r="AF18" s="21"/>
    </row>
    <row r="19" spans="1:32">
      <c r="A19" s="245">
        <v>41426</v>
      </c>
      <c r="B19">
        <f t="shared" si="1"/>
        <v>6</v>
      </c>
      <c r="C19">
        <f t="shared" si="2"/>
        <v>2013</v>
      </c>
      <c r="D19" s="6">
        <f>'Monthly Data'!N19</f>
        <v>18624260.841029517</v>
      </c>
      <c r="E19">
        <v>8</v>
      </c>
      <c r="F19">
        <v>89.3</v>
      </c>
      <c r="G19">
        <v>30</v>
      </c>
      <c r="H19">
        <v>0</v>
      </c>
      <c r="I19">
        <f>'Monthly Data'!P19</f>
        <v>440</v>
      </c>
      <c r="J19">
        <f>'Monthly Data'!CJ19</f>
        <v>0</v>
      </c>
      <c r="L19" s="6">
        <f t="shared" si="3"/>
        <v>-4550747.7974309605</v>
      </c>
      <c r="M19" s="6">
        <f t="shared" si="4"/>
        <v>57501.189825166803</v>
      </c>
      <c r="N19" s="6">
        <f t="shared" si="5"/>
        <v>2101838.4706413369</v>
      </c>
      <c r="O19" s="6">
        <f t="shared" si="6"/>
        <v>14687378.322920969</v>
      </c>
      <c r="P19" s="6">
        <f t="shared" si="10"/>
        <v>0</v>
      </c>
      <c r="Q19" s="6">
        <f t="shared" si="7"/>
        <v>6983984.5980575001</v>
      </c>
      <c r="R19" s="6">
        <f t="shared" si="11"/>
        <v>0</v>
      </c>
      <c r="S19" s="6">
        <f t="shared" si="12"/>
        <v>19279954.784014013</v>
      </c>
      <c r="T19" s="6">
        <f t="shared" si="8"/>
        <v>655693.94298449531</v>
      </c>
      <c r="U19" s="15">
        <f t="shared" si="9"/>
        <v>3.5206441135102233E-2</v>
      </c>
      <c r="W19" t="s">
        <v>374</v>
      </c>
      <c r="X19" s="244">
        <v>103.482493436534</v>
      </c>
      <c r="Y19" t="s">
        <v>100</v>
      </c>
      <c r="Z19" s="120">
        <v>4.6693805093247E-46</v>
      </c>
    </row>
    <row r="20" spans="1:32">
      <c r="A20" s="245">
        <v>41456</v>
      </c>
      <c r="B20">
        <f t="shared" si="1"/>
        <v>7</v>
      </c>
      <c r="C20">
        <f t="shared" si="2"/>
        <v>2013</v>
      </c>
      <c r="D20" s="6">
        <f>'Monthly Data'!N20</f>
        <v>22473285.336796511</v>
      </c>
      <c r="E20">
        <v>0</v>
      </c>
      <c r="F20">
        <v>173.5</v>
      </c>
      <c r="G20">
        <v>31</v>
      </c>
      <c r="H20">
        <v>0</v>
      </c>
      <c r="I20">
        <f>'Monthly Data'!P20</f>
        <v>430</v>
      </c>
      <c r="J20">
        <f>'Monthly Data'!CJ20</f>
        <v>0</v>
      </c>
      <c r="L20" s="6">
        <f t="shared" si="3"/>
        <v>-4550747.7974309605</v>
      </c>
      <c r="M20" s="6">
        <f t="shared" si="4"/>
        <v>0</v>
      </c>
      <c r="N20" s="6">
        <f t="shared" si="5"/>
        <v>4083639.1338888234</v>
      </c>
      <c r="O20" s="6">
        <f t="shared" si="6"/>
        <v>15176957.600351669</v>
      </c>
      <c r="P20" s="6">
        <f t="shared" si="10"/>
        <v>0</v>
      </c>
      <c r="Q20" s="6">
        <f t="shared" si="7"/>
        <v>6825257.6753743747</v>
      </c>
      <c r="R20" s="6">
        <f t="shared" si="11"/>
        <v>0</v>
      </c>
      <c r="S20" s="6">
        <f t="shared" si="12"/>
        <v>21535106.612183906</v>
      </c>
      <c r="T20" s="6">
        <f t="shared" si="8"/>
        <v>-938178.72461260483</v>
      </c>
      <c r="U20" s="15">
        <f t="shared" si="9"/>
        <v>4.1746398470564647E-2</v>
      </c>
      <c r="W20" t="s">
        <v>101</v>
      </c>
      <c r="X20" s="243">
        <v>8.8121059443264892E-3</v>
      </c>
      <c r="Y20" t="s">
        <v>102</v>
      </c>
      <c r="Z20" s="120">
        <v>1.9698108239024701</v>
      </c>
    </row>
    <row r="21" spans="1:32">
      <c r="A21" s="245">
        <v>41487</v>
      </c>
      <c r="B21">
        <f t="shared" si="1"/>
        <v>8</v>
      </c>
      <c r="C21">
        <f t="shared" si="2"/>
        <v>2013</v>
      </c>
      <c r="D21" s="6">
        <f>'Monthly Data'!N21</f>
        <v>20760425.70034701</v>
      </c>
      <c r="E21">
        <v>0</v>
      </c>
      <c r="F21">
        <v>126.10000000000002</v>
      </c>
      <c r="G21">
        <v>31</v>
      </c>
      <c r="H21">
        <v>0</v>
      </c>
      <c r="I21">
        <f>'Monthly Data'!P21</f>
        <v>429</v>
      </c>
      <c r="J21">
        <f>'Monthly Data'!CJ21</f>
        <v>0</v>
      </c>
      <c r="L21" s="6">
        <f t="shared" si="3"/>
        <v>-4550747.7974309605</v>
      </c>
      <c r="M21" s="6">
        <f t="shared" si="4"/>
        <v>0</v>
      </c>
      <c r="N21" s="6">
        <f t="shared" si="5"/>
        <v>2967993.6298753931</v>
      </c>
      <c r="O21" s="6">
        <f t="shared" si="6"/>
        <v>15176957.600351669</v>
      </c>
      <c r="P21" s="6">
        <f t="shared" si="10"/>
        <v>0</v>
      </c>
      <c r="Q21" s="6">
        <f t="shared" si="7"/>
        <v>6809384.9831060618</v>
      </c>
      <c r="R21" s="6">
        <f t="shared" si="11"/>
        <v>0</v>
      </c>
      <c r="S21" s="6">
        <f t="shared" si="12"/>
        <v>20403588.415902164</v>
      </c>
      <c r="T21" s="6">
        <f t="shared" si="8"/>
        <v>-356837.28444484621</v>
      </c>
      <c r="U21" s="15">
        <f t="shared" si="9"/>
        <v>1.7188341395084288E-2</v>
      </c>
    </row>
    <row r="22" spans="1:32">
      <c r="A22" s="245">
        <v>41518</v>
      </c>
      <c r="B22">
        <f t="shared" ref="B22:B85" si="13">MONTH(A22)</f>
        <v>9</v>
      </c>
      <c r="C22">
        <f t="shared" ref="C22:C85" si="14">YEAR(A22)</f>
        <v>2013</v>
      </c>
      <c r="D22" s="6">
        <f>'Monthly Data'!N22</f>
        <v>18500510.052468214</v>
      </c>
      <c r="E22">
        <v>24</v>
      </c>
      <c r="F22">
        <v>58.499999999999993</v>
      </c>
      <c r="G22">
        <v>30</v>
      </c>
      <c r="H22">
        <v>1</v>
      </c>
      <c r="I22">
        <f>'Monthly Data'!P22</f>
        <v>440</v>
      </c>
      <c r="J22">
        <f>'Monthly Data'!CJ22</f>
        <v>0</v>
      </c>
      <c r="L22" s="6">
        <f t="shared" si="3"/>
        <v>-4550747.7974309605</v>
      </c>
      <c r="M22" s="6">
        <f t="shared" si="4"/>
        <v>172503.56947550041</v>
      </c>
      <c r="N22" s="6">
        <f t="shared" si="5"/>
        <v>1376904.2612823986</v>
      </c>
      <c r="O22" s="6">
        <f t="shared" si="6"/>
        <v>14687378.322920969</v>
      </c>
      <c r="P22" s="6">
        <f t="shared" si="10"/>
        <v>463327.49867077498</v>
      </c>
      <c r="Q22" s="6">
        <f t="shared" si="7"/>
        <v>6983984.5980575001</v>
      </c>
      <c r="R22" s="6">
        <f t="shared" si="11"/>
        <v>0</v>
      </c>
      <c r="S22" s="6">
        <f t="shared" si="12"/>
        <v>19133350.452976182</v>
      </c>
      <c r="T22" s="6">
        <f t="shared" si="8"/>
        <v>632840.40050796792</v>
      </c>
      <c r="U22" s="15">
        <f t="shared" si="9"/>
        <v>3.4206646125604444E-2</v>
      </c>
    </row>
    <row r="23" spans="1:32">
      <c r="A23" s="245">
        <v>41548</v>
      </c>
      <c r="B23">
        <f t="shared" si="13"/>
        <v>10</v>
      </c>
      <c r="C23">
        <f t="shared" si="14"/>
        <v>2013</v>
      </c>
      <c r="D23" s="6">
        <f>'Monthly Data'!N23</f>
        <v>20153921.133393314</v>
      </c>
      <c r="E23">
        <v>111.4</v>
      </c>
      <c r="F23">
        <v>14.300000000000004</v>
      </c>
      <c r="G23">
        <v>31</v>
      </c>
      <c r="H23">
        <v>1</v>
      </c>
      <c r="I23">
        <f>'Monthly Data'!P23</f>
        <v>433</v>
      </c>
      <c r="J23">
        <f>'Monthly Data'!CJ23</f>
        <v>0</v>
      </c>
      <c r="L23" s="6">
        <f t="shared" si="3"/>
        <v>-4550747.7974309605</v>
      </c>
      <c r="M23" s="6">
        <f t="shared" si="4"/>
        <v>800704.06831544777</v>
      </c>
      <c r="N23" s="6">
        <f t="shared" si="5"/>
        <v>336576.59720236424</v>
      </c>
      <c r="O23" s="6">
        <f t="shared" si="6"/>
        <v>15176957.600351669</v>
      </c>
      <c r="P23" s="6">
        <f t="shared" si="10"/>
        <v>463327.49867077498</v>
      </c>
      <c r="Q23" s="6">
        <f t="shared" si="7"/>
        <v>6872875.7521793125</v>
      </c>
      <c r="R23" s="6">
        <f t="shared" si="11"/>
        <v>0</v>
      </c>
      <c r="S23" s="6">
        <f t="shared" si="12"/>
        <v>19099693.71928861</v>
      </c>
      <c r="T23" s="6">
        <f t="shared" si="8"/>
        <v>-1054227.4141047038</v>
      </c>
      <c r="U23" s="15">
        <f t="shared" si="9"/>
        <v>5.2308799222099744E-2</v>
      </c>
    </row>
    <row r="24" spans="1:32">
      <c r="A24" s="245">
        <v>41579</v>
      </c>
      <c r="B24">
        <f t="shared" si="13"/>
        <v>11</v>
      </c>
      <c r="C24">
        <f t="shared" si="14"/>
        <v>2013</v>
      </c>
      <c r="D24" s="6">
        <f>'Monthly Data'!N24</f>
        <v>18711865.730132714</v>
      </c>
      <c r="E24">
        <v>345.70000000000005</v>
      </c>
      <c r="F24">
        <v>0</v>
      </c>
      <c r="G24">
        <v>30</v>
      </c>
      <c r="H24">
        <v>0</v>
      </c>
      <c r="I24">
        <f>'Monthly Data'!P24</f>
        <v>405</v>
      </c>
      <c r="J24">
        <f>'Monthly Data'!CJ24</f>
        <v>0</v>
      </c>
      <c r="L24" s="6">
        <f t="shared" si="3"/>
        <v>-4550747.7974309605</v>
      </c>
      <c r="M24" s="6">
        <f t="shared" si="4"/>
        <v>2484770.1653200206</v>
      </c>
      <c r="N24" s="6">
        <f t="shared" si="5"/>
        <v>0</v>
      </c>
      <c r="O24" s="6">
        <f t="shared" si="6"/>
        <v>14687378.322920969</v>
      </c>
      <c r="P24" s="6">
        <f t="shared" si="10"/>
        <v>0</v>
      </c>
      <c r="Q24" s="6">
        <f t="shared" si="7"/>
        <v>6428440.3686665623</v>
      </c>
      <c r="R24" s="6">
        <f t="shared" si="11"/>
        <v>0</v>
      </c>
      <c r="S24" s="6">
        <f t="shared" si="12"/>
        <v>19049841.059476592</v>
      </c>
      <c r="T24" s="6">
        <f t="shared" si="8"/>
        <v>337975.32934387773</v>
      </c>
      <c r="U24" s="15">
        <f t="shared" si="9"/>
        <v>1.8062086069782879E-2</v>
      </c>
    </row>
    <row r="25" spans="1:32">
      <c r="A25" s="245">
        <v>41609</v>
      </c>
      <c r="B25">
        <f t="shared" si="13"/>
        <v>12</v>
      </c>
      <c r="C25">
        <f t="shared" si="14"/>
        <v>2013</v>
      </c>
      <c r="D25" s="6">
        <f>'Monthly Data'!N25</f>
        <v>21202370.883770712</v>
      </c>
      <c r="E25">
        <v>549.6</v>
      </c>
      <c r="F25">
        <v>0</v>
      </c>
      <c r="G25">
        <v>31</v>
      </c>
      <c r="H25">
        <v>0</v>
      </c>
      <c r="I25">
        <f>'Monthly Data'!P25</f>
        <v>399</v>
      </c>
      <c r="J25">
        <f>'Monthly Data'!CJ25</f>
        <v>0</v>
      </c>
      <c r="L25" s="6">
        <f t="shared" si="3"/>
        <v>-4550747.7974309605</v>
      </c>
      <c r="M25" s="6">
        <f t="shared" si="4"/>
        <v>3950331.7409889596</v>
      </c>
      <c r="N25" s="6">
        <f t="shared" si="5"/>
        <v>0</v>
      </c>
      <c r="O25" s="6">
        <f t="shared" si="6"/>
        <v>15176957.600351669</v>
      </c>
      <c r="P25" s="6">
        <f t="shared" si="10"/>
        <v>0</v>
      </c>
      <c r="Q25" s="6">
        <f t="shared" si="7"/>
        <v>6333204.2150566876</v>
      </c>
      <c r="R25" s="6">
        <f t="shared" si="11"/>
        <v>0</v>
      </c>
      <c r="S25" s="6">
        <f t="shared" si="12"/>
        <v>20909745.758966357</v>
      </c>
      <c r="T25" s="6">
        <f t="shared" si="8"/>
        <v>-292625.1248043552</v>
      </c>
      <c r="U25" s="15">
        <f t="shared" si="9"/>
        <v>1.3801528442667899E-2</v>
      </c>
    </row>
    <row r="26" spans="1:32">
      <c r="A26" s="245">
        <v>41640</v>
      </c>
      <c r="B26">
        <f t="shared" si="13"/>
        <v>1</v>
      </c>
      <c r="C26">
        <f t="shared" si="14"/>
        <v>2014</v>
      </c>
      <c r="D26" s="6">
        <f>'Monthly Data'!N26</f>
        <v>21407032.927619025</v>
      </c>
      <c r="E26">
        <v>702.30000000000007</v>
      </c>
      <c r="F26">
        <v>0</v>
      </c>
      <c r="G26">
        <v>31</v>
      </c>
      <c r="H26">
        <v>0</v>
      </c>
      <c r="I26">
        <f>'Monthly Data'!P26</f>
        <v>405</v>
      </c>
      <c r="J26">
        <f>'Monthly Data'!CJ26</f>
        <v>0</v>
      </c>
      <c r="L26" s="6">
        <f t="shared" si="3"/>
        <v>-4550747.7974309605</v>
      </c>
      <c r="M26" s="6">
        <f t="shared" si="4"/>
        <v>5047885.7017768314</v>
      </c>
      <c r="N26" s="6">
        <f t="shared" si="5"/>
        <v>0</v>
      </c>
      <c r="O26" s="6">
        <f t="shared" si="6"/>
        <v>15176957.600351669</v>
      </c>
      <c r="P26" s="6">
        <f t="shared" si="10"/>
        <v>0</v>
      </c>
      <c r="Q26" s="6">
        <f t="shared" si="7"/>
        <v>6428440.3686665623</v>
      </c>
      <c r="R26" s="6">
        <f t="shared" si="11"/>
        <v>0</v>
      </c>
      <c r="S26" s="6">
        <f t="shared" si="12"/>
        <v>22102535.873364102</v>
      </c>
      <c r="T26" s="6">
        <f t="shared" si="8"/>
        <v>695502.94574507698</v>
      </c>
      <c r="U26" s="15">
        <f t="shared" si="9"/>
        <v>3.2489460267412854E-2</v>
      </c>
    </row>
    <row r="27" spans="1:32">
      <c r="A27" s="245">
        <v>41671</v>
      </c>
      <c r="B27">
        <f t="shared" si="13"/>
        <v>2</v>
      </c>
      <c r="C27">
        <f t="shared" si="14"/>
        <v>2014</v>
      </c>
      <c r="D27" s="6">
        <f>'Monthly Data'!N27</f>
        <v>19902756.066625524</v>
      </c>
      <c r="E27">
        <v>651.70000000000005</v>
      </c>
      <c r="F27">
        <v>0</v>
      </c>
      <c r="G27">
        <v>28</v>
      </c>
      <c r="H27">
        <v>0</v>
      </c>
      <c r="I27">
        <f>'Monthly Data'!P27</f>
        <v>405</v>
      </c>
      <c r="J27">
        <f>'Monthly Data'!CJ27</f>
        <v>0</v>
      </c>
      <c r="L27" s="6">
        <f t="shared" si="3"/>
        <v>-4550747.7974309605</v>
      </c>
      <c r="M27" s="6">
        <f t="shared" si="4"/>
        <v>4684190.676132651</v>
      </c>
      <c r="N27" s="6">
        <f t="shared" si="5"/>
        <v>0</v>
      </c>
      <c r="O27" s="6">
        <f t="shared" si="6"/>
        <v>13708219.76805957</v>
      </c>
      <c r="P27" s="6">
        <f t="shared" si="10"/>
        <v>0</v>
      </c>
      <c r="Q27" s="6">
        <f t="shared" si="7"/>
        <v>6428440.3686665623</v>
      </c>
      <c r="R27" s="6">
        <f t="shared" si="11"/>
        <v>0</v>
      </c>
      <c r="S27" s="6">
        <f t="shared" si="12"/>
        <v>20270103.015427824</v>
      </c>
      <c r="T27" s="6">
        <f t="shared" si="8"/>
        <v>367346.9488022998</v>
      </c>
      <c r="U27" s="15">
        <f t="shared" si="9"/>
        <v>1.8457089438899142E-2</v>
      </c>
    </row>
    <row r="28" spans="1:32">
      <c r="A28" s="245">
        <v>41699</v>
      </c>
      <c r="B28">
        <f t="shared" si="13"/>
        <v>3</v>
      </c>
      <c r="C28">
        <f t="shared" si="14"/>
        <v>2014</v>
      </c>
      <c r="D28" s="6">
        <f>'Monthly Data'!N28</f>
        <v>21814873.450316727</v>
      </c>
      <c r="E28">
        <v>561.30000000000007</v>
      </c>
      <c r="F28">
        <v>0</v>
      </c>
      <c r="G28">
        <v>31</v>
      </c>
      <c r="H28">
        <v>0</v>
      </c>
      <c r="I28">
        <f>'Monthly Data'!P28</f>
        <v>406</v>
      </c>
      <c r="J28">
        <f>'Monthly Data'!CJ28</f>
        <v>0</v>
      </c>
      <c r="L28" s="6">
        <f t="shared" si="3"/>
        <v>-4550747.7974309605</v>
      </c>
      <c r="M28" s="6">
        <f t="shared" si="4"/>
        <v>4034427.2311082664</v>
      </c>
      <c r="N28" s="6">
        <f t="shared" si="5"/>
        <v>0</v>
      </c>
      <c r="O28" s="6">
        <f t="shared" si="6"/>
        <v>15176957.600351669</v>
      </c>
      <c r="P28" s="6">
        <f t="shared" si="10"/>
        <v>0</v>
      </c>
      <c r="Q28" s="6">
        <f t="shared" si="7"/>
        <v>6444313.0609348752</v>
      </c>
      <c r="R28" s="6">
        <f t="shared" si="11"/>
        <v>0</v>
      </c>
      <c r="S28" s="6">
        <f t="shared" si="12"/>
        <v>21104950.094963849</v>
      </c>
      <c r="T28" s="6">
        <f t="shared" si="8"/>
        <v>-709923.35535287857</v>
      </c>
      <c r="U28" s="15">
        <f t="shared" si="9"/>
        <v>3.2543088410286941E-2</v>
      </c>
    </row>
    <row r="29" spans="1:32">
      <c r="A29" s="245">
        <v>41730</v>
      </c>
      <c r="B29">
        <f t="shared" si="13"/>
        <v>4</v>
      </c>
      <c r="C29">
        <f t="shared" si="14"/>
        <v>2014</v>
      </c>
      <c r="D29" s="6">
        <f>'Monthly Data'!N29</f>
        <v>18254278.850208424</v>
      </c>
      <c r="E29">
        <v>226.79999999999998</v>
      </c>
      <c r="F29">
        <v>0</v>
      </c>
      <c r="G29">
        <v>30</v>
      </c>
      <c r="H29">
        <v>0</v>
      </c>
      <c r="I29">
        <f>'Monthly Data'!P29</f>
        <v>402</v>
      </c>
      <c r="J29">
        <f>'Monthly Data'!CJ29</f>
        <v>0</v>
      </c>
      <c r="L29" s="6">
        <f t="shared" si="3"/>
        <v>-4550747.7974309605</v>
      </c>
      <c r="M29" s="6">
        <f t="shared" si="4"/>
        <v>1630158.7315434788</v>
      </c>
      <c r="N29" s="6">
        <f t="shared" si="5"/>
        <v>0</v>
      </c>
      <c r="O29" s="6">
        <f t="shared" si="6"/>
        <v>14687378.322920969</v>
      </c>
      <c r="P29" s="6">
        <f t="shared" si="10"/>
        <v>0</v>
      </c>
      <c r="Q29" s="6">
        <f t="shared" si="7"/>
        <v>6380822.2918616245</v>
      </c>
      <c r="R29" s="6">
        <f t="shared" si="11"/>
        <v>0</v>
      </c>
      <c r="S29" s="6">
        <f t="shared" si="12"/>
        <v>18147611.548895109</v>
      </c>
      <c r="T29" s="6">
        <f t="shared" si="8"/>
        <v>-106667.30131331459</v>
      </c>
      <c r="U29" s="15">
        <f t="shared" si="9"/>
        <v>5.8434136011950247E-3</v>
      </c>
    </row>
    <row r="30" spans="1:32">
      <c r="A30" s="245">
        <v>41760</v>
      </c>
      <c r="B30">
        <f t="shared" si="13"/>
        <v>5</v>
      </c>
      <c r="C30">
        <f t="shared" si="14"/>
        <v>2014</v>
      </c>
      <c r="D30" s="6">
        <f>'Monthly Data'!N30</f>
        <v>17259918.534105126</v>
      </c>
      <c r="E30">
        <v>74.099999999999994</v>
      </c>
      <c r="F30">
        <v>27.500000000000004</v>
      </c>
      <c r="G30">
        <v>31</v>
      </c>
      <c r="H30">
        <v>0</v>
      </c>
      <c r="I30">
        <f>'Monthly Data'!P30</f>
        <v>393</v>
      </c>
      <c r="J30">
        <f>'Monthly Data'!CJ30</f>
        <v>0</v>
      </c>
      <c r="L30" s="6">
        <f t="shared" si="3"/>
        <v>-4550747.7974309605</v>
      </c>
      <c r="M30" s="6">
        <f t="shared" si="4"/>
        <v>532604.77075560752</v>
      </c>
      <c r="N30" s="6">
        <f t="shared" si="5"/>
        <v>647262.68692762335</v>
      </c>
      <c r="O30" s="6">
        <f t="shared" si="6"/>
        <v>15176957.600351669</v>
      </c>
      <c r="P30" s="6">
        <f t="shared" si="10"/>
        <v>0</v>
      </c>
      <c r="Q30" s="6">
        <f t="shared" si="7"/>
        <v>6237968.061446812</v>
      </c>
      <c r="R30" s="6">
        <f t="shared" si="11"/>
        <v>0</v>
      </c>
      <c r="S30" s="6">
        <f t="shared" si="12"/>
        <v>18044045.32205075</v>
      </c>
      <c r="T30" s="6">
        <f t="shared" si="8"/>
        <v>784126.78794562444</v>
      </c>
      <c r="U30" s="15">
        <f t="shared" si="9"/>
        <v>4.5430503417279257E-2</v>
      </c>
    </row>
    <row r="31" spans="1:32">
      <c r="A31" s="245">
        <v>41791</v>
      </c>
      <c r="B31">
        <f t="shared" si="13"/>
        <v>6</v>
      </c>
      <c r="C31">
        <f t="shared" si="14"/>
        <v>2014</v>
      </c>
      <c r="D31" s="6">
        <f>'Monthly Data'!N31</f>
        <v>18660682.797031526</v>
      </c>
      <c r="E31">
        <v>3.3000000000000007</v>
      </c>
      <c r="F31">
        <v>96.499999999999986</v>
      </c>
      <c r="G31">
        <v>30</v>
      </c>
      <c r="H31">
        <v>0</v>
      </c>
      <c r="I31">
        <f>'Monthly Data'!P31</f>
        <v>393</v>
      </c>
      <c r="J31">
        <f>'Monthly Data'!CJ31</f>
        <v>0</v>
      </c>
      <c r="L31" s="6">
        <f t="shared" si="3"/>
        <v>-4550747.7974309605</v>
      </c>
      <c r="M31" s="6">
        <f t="shared" si="4"/>
        <v>23719.240802881312</v>
      </c>
      <c r="N31" s="6">
        <f t="shared" si="5"/>
        <v>2271303.6104914779</v>
      </c>
      <c r="O31" s="6">
        <f t="shared" si="6"/>
        <v>14687378.322920969</v>
      </c>
      <c r="P31" s="6">
        <f t="shared" si="10"/>
        <v>0</v>
      </c>
      <c r="Q31" s="6">
        <f t="shared" si="7"/>
        <v>6237968.061446812</v>
      </c>
      <c r="R31" s="6">
        <f t="shared" si="11"/>
        <v>0</v>
      </c>
      <c r="S31" s="6">
        <f t="shared" si="12"/>
        <v>18669621.438231178</v>
      </c>
      <c r="T31" s="6">
        <f t="shared" si="8"/>
        <v>8938.6411996521056</v>
      </c>
      <c r="U31" s="15">
        <f t="shared" si="9"/>
        <v>4.7900933191330128E-4</v>
      </c>
    </row>
    <row r="32" spans="1:32">
      <c r="A32" s="245">
        <v>41821</v>
      </c>
      <c r="B32">
        <f t="shared" si="13"/>
        <v>7</v>
      </c>
      <c r="C32">
        <f t="shared" si="14"/>
        <v>2014</v>
      </c>
      <c r="D32" s="6">
        <f>'Monthly Data'!N32</f>
        <v>20445599.577143326</v>
      </c>
      <c r="E32">
        <v>0</v>
      </c>
      <c r="F32">
        <v>109.60000000000002</v>
      </c>
      <c r="G32">
        <v>31</v>
      </c>
      <c r="H32">
        <v>0</v>
      </c>
      <c r="I32">
        <f>'Monthly Data'!P32</f>
        <v>395</v>
      </c>
      <c r="J32">
        <f>'Monthly Data'!CJ32</f>
        <v>0</v>
      </c>
      <c r="L32" s="6">
        <f t="shared" si="3"/>
        <v>-4550747.7974309605</v>
      </c>
      <c r="M32" s="6">
        <f t="shared" si="4"/>
        <v>0</v>
      </c>
      <c r="N32" s="6">
        <f t="shared" si="5"/>
        <v>2579636.0177188194</v>
      </c>
      <c r="O32" s="6">
        <f t="shared" si="6"/>
        <v>15176957.600351669</v>
      </c>
      <c r="P32" s="6">
        <f t="shared" si="10"/>
        <v>0</v>
      </c>
      <c r="Q32" s="6">
        <f t="shared" si="7"/>
        <v>6269713.4459834369</v>
      </c>
      <c r="R32" s="6">
        <f t="shared" si="11"/>
        <v>0</v>
      </c>
      <c r="S32" s="6">
        <f t="shared" si="12"/>
        <v>19475559.266622964</v>
      </c>
      <c r="T32" s="6">
        <f t="shared" si="8"/>
        <v>-970040.31052036211</v>
      </c>
      <c r="U32" s="15">
        <f t="shared" si="9"/>
        <v>4.7444943194759406E-2</v>
      </c>
    </row>
    <row r="33" spans="1:21">
      <c r="A33" s="245">
        <v>41852</v>
      </c>
      <c r="B33">
        <f t="shared" si="13"/>
        <v>8</v>
      </c>
      <c r="C33">
        <f t="shared" si="14"/>
        <v>2014</v>
      </c>
      <c r="D33" s="6">
        <f>'Monthly Data'!N33</f>
        <v>19474507.788008928</v>
      </c>
      <c r="E33">
        <v>0</v>
      </c>
      <c r="F33">
        <v>113.39999999999999</v>
      </c>
      <c r="G33">
        <v>31</v>
      </c>
      <c r="H33">
        <v>0</v>
      </c>
      <c r="I33">
        <f>'Monthly Data'!P33</f>
        <v>396</v>
      </c>
      <c r="J33">
        <f>'Monthly Data'!CJ33</f>
        <v>0</v>
      </c>
      <c r="L33" s="6">
        <f t="shared" si="3"/>
        <v>-4550747.7974309605</v>
      </c>
      <c r="M33" s="6">
        <f t="shared" si="4"/>
        <v>0</v>
      </c>
      <c r="N33" s="6">
        <f t="shared" si="5"/>
        <v>2669075.9526397265</v>
      </c>
      <c r="O33" s="6">
        <f t="shared" si="6"/>
        <v>15176957.600351669</v>
      </c>
      <c r="P33" s="6">
        <f t="shared" si="10"/>
        <v>0</v>
      </c>
      <c r="Q33" s="6">
        <f t="shared" si="7"/>
        <v>6285586.1382517498</v>
      </c>
      <c r="R33" s="6">
        <f t="shared" si="11"/>
        <v>0</v>
      </c>
      <c r="S33" s="6">
        <f t="shared" si="12"/>
        <v>19580871.893812187</v>
      </c>
      <c r="T33" s="6">
        <f t="shared" si="8"/>
        <v>106364.10580325872</v>
      </c>
      <c r="U33" s="15">
        <f t="shared" si="9"/>
        <v>5.4617095826550478E-3</v>
      </c>
    </row>
    <row r="34" spans="1:21">
      <c r="A34" s="245">
        <v>41883</v>
      </c>
      <c r="B34">
        <f t="shared" si="13"/>
        <v>9</v>
      </c>
      <c r="C34">
        <f t="shared" si="14"/>
        <v>2014</v>
      </c>
      <c r="D34" s="6">
        <f>'Monthly Data'!N34</f>
        <v>18323247.756729726</v>
      </c>
      <c r="E34">
        <v>22.200000000000003</v>
      </c>
      <c r="F34">
        <v>47.5</v>
      </c>
      <c r="G34">
        <v>30</v>
      </c>
      <c r="H34">
        <v>1</v>
      </c>
      <c r="I34">
        <f>'Monthly Data'!P34</f>
        <v>392</v>
      </c>
      <c r="J34">
        <f>'Monthly Data'!CJ34</f>
        <v>0</v>
      </c>
      <c r="L34" s="6">
        <f t="shared" ref="L34:L65" si="15">$X$7</f>
        <v>-4550747.7974309605</v>
      </c>
      <c r="M34" s="6">
        <f t="shared" ref="M34:M65" si="16">E34*$X$8</f>
        <v>159565.8017648379</v>
      </c>
      <c r="N34" s="6">
        <f t="shared" ref="N34:N65" si="17">F34*$X$9</f>
        <v>1117999.1865113494</v>
      </c>
      <c r="O34" s="6">
        <f t="shared" ref="O34:O65" si="18">G34*$X$10</f>
        <v>14687378.322920969</v>
      </c>
      <c r="P34" s="6">
        <f t="shared" si="10"/>
        <v>463327.49867077498</v>
      </c>
      <c r="Q34" s="6">
        <f t="shared" ref="Q34:Q65" si="19">I34*$X$12</f>
        <v>6222095.3691785</v>
      </c>
      <c r="R34" s="6">
        <f t="shared" si="11"/>
        <v>0</v>
      </c>
      <c r="S34" s="6">
        <f t="shared" si="12"/>
        <v>18099618.381615471</v>
      </c>
      <c r="T34" s="6">
        <f t="shared" ref="T34:T65" si="20">S34-D34</f>
        <v>-223629.37511425465</v>
      </c>
      <c r="U34" s="15">
        <f t="shared" ref="U34:U65" si="21">ABS(S34-D34)/D34</f>
        <v>1.2204679982680499E-2</v>
      </c>
    </row>
    <row r="35" spans="1:21">
      <c r="A35" s="245">
        <v>41913</v>
      </c>
      <c r="B35">
        <f t="shared" si="13"/>
        <v>10</v>
      </c>
      <c r="C35">
        <f t="shared" si="14"/>
        <v>2014</v>
      </c>
      <c r="D35" s="6">
        <f>'Monthly Data'!N35</f>
        <v>18647344.273645423</v>
      </c>
      <c r="E35">
        <v>117.00000000000003</v>
      </c>
      <c r="F35">
        <v>4.1999999999999993</v>
      </c>
      <c r="G35">
        <v>31</v>
      </c>
      <c r="H35">
        <v>1</v>
      </c>
      <c r="I35">
        <f>'Monthly Data'!P35</f>
        <v>386</v>
      </c>
      <c r="J35">
        <f>'Monthly Data'!CJ35</f>
        <v>0</v>
      </c>
      <c r="L35" s="6">
        <f t="shared" si="15"/>
        <v>-4550747.7974309605</v>
      </c>
      <c r="M35" s="6">
        <f t="shared" si="16"/>
        <v>840954.90119306464</v>
      </c>
      <c r="N35" s="6">
        <f t="shared" si="17"/>
        <v>98854.664912582448</v>
      </c>
      <c r="O35" s="6">
        <f t="shared" si="18"/>
        <v>15176957.600351669</v>
      </c>
      <c r="P35" s="6">
        <f t="shared" si="10"/>
        <v>463327.49867077498</v>
      </c>
      <c r="Q35" s="6">
        <f t="shared" si="19"/>
        <v>6126859.2155686244</v>
      </c>
      <c r="R35" s="6">
        <f t="shared" si="11"/>
        <v>0</v>
      </c>
      <c r="S35" s="6">
        <f t="shared" si="12"/>
        <v>18156206.083265755</v>
      </c>
      <c r="T35" s="6">
        <f t="shared" si="20"/>
        <v>-491138.19037966803</v>
      </c>
      <c r="U35" s="15">
        <f t="shared" si="21"/>
        <v>2.6338237937388282E-2</v>
      </c>
    </row>
    <row r="36" spans="1:21">
      <c r="A36" s="245">
        <v>41944</v>
      </c>
      <c r="B36">
        <f t="shared" si="13"/>
        <v>11</v>
      </c>
      <c r="C36">
        <f t="shared" si="14"/>
        <v>2014</v>
      </c>
      <c r="D36" s="6">
        <f>'Monthly Data'!N36</f>
        <v>18747695.454941425</v>
      </c>
      <c r="E36">
        <v>363.7</v>
      </c>
      <c r="F36">
        <v>0</v>
      </c>
      <c r="G36">
        <v>30</v>
      </c>
      <c r="H36">
        <v>0</v>
      </c>
      <c r="I36">
        <f>'Monthly Data'!P36</f>
        <v>384</v>
      </c>
      <c r="J36">
        <f>'Monthly Data'!CJ36</f>
        <v>0</v>
      </c>
      <c r="L36" s="6">
        <f t="shared" si="15"/>
        <v>-4550747.7974309605</v>
      </c>
      <c r="M36" s="6">
        <f t="shared" si="16"/>
        <v>2614147.8424266456</v>
      </c>
      <c r="N36" s="6">
        <f t="shared" si="17"/>
        <v>0</v>
      </c>
      <c r="O36" s="6">
        <f t="shared" si="18"/>
        <v>14687378.322920969</v>
      </c>
      <c r="P36" s="6">
        <f t="shared" si="10"/>
        <v>0</v>
      </c>
      <c r="Q36" s="6">
        <f t="shared" si="19"/>
        <v>6095113.8310319996</v>
      </c>
      <c r="R36" s="6">
        <f t="shared" si="11"/>
        <v>0</v>
      </c>
      <c r="S36" s="6">
        <f t="shared" si="12"/>
        <v>18845892.198948655</v>
      </c>
      <c r="T36" s="6">
        <f t="shared" si="20"/>
        <v>98196.744007229805</v>
      </c>
      <c r="U36" s="15">
        <f t="shared" si="21"/>
        <v>5.2378034539358595E-3</v>
      </c>
    </row>
    <row r="37" spans="1:21">
      <c r="A37" s="245">
        <v>41974</v>
      </c>
      <c r="B37">
        <f t="shared" si="13"/>
        <v>12</v>
      </c>
      <c r="C37">
        <f t="shared" si="14"/>
        <v>2014</v>
      </c>
      <c r="D37" s="6">
        <f>'Monthly Data'!N37</f>
        <v>19946857.429488424</v>
      </c>
      <c r="E37">
        <v>418.49999999999989</v>
      </c>
      <c r="F37">
        <v>0</v>
      </c>
      <c r="G37">
        <v>31</v>
      </c>
      <c r="H37">
        <v>0</v>
      </c>
      <c r="I37">
        <f>'Monthly Data'!P37</f>
        <v>385</v>
      </c>
      <c r="J37">
        <f>'Monthly Data'!CJ37</f>
        <v>0</v>
      </c>
      <c r="L37" s="6">
        <f t="shared" si="15"/>
        <v>-4550747.7974309605</v>
      </c>
      <c r="M37" s="6">
        <f t="shared" si="16"/>
        <v>3008030.9927290375</v>
      </c>
      <c r="N37" s="6">
        <f t="shared" si="17"/>
        <v>0</v>
      </c>
      <c r="O37" s="6">
        <f t="shared" si="18"/>
        <v>15176957.600351669</v>
      </c>
      <c r="P37" s="6">
        <f t="shared" si="10"/>
        <v>0</v>
      </c>
      <c r="Q37" s="6">
        <f t="shared" si="19"/>
        <v>6110986.5233003125</v>
      </c>
      <c r="R37" s="6">
        <f t="shared" si="11"/>
        <v>0</v>
      </c>
      <c r="S37" s="6">
        <f t="shared" si="12"/>
        <v>19745227.318950057</v>
      </c>
      <c r="T37" s="6">
        <f t="shared" si="20"/>
        <v>-201630.11053836718</v>
      </c>
      <c r="U37" s="15">
        <f t="shared" si="21"/>
        <v>1.010836475124585E-2</v>
      </c>
    </row>
    <row r="38" spans="1:21">
      <c r="A38" s="245">
        <v>42005</v>
      </c>
      <c r="B38">
        <f t="shared" si="13"/>
        <v>1</v>
      </c>
      <c r="C38">
        <f t="shared" si="14"/>
        <v>2015</v>
      </c>
      <c r="D38" s="6">
        <f>'Monthly Data'!N38</f>
        <v>22107985.779086575</v>
      </c>
      <c r="E38">
        <v>656.8</v>
      </c>
      <c r="F38">
        <v>0</v>
      </c>
      <c r="G38">
        <v>31</v>
      </c>
      <c r="H38">
        <v>0</v>
      </c>
      <c r="I38">
        <f>'Monthly Data'!P38</f>
        <v>391</v>
      </c>
      <c r="J38">
        <f>'Monthly Data'!CJ38</f>
        <v>0</v>
      </c>
      <c r="L38" s="6">
        <f t="shared" si="15"/>
        <v>-4550747.7974309605</v>
      </c>
      <c r="M38" s="6">
        <f t="shared" si="16"/>
        <v>4720847.6846461939</v>
      </c>
      <c r="N38" s="6">
        <f t="shared" si="17"/>
        <v>0</v>
      </c>
      <c r="O38" s="6">
        <f t="shared" si="18"/>
        <v>15176957.600351669</v>
      </c>
      <c r="P38" s="6">
        <f t="shared" si="10"/>
        <v>0</v>
      </c>
      <c r="Q38" s="6">
        <f t="shared" si="19"/>
        <v>6206222.6769101871</v>
      </c>
      <c r="R38" s="6">
        <f t="shared" si="11"/>
        <v>0</v>
      </c>
      <c r="S38" s="6">
        <f t="shared" si="12"/>
        <v>21553280.164477091</v>
      </c>
      <c r="T38" s="6">
        <f t="shared" si="20"/>
        <v>-554705.61460948363</v>
      </c>
      <c r="U38" s="15">
        <f t="shared" si="21"/>
        <v>2.509073509239439E-2</v>
      </c>
    </row>
    <row r="39" spans="1:21">
      <c r="A39" s="245">
        <v>42036</v>
      </c>
      <c r="B39">
        <f t="shared" si="13"/>
        <v>2</v>
      </c>
      <c r="C39">
        <f t="shared" si="14"/>
        <v>2015</v>
      </c>
      <c r="D39" s="6">
        <f>'Monthly Data'!N39</f>
        <v>20769956.780525178</v>
      </c>
      <c r="E39">
        <v>729.1</v>
      </c>
      <c r="F39">
        <v>0</v>
      </c>
      <c r="G39">
        <v>28</v>
      </c>
      <c r="H39">
        <v>0</v>
      </c>
      <c r="I39">
        <f>'Monthly Data'!P39</f>
        <v>392</v>
      </c>
      <c r="J39">
        <f>'Monthly Data'!CJ39</f>
        <v>0</v>
      </c>
      <c r="L39" s="6">
        <f t="shared" si="15"/>
        <v>-4550747.7974309605</v>
      </c>
      <c r="M39" s="6">
        <f t="shared" si="16"/>
        <v>5240514.68769114</v>
      </c>
      <c r="N39" s="6">
        <f t="shared" si="17"/>
        <v>0</v>
      </c>
      <c r="O39" s="6">
        <f t="shared" si="18"/>
        <v>13708219.76805957</v>
      </c>
      <c r="P39" s="6">
        <f t="shared" si="10"/>
        <v>0</v>
      </c>
      <c r="Q39" s="6">
        <f t="shared" si="19"/>
        <v>6222095.3691785</v>
      </c>
      <c r="R39" s="6">
        <f t="shared" si="11"/>
        <v>0</v>
      </c>
      <c r="S39" s="6">
        <f t="shared" si="12"/>
        <v>20620082.027498249</v>
      </c>
      <c r="T39" s="6">
        <f t="shared" si="20"/>
        <v>-149874.75302692875</v>
      </c>
      <c r="U39" s="15">
        <f t="shared" si="21"/>
        <v>7.215939571307047E-3</v>
      </c>
    </row>
    <row r="40" spans="1:21">
      <c r="A40" s="245">
        <v>42064</v>
      </c>
      <c r="B40">
        <f t="shared" si="13"/>
        <v>3</v>
      </c>
      <c r="C40">
        <f t="shared" si="14"/>
        <v>2015</v>
      </c>
      <c r="D40" s="6">
        <f>'Monthly Data'!N40</f>
        <v>20069088.302363276</v>
      </c>
      <c r="E40">
        <v>474.69999999999993</v>
      </c>
      <c r="F40">
        <v>0</v>
      </c>
      <c r="G40">
        <v>31</v>
      </c>
      <c r="H40">
        <v>0</v>
      </c>
      <c r="I40">
        <f>'Monthly Data'!P40</f>
        <v>388</v>
      </c>
      <c r="J40">
        <f>'Monthly Data'!CJ40</f>
        <v>0</v>
      </c>
      <c r="L40" s="6">
        <f t="shared" si="15"/>
        <v>-4550747.7974309605</v>
      </c>
      <c r="M40" s="6">
        <f t="shared" si="16"/>
        <v>3411976.8512508348</v>
      </c>
      <c r="N40" s="6">
        <f t="shared" si="17"/>
        <v>0</v>
      </c>
      <c r="O40" s="6">
        <f t="shared" si="18"/>
        <v>15176957.600351669</v>
      </c>
      <c r="P40" s="6">
        <f t="shared" si="10"/>
        <v>0</v>
      </c>
      <c r="Q40" s="6">
        <f t="shared" si="19"/>
        <v>6158604.6001052493</v>
      </c>
      <c r="R40" s="6">
        <f t="shared" si="11"/>
        <v>0</v>
      </c>
      <c r="S40" s="6">
        <f t="shared" si="12"/>
        <v>20196791.254276793</v>
      </c>
      <c r="T40" s="6">
        <f t="shared" si="20"/>
        <v>127702.95191351697</v>
      </c>
      <c r="U40" s="15">
        <f t="shared" si="21"/>
        <v>6.3631665768533715E-3</v>
      </c>
    </row>
    <row r="41" spans="1:21">
      <c r="A41" s="245">
        <v>42095</v>
      </c>
      <c r="B41">
        <f t="shared" si="13"/>
        <v>4</v>
      </c>
      <c r="C41">
        <f t="shared" si="14"/>
        <v>2015</v>
      </c>
      <c r="D41" s="6">
        <f>'Monthly Data'!N41</f>
        <v>17741254.020058475</v>
      </c>
      <c r="E41">
        <v>210.70000000000005</v>
      </c>
      <c r="F41">
        <v>0</v>
      </c>
      <c r="G41">
        <v>30</v>
      </c>
      <c r="H41">
        <v>0</v>
      </c>
      <c r="I41">
        <f>'Monthly Data'!P41</f>
        <v>383</v>
      </c>
      <c r="J41">
        <f>'Monthly Data'!CJ41</f>
        <v>0</v>
      </c>
      <c r="L41" s="6">
        <f t="shared" si="15"/>
        <v>-4550747.7974309605</v>
      </c>
      <c r="M41" s="6">
        <f t="shared" si="16"/>
        <v>1514437.5870203311</v>
      </c>
      <c r="N41" s="6">
        <f t="shared" si="17"/>
        <v>0</v>
      </c>
      <c r="O41" s="6">
        <f t="shared" si="18"/>
        <v>14687378.322920969</v>
      </c>
      <c r="P41" s="6">
        <f t="shared" si="10"/>
        <v>0</v>
      </c>
      <c r="Q41" s="6">
        <f t="shared" si="19"/>
        <v>6079241.1387636876</v>
      </c>
      <c r="R41" s="6">
        <f t="shared" si="11"/>
        <v>0</v>
      </c>
      <c r="S41" s="6">
        <f t="shared" si="12"/>
        <v>17730309.251274027</v>
      </c>
      <c r="T41" s="6">
        <f t="shared" si="20"/>
        <v>-10944.768784448504</v>
      </c>
      <c r="U41" s="15">
        <f t="shared" si="21"/>
        <v>6.1691066325267742E-4</v>
      </c>
    </row>
    <row r="42" spans="1:21">
      <c r="A42" s="245">
        <v>42125</v>
      </c>
      <c r="B42">
        <f t="shared" si="13"/>
        <v>5</v>
      </c>
      <c r="C42">
        <f t="shared" si="14"/>
        <v>2015</v>
      </c>
      <c r="D42" s="6">
        <f>'Monthly Data'!N42</f>
        <v>17706825.768221878</v>
      </c>
      <c r="E42">
        <v>60</v>
      </c>
      <c r="F42">
        <v>53.500000000000007</v>
      </c>
      <c r="G42">
        <v>31</v>
      </c>
      <c r="H42">
        <v>0</v>
      </c>
      <c r="I42">
        <f>'Monthly Data'!P42</f>
        <v>372</v>
      </c>
      <c r="J42">
        <f>'Monthly Data'!CJ42</f>
        <v>0</v>
      </c>
      <c r="L42" s="6">
        <f t="shared" si="15"/>
        <v>-4550747.7974309605</v>
      </c>
      <c r="M42" s="6">
        <f t="shared" si="16"/>
        <v>431258.92368875101</v>
      </c>
      <c r="N42" s="6">
        <f t="shared" si="17"/>
        <v>1259220.1363864674</v>
      </c>
      <c r="O42" s="6">
        <f t="shared" si="18"/>
        <v>15176957.600351669</v>
      </c>
      <c r="P42" s="6">
        <f t="shared" si="10"/>
        <v>0</v>
      </c>
      <c r="Q42" s="6">
        <f t="shared" si="19"/>
        <v>5904641.5238122502</v>
      </c>
      <c r="R42" s="6">
        <f t="shared" si="11"/>
        <v>0</v>
      </c>
      <c r="S42" s="6">
        <f t="shared" si="12"/>
        <v>18221330.386808176</v>
      </c>
      <c r="T42" s="6">
        <f t="shared" si="20"/>
        <v>514504.61858629808</v>
      </c>
      <c r="U42" s="15">
        <f t="shared" si="21"/>
        <v>2.9056852160914706E-2</v>
      </c>
    </row>
    <row r="43" spans="1:21">
      <c r="A43" s="245">
        <v>42156</v>
      </c>
      <c r="B43">
        <f t="shared" si="13"/>
        <v>6</v>
      </c>
      <c r="C43">
        <f t="shared" si="14"/>
        <v>2015</v>
      </c>
      <c r="D43" s="6">
        <f>'Monthly Data'!N43</f>
        <v>17937111.298871078</v>
      </c>
      <c r="E43">
        <v>11.9</v>
      </c>
      <c r="F43">
        <v>64.5</v>
      </c>
      <c r="G43">
        <v>30</v>
      </c>
      <c r="H43">
        <v>0</v>
      </c>
      <c r="I43">
        <f>'Monthly Data'!P43</f>
        <v>373</v>
      </c>
      <c r="J43">
        <f>'Monthly Data'!CJ43</f>
        <v>0</v>
      </c>
      <c r="L43" s="6">
        <f t="shared" si="15"/>
        <v>-4550747.7974309605</v>
      </c>
      <c r="M43" s="6">
        <f t="shared" si="16"/>
        <v>85533.019864935617</v>
      </c>
      <c r="N43" s="6">
        <f t="shared" si="17"/>
        <v>1518125.2111575166</v>
      </c>
      <c r="O43" s="6">
        <f t="shared" si="18"/>
        <v>14687378.322920969</v>
      </c>
      <c r="P43" s="6">
        <f t="shared" si="10"/>
        <v>0</v>
      </c>
      <c r="Q43" s="6">
        <f t="shared" si="19"/>
        <v>5920514.2160805622</v>
      </c>
      <c r="R43" s="6">
        <f t="shared" si="11"/>
        <v>0</v>
      </c>
      <c r="S43" s="6">
        <f t="shared" si="12"/>
        <v>17660802.972593021</v>
      </c>
      <c r="T43" s="6">
        <f t="shared" si="20"/>
        <v>-276308.32627805695</v>
      </c>
      <c r="U43" s="15">
        <f t="shared" si="21"/>
        <v>1.5404282310242854E-2</v>
      </c>
    </row>
    <row r="44" spans="1:21">
      <c r="A44" s="245">
        <v>42186</v>
      </c>
      <c r="B44">
        <f t="shared" si="13"/>
        <v>7</v>
      </c>
      <c r="C44">
        <f t="shared" si="14"/>
        <v>2015</v>
      </c>
      <c r="D44" s="6">
        <f>'Monthly Data'!N44</f>
        <v>20524868.937950078</v>
      </c>
      <c r="E44">
        <v>0</v>
      </c>
      <c r="F44">
        <v>138.1</v>
      </c>
      <c r="G44">
        <v>31</v>
      </c>
      <c r="H44">
        <v>0</v>
      </c>
      <c r="I44">
        <f>'Monthly Data'!P44</f>
        <v>374</v>
      </c>
      <c r="J44">
        <f>'Monthly Data'!CJ44</f>
        <v>0</v>
      </c>
      <c r="L44" s="6">
        <f t="shared" si="15"/>
        <v>-4550747.7974309605</v>
      </c>
      <c r="M44" s="6">
        <f t="shared" si="16"/>
        <v>0</v>
      </c>
      <c r="N44" s="6">
        <f t="shared" si="17"/>
        <v>3250435.5296256281</v>
      </c>
      <c r="O44" s="6">
        <f t="shared" si="18"/>
        <v>15176957.600351669</v>
      </c>
      <c r="P44" s="6">
        <f t="shared" si="10"/>
        <v>0</v>
      </c>
      <c r="Q44" s="6">
        <f t="shared" si="19"/>
        <v>5936386.9083488751</v>
      </c>
      <c r="R44" s="6">
        <f t="shared" si="11"/>
        <v>0</v>
      </c>
      <c r="S44" s="6">
        <f t="shared" si="12"/>
        <v>19813032.240895212</v>
      </c>
      <c r="T44" s="6">
        <f t="shared" si="20"/>
        <v>-711836.6970548667</v>
      </c>
      <c r="U44" s="15">
        <f t="shared" si="21"/>
        <v>3.4681668331567016E-2</v>
      </c>
    </row>
    <row r="45" spans="1:21">
      <c r="A45" s="245">
        <v>42217</v>
      </c>
      <c r="B45">
        <f t="shared" si="13"/>
        <v>8</v>
      </c>
      <c r="C45">
        <f t="shared" si="14"/>
        <v>2015</v>
      </c>
      <c r="D45" s="6">
        <f>'Monthly Data'!N45</f>
        <v>19671171.254714578</v>
      </c>
      <c r="E45">
        <v>0</v>
      </c>
      <c r="F45">
        <v>132.59999999999997</v>
      </c>
      <c r="G45">
        <v>31</v>
      </c>
      <c r="H45">
        <v>0</v>
      </c>
      <c r="I45">
        <f>'Monthly Data'!P45</f>
        <v>375</v>
      </c>
      <c r="J45">
        <f>'Monthly Data'!CJ45</f>
        <v>0</v>
      </c>
      <c r="L45" s="6">
        <f t="shared" si="15"/>
        <v>-4550747.7974309605</v>
      </c>
      <c r="M45" s="6">
        <f t="shared" si="16"/>
        <v>0</v>
      </c>
      <c r="N45" s="6">
        <f t="shared" si="17"/>
        <v>3120982.992240103</v>
      </c>
      <c r="O45" s="6">
        <f t="shared" si="18"/>
        <v>15176957.600351669</v>
      </c>
      <c r="P45" s="6">
        <f t="shared" si="10"/>
        <v>0</v>
      </c>
      <c r="Q45" s="6">
        <f t="shared" si="19"/>
        <v>5952259.6006171871</v>
      </c>
      <c r="R45" s="6">
        <f t="shared" si="11"/>
        <v>0</v>
      </c>
      <c r="S45" s="6">
        <f t="shared" si="12"/>
        <v>19699452.395778</v>
      </c>
      <c r="T45" s="6">
        <f t="shared" si="20"/>
        <v>28281.141063421965</v>
      </c>
      <c r="U45" s="15">
        <f t="shared" si="21"/>
        <v>1.4376948223987344E-3</v>
      </c>
    </row>
    <row r="46" spans="1:21">
      <c r="A46" s="245">
        <v>42248</v>
      </c>
      <c r="B46">
        <f t="shared" si="13"/>
        <v>9</v>
      </c>
      <c r="C46">
        <f t="shared" si="14"/>
        <v>2015</v>
      </c>
      <c r="D46" s="6">
        <f>'Monthly Data'!N46</f>
        <v>19122866.463099476</v>
      </c>
      <c r="E46">
        <v>1.5999999999999996</v>
      </c>
      <c r="F46">
        <v>117.69999999999999</v>
      </c>
      <c r="G46">
        <v>30</v>
      </c>
      <c r="H46">
        <v>1</v>
      </c>
      <c r="I46">
        <f>'Monthly Data'!P46</f>
        <v>375</v>
      </c>
      <c r="J46">
        <f>'Monthly Data'!CJ46</f>
        <v>0</v>
      </c>
      <c r="L46" s="6">
        <f t="shared" si="15"/>
        <v>-4550747.7974309605</v>
      </c>
      <c r="M46" s="6">
        <f t="shared" si="16"/>
        <v>11500.237965033359</v>
      </c>
      <c r="N46" s="6">
        <f t="shared" si="17"/>
        <v>2770284.3000502274</v>
      </c>
      <c r="O46" s="6">
        <f t="shared" si="18"/>
        <v>14687378.322920969</v>
      </c>
      <c r="P46" s="6">
        <f t="shared" si="10"/>
        <v>463327.49867077498</v>
      </c>
      <c r="Q46" s="6">
        <f t="shared" si="19"/>
        <v>5952259.6006171871</v>
      </c>
      <c r="R46" s="6">
        <f t="shared" si="11"/>
        <v>0</v>
      </c>
      <c r="S46" s="6">
        <f t="shared" si="12"/>
        <v>19334002.162793234</v>
      </c>
      <c r="T46" s="6">
        <f t="shared" si="20"/>
        <v>211135.69969375804</v>
      </c>
      <c r="U46" s="15">
        <f t="shared" si="21"/>
        <v>1.1041006854342521E-2</v>
      </c>
    </row>
    <row r="47" spans="1:21">
      <c r="A47" s="245">
        <v>42278</v>
      </c>
      <c r="B47">
        <f t="shared" si="13"/>
        <v>10</v>
      </c>
      <c r="C47">
        <f t="shared" si="14"/>
        <v>2015</v>
      </c>
      <c r="D47" s="6">
        <f>'Monthly Data'!N47</f>
        <v>18089215.969800577</v>
      </c>
      <c r="E47">
        <v>102.69999999999999</v>
      </c>
      <c r="F47">
        <v>1.6999999999999993</v>
      </c>
      <c r="G47">
        <v>31</v>
      </c>
      <c r="H47">
        <v>1</v>
      </c>
      <c r="I47">
        <f>'Monthly Data'!P47</f>
        <v>376</v>
      </c>
      <c r="J47">
        <f>'Monthly Data'!CJ47</f>
        <v>0</v>
      </c>
      <c r="L47" s="6">
        <f t="shared" si="15"/>
        <v>-4550747.7974309605</v>
      </c>
      <c r="M47" s="6">
        <f t="shared" si="16"/>
        <v>738171.52438057878</v>
      </c>
      <c r="N47" s="6">
        <f t="shared" si="17"/>
        <v>40012.602464616699</v>
      </c>
      <c r="O47" s="6">
        <f t="shared" si="18"/>
        <v>15176957.600351669</v>
      </c>
      <c r="P47" s="6">
        <f t="shared" si="10"/>
        <v>463327.49867077498</v>
      </c>
      <c r="Q47" s="6">
        <f t="shared" si="19"/>
        <v>5968132.2928855</v>
      </c>
      <c r="R47" s="6">
        <f t="shared" si="11"/>
        <v>0</v>
      </c>
      <c r="S47" s="6">
        <f t="shared" si="12"/>
        <v>17835853.721322179</v>
      </c>
      <c r="T47" s="6">
        <f t="shared" si="20"/>
        <v>-253362.24847839773</v>
      </c>
      <c r="U47" s="15">
        <f t="shared" si="21"/>
        <v>1.4006259248680467E-2</v>
      </c>
    </row>
    <row r="48" spans="1:21">
      <c r="A48" s="245">
        <v>42309</v>
      </c>
      <c r="B48">
        <f t="shared" si="13"/>
        <v>11</v>
      </c>
      <c r="C48">
        <f t="shared" si="14"/>
        <v>2015</v>
      </c>
      <c r="D48" s="6">
        <f>'Monthly Data'!N48</f>
        <v>17026534.805204477</v>
      </c>
      <c r="E48">
        <v>208.1</v>
      </c>
      <c r="F48">
        <v>1.3000000000000007</v>
      </c>
      <c r="G48">
        <v>30</v>
      </c>
      <c r="H48">
        <v>0</v>
      </c>
      <c r="I48">
        <f>'Monthly Data'!P48</f>
        <v>377</v>
      </c>
      <c r="J48">
        <f>'Monthly Data'!CJ48</f>
        <v>0</v>
      </c>
      <c r="L48" s="6">
        <f t="shared" si="15"/>
        <v>-4550747.7974309605</v>
      </c>
      <c r="M48" s="6">
        <f t="shared" si="16"/>
        <v>1495749.7003271515</v>
      </c>
      <c r="N48" s="6">
        <f t="shared" si="17"/>
        <v>30597.87247294221</v>
      </c>
      <c r="O48" s="6">
        <f t="shared" si="18"/>
        <v>14687378.322920969</v>
      </c>
      <c r="P48" s="6">
        <f t="shared" si="10"/>
        <v>0</v>
      </c>
      <c r="Q48" s="6">
        <f t="shared" si="19"/>
        <v>5984004.985153812</v>
      </c>
      <c r="R48" s="6">
        <f t="shared" si="11"/>
        <v>0</v>
      </c>
      <c r="S48" s="6">
        <f t="shared" si="12"/>
        <v>17646983.083443914</v>
      </c>
      <c r="T48" s="6">
        <f t="shared" si="20"/>
        <v>620448.27823943645</v>
      </c>
      <c r="U48" s="15">
        <f t="shared" si="21"/>
        <v>3.6440079284352382E-2</v>
      </c>
    </row>
    <row r="49" spans="1:21">
      <c r="A49" s="245">
        <v>42339</v>
      </c>
      <c r="B49">
        <f t="shared" si="13"/>
        <v>12</v>
      </c>
      <c r="C49">
        <f t="shared" si="14"/>
        <v>2015</v>
      </c>
      <c r="D49" s="6">
        <f>'Monthly Data'!N49</f>
        <v>19197412.819288578</v>
      </c>
      <c r="E49">
        <v>308.40000000000003</v>
      </c>
      <c r="F49">
        <v>0</v>
      </c>
      <c r="G49">
        <v>31</v>
      </c>
      <c r="H49">
        <v>0</v>
      </c>
      <c r="I49">
        <f>'Monthly Data'!P49</f>
        <v>371</v>
      </c>
      <c r="J49">
        <f>'Monthly Data'!CJ49</f>
        <v>0</v>
      </c>
      <c r="L49" s="6">
        <f t="shared" si="15"/>
        <v>-4550747.7974309605</v>
      </c>
      <c r="M49" s="6">
        <f t="shared" si="16"/>
        <v>2216670.8677601805</v>
      </c>
      <c r="N49" s="6">
        <f t="shared" si="17"/>
        <v>0</v>
      </c>
      <c r="O49" s="6">
        <f t="shared" si="18"/>
        <v>15176957.600351669</v>
      </c>
      <c r="P49" s="6">
        <f t="shared" si="10"/>
        <v>0</v>
      </c>
      <c r="Q49" s="6">
        <f t="shared" si="19"/>
        <v>5888768.8315439373</v>
      </c>
      <c r="R49" s="6">
        <f t="shared" si="11"/>
        <v>0</v>
      </c>
      <c r="S49" s="6">
        <f t="shared" si="12"/>
        <v>18731649.502224825</v>
      </c>
      <c r="T49" s="6">
        <f t="shared" si="20"/>
        <v>-465763.31706375256</v>
      </c>
      <c r="U49" s="15">
        <f t="shared" si="21"/>
        <v>2.4261775346924738E-2</v>
      </c>
    </row>
    <row r="50" spans="1:21">
      <c r="A50" s="245">
        <v>42370</v>
      </c>
      <c r="B50">
        <f t="shared" si="13"/>
        <v>1</v>
      </c>
      <c r="C50">
        <f t="shared" si="14"/>
        <v>2016</v>
      </c>
      <c r="D50" s="6">
        <f>'Monthly Data'!N50</f>
        <v>20964753.748990208</v>
      </c>
      <c r="E50">
        <v>527.49999999999989</v>
      </c>
      <c r="F50">
        <v>0</v>
      </c>
      <c r="G50">
        <v>31</v>
      </c>
      <c r="H50">
        <v>0</v>
      </c>
      <c r="I50">
        <f>'Monthly Data'!P50</f>
        <v>378</v>
      </c>
      <c r="J50">
        <f>'Monthly Data'!CJ50</f>
        <v>0</v>
      </c>
      <c r="L50" s="6">
        <f t="shared" si="15"/>
        <v>-4550747.7974309605</v>
      </c>
      <c r="M50" s="6">
        <f t="shared" si="16"/>
        <v>3791484.7040969352</v>
      </c>
      <c r="N50" s="6">
        <f t="shared" si="17"/>
        <v>0</v>
      </c>
      <c r="O50" s="6">
        <f t="shared" si="18"/>
        <v>15176957.600351669</v>
      </c>
      <c r="P50" s="6">
        <f t="shared" si="10"/>
        <v>0</v>
      </c>
      <c r="Q50" s="6">
        <f t="shared" si="19"/>
        <v>5999877.6774221249</v>
      </c>
      <c r="R50" s="6">
        <f t="shared" si="11"/>
        <v>0</v>
      </c>
      <c r="S50" s="6">
        <f t="shared" si="12"/>
        <v>20417572.184439771</v>
      </c>
      <c r="T50" s="6">
        <f t="shared" si="20"/>
        <v>-547181.56455043703</v>
      </c>
      <c r="U50" s="15">
        <f t="shared" si="21"/>
        <v>2.6100071152841121E-2</v>
      </c>
    </row>
    <row r="51" spans="1:21">
      <c r="A51" s="245">
        <v>42401</v>
      </c>
      <c r="B51">
        <f t="shared" si="13"/>
        <v>2</v>
      </c>
      <c r="C51">
        <f t="shared" si="14"/>
        <v>2016</v>
      </c>
      <c r="D51" s="6">
        <f>'Monthly Data'!N51</f>
        <v>19381333.29994791</v>
      </c>
      <c r="E51">
        <v>466.3</v>
      </c>
      <c r="F51">
        <v>0</v>
      </c>
      <c r="G51">
        <v>29</v>
      </c>
      <c r="H51">
        <v>0</v>
      </c>
      <c r="I51">
        <f>'Monthly Data'!P51</f>
        <v>384</v>
      </c>
      <c r="J51">
        <f>'Monthly Data'!CJ51</f>
        <v>0</v>
      </c>
      <c r="L51" s="6">
        <f t="shared" si="15"/>
        <v>-4550747.7974309605</v>
      </c>
      <c r="M51" s="6">
        <f t="shared" si="16"/>
        <v>3351600.6019344102</v>
      </c>
      <c r="N51" s="6">
        <f t="shared" si="17"/>
        <v>0</v>
      </c>
      <c r="O51" s="6">
        <f t="shared" si="18"/>
        <v>14197799.04549027</v>
      </c>
      <c r="P51" s="6">
        <f t="shared" si="10"/>
        <v>0</v>
      </c>
      <c r="Q51" s="6">
        <f t="shared" si="19"/>
        <v>6095113.8310319996</v>
      </c>
      <c r="R51" s="6">
        <f t="shared" si="11"/>
        <v>0</v>
      </c>
      <c r="S51" s="6">
        <f t="shared" si="12"/>
        <v>19093765.681025721</v>
      </c>
      <c r="T51" s="6">
        <f t="shared" si="20"/>
        <v>-287567.61892218888</v>
      </c>
      <c r="U51" s="15">
        <f t="shared" si="21"/>
        <v>1.4837349653491681E-2</v>
      </c>
    </row>
    <row r="52" spans="1:21">
      <c r="A52" s="245">
        <v>42430</v>
      </c>
      <c r="B52">
        <f t="shared" si="13"/>
        <v>3</v>
      </c>
      <c r="C52">
        <f t="shared" si="14"/>
        <v>2016</v>
      </c>
      <c r="D52" s="6">
        <f>'Monthly Data'!N52</f>
        <v>19024870.469088204</v>
      </c>
      <c r="E52">
        <v>316.90000000000003</v>
      </c>
      <c r="F52">
        <v>0</v>
      </c>
      <c r="G52">
        <v>31</v>
      </c>
      <c r="H52">
        <v>0</v>
      </c>
      <c r="I52">
        <f>'Monthly Data'!P52</f>
        <v>382</v>
      </c>
      <c r="J52">
        <f>'Monthly Data'!CJ52</f>
        <v>0</v>
      </c>
      <c r="L52" s="6">
        <f t="shared" si="15"/>
        <v>-4550747.7974309605</v>
      </c>
      <c r="M52" s="6">
        <f t="shared" si="16"/>
        <v>2277765.8819494201</v>
      </c>
      <c r="N52" s="6">
        <f t="shared" si="17"/>
        <v>0</v>
      </c>
      <c r="O52" s="6">
        <f t="shared" si="18"/>
        <v>15176957.600351669</v>
      </c>
      <c r="P52" s="6">
        <f t="shared" si="10"/>
        <v>0</v>
      </c>
      <c r="Q52" s="6">
        <f t="shared" si="19"/>
        <v>6063368.4464953747</v>
      </c>
      <c r="R52" s="6">
        <f t="shared" si="11"/>
        <v>0</v>
      </c>
      <c r="S52" s="6">
        <f t="shared" si="12"/>
        <v>18967344.1313655</v>
      </c>
      <c r="T52" s="6">
        <f t="shared" si="20"/>
        <v>-57526.337722703815</v>
      </c>
      <c r="U52" s="15">
        <f t="shared" si="21"/>
        <v>3.0237439890154925E-3</v>
      </c>
    </row>
    <row r="53" spans="1:21">
      <c r="A53" s="245">
        <v>42461</v>
      </c>
      <c r="B53">
        <f t="shared" si="13"/>
        <v>4</v>
      </c>
      <c r="C53">
        <f t="shared" si="14"/>
        <v>2016</v>
      </c>
      <c r="D53" s="6">
        <f>'Monthly Data'!N53</f>
        <v>17881855.054593407</v>
      </c>
      <c r="E53">
        <v>272.60000000000002</v>
      </c>
      <c r="F53">
        <v>0</v>
      </c>
      <c r="G53">
        <v>30</v>
      </c>
      <c r="H53">
        <v>0</v>
      </c>
      <c r="I53">
        <f>'Monthly Data'!P53</f>
        <v>382</v>
      </c>
      <c r="J53">
        <f>'Monthly Data'!CJ53</f>
        <v>0</v>
      </c>
      <c r="L53" s="6">
        <f t="shared" si="15"/>
        <v>-4550747.7974309605</v>
      </c>
      <c r="M53" s="6">
        <f t="shared" si="16"/>
        <v>1959353.043292559</v>
      </c>
      <c r="N53" s="6">
        <f t="shared" si="17"/>
        <v>0</v>
      </c>
      <c r="O53" s="6">
        <f t="shared" si="18"/>
        <v>14687378.322920969</v>
      </c>
      <c r="P53" s="6">
        <f t="shared" si="10"/>
        <v>0</v>
      </c>
      <c r="Q53" s="6">
        <f t="shared" si="19"/>
        <v>6063368.4464953747</v>
      </c>
      <c r="R53" s="6">
        <f t="shared" si="11"/>
        <v>0</v>
      </c>
      <c r="S53" s="6">
        <f t="shared" si="12"/>
        <v>18159352.015277945</v>
      </c>
      <c r="T53" s="6">
        <f t="shared" si="20"/>
        <v>277496.96068453789</v>
      </c>
      <c r="U53" s="15">
        <f t="shared" si="21"/>
        <v>1.5518354210865599E-2</v>
      </c>
    </row>
    <row r="54" spans="1:21">
      <c r="A54" s="245">
        <v>42491</v>
      </c>
      <c r="B54">
        <f t="shared" si="13"/>
        <v>5</v>
      </c>
      <c r="C54">
        <f t="shared" si="14"/>
        <v>2016</v>
      </c>
      <c r="D54" s="6">
        <f>'Monthly Data'!N54</f>
        <v>18761773.513984606</v>
      </c>
      <c r="E54">
        <v>84.6</v>
      </c>
      <c r="F54">
        <v>47.8</v>
      </c>
      <c r="G54">
        <v>31</v>
      </c>
      <c r="H54">
        <v>0</v>
      </c>
      <c r="I54">
        <f>'Monthly Data'!P54</f>
        <v>371</v>
      </c>
      <c r="J54">
        <f>'Monthly Data'!CJ54</f>
        <v>0</v>
      </c>
      <c r="L54" s="6">
        <f t="shared" si="15"/>
        <v>-4550747.7974309605</v>
      </c>
      <c r="M54" s="6">
        <f t="shared" si="16"/>
        <v>608075.08240113885</v>
      </c>
      <c r="N54" s="6">
        <f t="shared" si="17"/>
        <v>1125060.2340051052</v>
      </c>
      <c r="O54" s="6">
        <f t="shared" si="18"/>
        <v>15176957.600351669</v>
      </c>
      <c r="P54" s="6">
        <f t="shared" si="10"/>
        <v>0</v>
      </c>
      <c r="Q54" s="6">
        <f t="shared" si="19"/>
        <v>5888768.8315439373</v>
      </c>
      <c r="R54" s="6">
        <f t="shared" si="11"/>
        <v>0</v>
      </c>
      <c r="S54" s="6">
        <f t="shared" si="12"/>
        <v>18248113.95087089</v>
      </c>
      <c r="T54" s="6">
        <f t="shared" si="20"/>
        <v>-513659.5631137155</v>
      </c>
      <c r="U54" s="15">
        <f t="shared" si="21"/>
        <v>2.7377985494326813E-2</v>
      </c>
    </row>
    <row r="55" spans="1:21">
      <c r="A55" s="245">
        <v>42522</v>
      </c>
      <c r="B55">
        <f t="shared" si="13"/>
        <v>6</v>
      </c>
      <c r="C55">
        <f t="shared" si="14"/>
        <v>2016</v>
      </c>
      <c r="D55" s="6">
        <f>'Monthly Data'!N55</f>
        <v>19128253.869357608</v>
      </c>
      <c r="E55">
        <v>3.4000000000000004</v>
      </c>
      <c r="F55">
        <v>87</v>
      </c>
      <c r="G55">
        <v>30</v>
      </c>
      <c r="H55">
        <v>0</v>
      </c>
      <c r="I55">
        <f>'Monthly Data'!P55</f>
        <v>370</v>
      </c>
      <c r="J55">
        <f>'Monthly Data'!CJ55</f>
        <v>0</v>
      </c>
      <c r="L55" s="6">
        <f t="shared" si="15"/>
        <v>-4550747.7974309605</v>
      </c>
      <c r="M55" s="6">
        <f t="shared" si="16"/>
        <v>24438.005675695895</v>
      </c>
      <c r="N55" s="6">
        <f t="shared" si="17"/>
        <v>2047703.7731892082</v>
      </c>
      <c r="O55" s="6">
        <f t="shared" si="18"/>
        <v>14687378.322920969</v>
      </c>
      <c r="P55" s="6">
        <f t="shared" si="10"/>
        <v>0</v>
      </c>
      <c r="Q55" s="6">
        <f t="shared" si="19"/>
        <v>5872896.1392756244</v>
      </c>
      <c r="R55" s="6">
        <f t="shared" si="11"/>
        <v>0</v>
      </c>
      <c r="S55" s="6">
        <f t="shared" si="12"/>
        <v>18081668.443630539</v>
      </c>
      <c r="T55" s="6">
        <f t="shared" si="20"/>
        <v>-1046585.4257270694</v>
      </c>
      <c r="U55" s="15">
        <f t="shared" si="21"/>
        <v>5.471411206036117E-2</v>
      </c>
    </row>
    <row r="56" spans="1:21">
      <c r="A56" s="245">
        <v>42552</v>
      </c>
      <c r="B56">
        <f t="shared" si="13"/>
        <v>7</v>
      </c>
      <c r="C56">
        <f t="shared" si="14"/>
        <v>2016</v>
      </c>
      <c r="D56" s="6">
        <f>'Monthly Data'!N56</f>
        <v>20805794.785203606</v>
      </c>
      <c r="E56">
        <v>0</v>
      </c>
      <c r="F56">
        <v>196.80000000000004</v>
      </c>
      <c r="G56">
        <v>31</v>
      </c>
      <c r="H56">
        <v>0</v>
      </c>
      <c r="I56">
        <f>'Monthly Data'!P56</f>
        <v>371</v>
      </c>
      <c r="J56">
        <f>'Monthly Data'!CJ56</f>
        <v>0</v>
      </c>
      <c r="L56" s="6">
        <f t="shared" si="15"/>
        <v>-4550747.7974309605</v>
      </c>
      <c r="M56" s="6">
        <f t="shared" si="16"/>
        <v>0</v>
      </c>
      <c r="N56" s="6">
        <f t="shared" si="17"/>
        <v>4632047.1559038656</v>
      </c>
      <c r="O56" s="6">
        <f t="shared" si="18"/>
        <v>15176957.600351669</v>
      </c>
      <c r="P56" s="6">
        <f t="shared" si="10"/>
        <v>0</v>
      </c>
      <c r="Q56" s="6">
        <f t="shared" si="19"/>
        <v>5888768.8315439373</v>
      </c>
      <c r="R56" s="6">
        <f t="shared" si="11"/>
        <v>0</v>
      </c>
      <c r="S56" s="6">
        <f t="shared" si="12"/>
        <v>21147025.790368512</v>
      </c>
      <c r="T56" s="6">
        <f t="shared" si="20"/>
        <v>341231.00516490638</v>
      </c>
      <c r="U56" s="15">
        <f t="shared" si="21"/>
        <v>1.6400767607665657E-2</v>
      </c>
    </row>
    <row r="57" spans="1:21">
      <c r="A57" s="245">
        <v>42583</v>
      </c>
      <c r="B57">
        <f t="shared" si="13"/>
        <v>8</v>
      </c>
      <c r="C57">
        <f t="shared" si="14"/>
        <v>2016</v>
      </c>
      <c r="D57" s="6">
        <f>'Monthly Data'!N57</f>
        <v>22155803.565557607</v>
      </c>
      <c r="E57">
        <v>0</v>
      </c>
      <c r="F57">
        <v>222.59999999999997</v>
      </c>
      <c r="G57">
        <v>31</v>
      </c>
      <c r="H57">
        <v>0</v>
      </c>
      <c r="I57">
        <f>'Monthly Data'!P57</f>
        <v>374</v>
      </c>
      <c r="J57">
        <f>'Monthly Data'!CJ57</f>
        <v>0</v>
      </c>
      <c r="L57" s="6">
        <f t="shared" si="15"/>
        <v>-4550747.7974309605</v>
      </c>
      <c r="M57" s="6">
        <f t="shared" si="16"/>
        <v>0</v>
      </c>
      <c r="N57" s="6">
        <f t="shared" si="17"/>
        <v>5239297.2403668696</v>
      </c>
      <c r="O57" s="6">
        <f t="shared" si="18"/>
        <v>15176957.600351669</v>
      </c>
      <c r="P57" s="6">
        <f t="shared" si="10"/>
        <v>0</v>
      </c>
      <c r="Q57" s="6">
        <f t="shared" si="19"/>
        <v>5936386.9083488751</v>
      </c>
      <c r="R57" s="6">
        <f t="shared" si="11"/>
        <v>0</v>
      </c>
      <c r="S57" s="6">
        <f t="shared" si="12"/>
        <v>21801893.951636456</v>
      </c>
      <c r="T57" s="6">
        <f t="shared" si="20"/>
        <v>-353909.61392115057</v>
      </c>
      <c r="U57" s="15">
        <f t="shared" si="21"/>
        <v>1.5973675379182463E-2</v>
      </c>
    </row>
    <row r="58" spans="1:21">
      <c r="A58" s="245">
        <v>42614</v>
      </c>
      <c r="B58">
        <f t="shared" si="13"/>
        <v>9</v>
      </c>
      <c r="C58">
        <f t="shared" si="14"/>
        <v>2016</v>
      </c>
      <c r="D58" s="6">
        <f>'Monthly Data'!N58</f>
        <v>19008676.995803408</v>
      </c>
      <c r="E58">
        <v>0.69999999999999929</v>
      </c>
      <c r="F58">
        <v>88.399999999999977</v>
      </c>
      <c r="G58">
        <v>30</v>
      </c>
      <c r="H58">
        <v>1</v>
      </c>
      <c r="I58">
        <f>'Monthly Data'!P58</f>
        <v>375</v>
      </c>
      <c r="J58">
        <f>'Monthly Data'!CJ58</f>
        <v>0</v>
      </c>
      <c r="L58" s="6">
        <f t="shared" si="15"/>
        <v>-4550747.7974309605</v>
      </c>
      <c r="M58" s="6">
        <f t="shared" si="16"/>
        <v>5031.3541097020898</v>
      </c>
      <c r="N58" s="6">
        <f t="shared" si="17"/>
        <v>2080655.3281600685</v>
      </c>
      <c r="O58" s="6">
        <f t="shared" si="18"/>
        <v>14687378.322920969</v>
      </c>
      <c r="P58" s="6">
        <f t="shared" si="10"/>
        <v>463327.49867077498</v>
      </c>
      <c r="Q58" s="6">
        <f t="shared" si="19"/>
        <v>5952259.6006171871</v>
      </c>
      <c r="R58" s="6">
        <f t="shared" si="11"/>
        <v>0</v>
      </c>
      <c r="S58" s="6">
        <f t="shared" si="12"/>
        <v>18637904.30704774</v>
      </c>
      <c r="T58" s="6">
        <f t="shared" si="20"/>
        <v>-370772.6887556687</v>
      </c>
      <c r="U58" s="15">
        <f t="shared" si="21"/>
        <v>1.9505444215687662E-2</v>
      </c>
    </row>
    <row r="59" spans="1:21">
      <c r="A59" s="245">
        <v>42644</v>
      </c>
      <c r="B59">
        <f t="shared" si="13"/>
        <v>10</v>
      </c>
      <c r="C59">
        <f t="shared" si="14"/>
        <v>2016</v>
      </c>
      <c r="D59" s="6">
        <f>'Monthly Data'!N59</f>
        <v>18392236.257128105</v>
      </c>
      <c r="E59">
        <v>97.40000000000002</v>
      </c>
      <c r="F59">
        <v>23.499999999999996</v>
      </c>
      <c r="G59">
        <v>31</v>
      </c>
      <c r="H59">
        <v>1</v>
      </c>
      <c r="I59">
        <f>'Monthly Data'!P59</f>
        <v>371</v>
      </c>
      <c r="J59">
        <f>'Monthly Data'!CJ59</f>
        <v>0</v>
      </c>
      <c r="L59" s="6">
        <f t="shared" si="15"/>
        <v>-4550747.7974309605</v>
      </c>
      <c r="M59" s="6">
        <f t="shared" si="16"/>
        <v>700076.98612140596</v>
      </c>
      <c r="N59" s="6">
        <f t="shared" si="17"/>
        <v>553115.38701087795</v>
      </c>
      <c r="O59" s="6">
        <f t="shared" si="18"/>
        <v>15176957.600351669</v>
      </c>
      <c r="P59" s="6">
        <f t="shared" si="10"/>
        <v>463327.49867077498</v>
      </c>
      <c r="Q59" s="6">
        <f t="shared" si="19"/>
        <v>5888768.8315439373</v>
      </c>
      <c r="R59" s="6">
        <f t="shared" si="11"/>
        <v>0</v>
      </c>
      <c r="S59" s="6">
        <f t="shared" si="12"/>
        <v>18231498.506267704</v>
      </c>
      <c r="T59" s="6">
        <f t="shared" si="20"/>
        <v>-160737.7508604005</v>
      </c>
      <c r="U59" s="15">
        <f t="shared" si="21"/>
        <v>8.7394348687808363E-3</v>
      </c>
    </row>
    <row r="60" spans="1:21">
      <c r="A60" s="245">
        <v>42675</v>
      </c>
      <c r="B60">
        <f t="shared" si="13"/>
        <v>11</v>
      </c>
      <c r="C60">
        <f t="shared" si="14"/>
        <v>2016</v>
      </c>
      <c r="D60" s="6">
        <f>'Monthly Data'!N60</f>
        <v>17676235.196301106</v>
      </c>
      <c r="E60">
        <v>213.29999999999998</v>
      </c>
      <c r="F60">
        <v>0</v>
      </c>
      <c r="G60">
        <v>30</v>
      </c>
      <c r="H60">
        <v>0</v>
      </c>
      <c r="I60">
        <f>'Monthly Data'!P60</f>
        <v>371</v>
      </c>
      <c r="J60">
        <f>'Monthly Data'!CJ60</f>
        <v>0</v>
      </c>
      <c r="L60" s="6">
        <f t="shared" si="15"/>
        <v>-4550747.7974309605</v>
      </c>
      <c r="M60" s="6">
        <f t="shared" si="16"/>
        <v>1533125.4737135097</v>
      </c>
      <c r="N60" s="6">
        <f t="shared" si="17"/>
        <v>0</v>
      </c>
      <c r="O60" s="6">
        <f t="shared" si="18"/>
        <v>14687378.322920969</v>
      </c>
      <c r="P60" s="6">
        <f t="shared" si="10"/>
        <v>0</v>
      </c>
      <c r="Q60" s="6">
        <f t="shared" si="19"/>
        <v>5888768.8315439373</v>
      </c>
      <c r="R60" s="6">
        <f t="shared" si="11"/>
        <v>0</v>
      </c>
      <c r="S60" s="6">
        <f t="shared" si="12"/>
        <v>17558524.830747455</v>
      </c>
      <c r="T60" s="6">
        <f t="shared" si="20"/>
        <v>-117710.36555365101</v>
      </c>
      <c r="U60" s="15">
        <f t="shared" si="21"/>
        <v>6.6592441346493758E-3</v>
      </c>
    </row>
    <row r="61" spans="1:21">
      <c r="A61" s="245">
        <v>42705</v>
      </c>
      <c r="B61">
        <f t="shared" si="13"/>
        <v>12</v>
      </c>
      <c r="C61">
        <f t="shared" si="14"/>
        <v>2016</v>
      </c>
      <c r="D61" s="6">
        <f>'Monthly Data'!N61</f>
        <v>19445977.594531007</v>
      </c>
      <c r="E61">
        <v>500.50000000000006</v>
      </c>
      <c r="F61">
        <v>0</v>
      </c>
      <c r="G61">
        <v>31</v>
      </c>
      <c r="H61">
        <v>0</v>
      </c>
      <c r="I61">
        <f>'Monthly Data'!P61</f>
        <v>371</v>
      </c>
      <c r="J61">
        <f>'Monthly Data'!CJ61</f>
        <v>0</v>
      </c>
      <c r="L61" s="6">
        <f t="shared" si="15"/>
        <v>-4550747.7974309605</v>
      </c>
      <c r="M61" s="6">
        <f t="shared" si="16"/>
        <v>3597418.1884369985</v>
      </c>
      <c r="N61" s="6">
        <f t="shared" si="17"/>
        <v>0</v>
      </c>
      <c r="O61" s="6">
        <f t="shared" si="18"/>
        <v>15176957.600351669</v>
      </c>
      <c r="P61" s="6">
        <f t="shared" si="10"/>
        <v>0</v>
      </c>
      <c r="Q61" s="6">
        <f t="shared" si="19"/>
        <v>5888768.8315439373</v>
      </c>
      <c r="R61" s="6">
        <f t="shared" si="11"/>
        <v>0</v>
      </c>
      <c r="S61" s="6">
        <f t="shared" si="12"/>
        <v>20112396.822901644</v>
      </c>
      <c r="T61" s="6">
        <f t="shared" si="20"/>
        <v>666419.2283706367</v>
      </c>
      <c r="U61" s="15">
        <f t="shared" si="21"/>
        <v>3.4270286753701737E-2</v>
      </c>
    </row>
    <row r="62" spans="1:21">
      <c r="A62" s="245">
        <v>42736</v>
      </c>
      <c r="B62">
        <f t="shared" si="13"/>
        <v>1</v>
      </c>
      <c r="C62">
        <f t="shared" si="14"/>
        <v>2017</v>
      </c>
      <c r="D62" s="6">
        <f>'Monthly Data'!N62</f>
        <v>20405050.233825203</v>
      </c>
      <c r="E62">
        <v>474.3</v>
      </c>
      <c r="F62">
        <v>0</v>
      </c>
      <c r="G62">
        <v>31</v>
      </c>
      <c r="H62">
        <v>0</v>
      </c>
      <c r="I62">
        <f>'Monthly Data'!P62</f>
        <v>384</v>
      </c>
      <c r="J62">
        <f>'Monthly Data'!CJ62</f>
        <v>0</v>
      </c>
      <c r="L62" s="6">
        <f t="shared" si="15"/>
        <v>-4550747.7974309605</v>
      </c>
      <c r="M62" s="6">
        <f t="shared" si="16"/>
        <v>3409101.7917595771</v>
      </c>
      <c r="N62" s="6">
        <f t="shared" si="17"/>
        <v>0</v>
      </c>
      <c r="O62" s="6">
        <f t="shared" si="18"/>
        <v>15176957.600351669</v>
      </c>
      <c r="P62" s="6">
        <f t="shared" si="10"/>
        <v>0</v>
      </c>
      <c r="Q62" s="6">
        <f t="shared" si="19"/>
        <v>6095113.8310319996</v>
      </c>
      <c r="R62" s="6">
        <f t="shared" si="11"/>
        <v>0</v>
      </c>
      <c r="S62" s="6">
        <f t="shared" si="12"/>
        <v>20130425.425712284</v>
      </c>
      <c r="T62" s="6">
        <f t="shared" si="20"/>
        <v>-274624.80811291933</v>
      </c>
      <c r="U62" s="15">
        <f t="shared" si="21"/>
        <v>1.3458668563220547E-2</v>
      </c>
    </row>
    <row r="63" spans="1:21">
      <c r="A63" s="245">
        <v>42767</v>
      </c>
      <c r="B63">
        <f t="shared" si="13"/>
        <v>2</v>
      </c>
      <c r="C63">
        <f t="shared" si="14"/>
        <v>2017</v>
      </c>
      <c r="D63" s="6">
        <f>'Monthly Data'!N63</f>
        <v>18530113.296418317</v>
      </c>
      <c r="E63">
        <v>352.5</v>
      </c>
      <c r="F63">
        <v>0</v>
      </c>
      <c r="G63">
        <v>28</v>
      </c>
      <c r="H63">
        <v>0</v>
      </c>
      <c r="I63">
        <f>'Monthly Data'!P63</f>
        <v>385</v>
      </c>
      <c r="J63">
        <f>'Monthly Data'!CJ63</f>
        <v>0</v>
      </c>
      <c r="L63" s="6">
        <f t="shared" si="15"/>
        <v>-4550747.7974309605</v>
      </c>
      <c r="M63" s="6">
        <f t="shared" si="16"/>
        <v>2533646.1766714123</v>
      </c>
      <c r="N63" s="6">
        <f t="shared" si="17"/>
        <v>0</v>
      </c>
      <c r="O63" s="6">
        <f t="shared" si="18"/>
        <v>13708219.76805957</v>
      </c>
      <c r="P63" s="6">
        <f t="shared" si="10"/>
        <v>0</v>
      </c>
      <c r="Q63" s="6">
        <f t="shared" si="19"/>
        <v>6110986.5233003125</v>
      </c>
      <c r="R63" s="6">
        <f t="shared" si="11"/>
        <v>0</v>
      </c>
      <c r="S63" s="6">
        <f t="shared" si="12"/>
        <v>17802104.670600332</v>
      </c>
      <c r="T63" s="6">
        <f t="shared" si="20"/>
        <v>-728008.62581798434</v>
      </c>
      <c r="U63" s="15">
        <f t="shared" si="21"/>
        <v>3.9287866953231262E-2</v>
      </c>
    </row>
    <row r="64" spans="1:21">
      <c r="A64" s="245">
        <v>42795</v>
      </c>
      <c r="B64">
        <f t="shared" si="13"/>
        <v>3</v>
      </c>
      <c r="C64">
        <f t="shared" si="14"/>
        <v>2017</v>
      </c>
      <c r="D64" s="6">
        <f>'Monthly Data'!N64</f>
        <v>19458491.460847396</v>
      </c>
      <c r="E64">
        <v>410.4</v>
      </c>
      <c r="F64">
        <v>0</v>
      </c>
      <c r="G64">
        <v>31</v>
      </c>
      <c r="H64">
        <v>0</v>
      </c>
      <c r="I64">
        <f>'Monthly Data'!P64</f>
        <v>385</v>
      </c>
      <c r="J64">
        <f>'Monthly Data'!CJ64</f>
        <v>0</v>
      </c>
      <c r="L64" s="6">
        <f t="shared" si="15"/>
        <v>-4550747.7974309605</v>
      </c>
      <c r="M64" s="6">
        <f t="shared" si="16"/>
        <v>2949811.038031057</v>
      </c>
      <c r="N64" s="6">
        <f t="shared" si="17"/>
        <v>0</v>
      </c>
      <c r="O64" s="6">
        <f t="shared" si="18"/>
        <v>15176957.600351669</v>
      </c>
      <c r="P64" s="6">
        <f t="shared" si="10"/>
        <v>0</v>
      </c>
      <c r="Q64" s="6">
        <f t="shared" si="19"/>
        <v>6110986.5233003125</v>
      </c>
      <c r="R64" s="6">
        <f t="shared" si="11"/>
        <v>0</v>
      </c>
      <c r="S64" s="6">
        <f t="shared" si="12"/>
        <v>19687007.364252076</v>
      </c>
      <c r="T64" s="6">
        <f t="shared" si="20"/>
        <v>228515.90340467915</v>
      </c>
      <c r="U64" s="15">
        <f t="shared" si="21"/>
        <v>1.1743762555513517E-2</v>
      </c>
    </row>
    <row r="65" spans="1:21">
      <c r="A65" s="245">
        <v>42826</v>
      </c>
      <c r="B65">
        <f t="shared" si="13"/>
        <v>4</v>
      </c>
      <c r="C65">
        <f t="shared" si="14"/>
        <v>2017</v>
      </c>
      <c r="D65" s="6">
        <f>'Monthly Data'!N65</f>
        <v>17068111.602635372</v>
      </c>
      <c r="E65">
        <v>145.69999999999996</v>
      </c>
      <c r="F65">
        <v>4.6000000000000014</v>
      </c>
      <c r="G65">
        <v>30</v>
      </c>
      <c r="H65">
        <v>0</v>
      </c>
      <c r="I65">
        <f>'Monthly Data'!P65</f>
        <v>384</v>
      </c>
      <c r="J65">
        <f>'Monthly Data'!CJ65</f>
        <v>0</v>
      </c>
      <c r="L65" s="6">
        <f t="shared" si="15"/>
        <v>-4550747.7974309605</v>
      </c>
      <c r="M65" s="6">
        <f t="shared" si="16"/>
        <v>1047240.4196908501</v>
      </c>
      <c r="N65" s="6">
        <f t="shared" si="17"/>
        <v>108269.39490425702</v>
      </c>
      <c r="O65" s="6">
        <f t="shared" si="18"/>
        <v>14687378.322920969</v>
      </c>
      <c r="P65" s="6">
        <f t="shared" si="10"/>
        <v>0</v>
      </c>
      <c r="Q65" s="6">
        <f t="shared" si="19"/>
        <v>6095113.8310319996</v>
      </c>
      <c r="R65" s="6">
        <f t="shared" si="11"/>
        <v>0</v>
      </c>
      <c r="S65" s="6">
        <f t="shared" si="12"/>
        <v>17387254.171117116</v>
      </c>
      <c r="T65" s="6">
        <f t="shared" si="20"/>
        <v>319142.56848174334</v>
      </c>
      <c r="U65" s="15">
        <f t="shared" si="21"/>
        <v>1.8698176805480148E-2</v>
      </c>
    </row>
    <row r="66" spans="1:21">
      <c r="A66" s="245">
        <v>42856</v>
      </c>
      <c r="B66">
        <f t="shared" si="13"/>
        <v>5</v>
      </c>
      <c r="C66">
        <f t="shared" si="14"/>
        <v>2017</v>
      </c>
      <c r="D66" s="6">
        <f>'Monthly Data'!N66</f>
        <v>17303329.619864244</v>
      </c>
      <c r="E66">
        <v>92.100000000000023</v>
      </c>
      <c r="F66">
        <v>25.3</v>
      </c>
      <c r="G66">
        <v>31</v>
      </c>
      <c r="H66">
        <v>0</v>
      </c>
      <c r="I66">
        <f>'Monthly Data'!P66</f>
        <v>383</v>
      </c>
      <c r="J66">
        <f>'Monthly Data'!CJ66</f>
        <v>0</v>
      </c>
      <c r="L66" s="6">
        <f t="shared" ref="L66:L97" si="22">$X$7</f>
        <v>-4550747.7974309605</v>
      </c>
      <c r="M66" s="6">
        <f t="shared" ref="M66:M97" si="23">E66*$X$8</f>
        <v>661982.44786223304</v>
      </c>
      <c r="N66" s="6">
        <f t="shared" ref="N66:N97" si="24">F66*$X$9</f>
        <v>595481.67197341344</v>
      </c>
      <c r="O66" s="6">
        <f t="shared" ref="O66:O97" si="25">G66*$X$10</f>
        <v>15176957.600351669</v>
      </c>
      <c r="P66" s="6">
        <f t="shared" si="10"/>
        <v>0</v>
      </c>
      <c r="Q66" s="6">
        <f t="shared" ref="Q66:Q97" si="26">I66*$X$12</f>
        <v>6079241.1387636876</v>
      </c>
      <c r="R66" s="6">
        <f t="shared" si="11"/>
        <v>0</v>
      </c>
      <c r="S66" s="6">
        <f t="shared" si="12"/>
        <v>17962915.061520044</v>
      </c>
      <c r="T66" s="6">
        <f t="shared" ref="T66:T97" si="27">S66-D66</f>
        <v>659585.44165579975</v>
      </c>
      <c r="U66" s="15">
        <f t="shared" ref="U66:U97" si="28">ABS(S66-D66)/D66</f>
        <v>3.8118989590222849E-2</v>
      </c>
    </row>
    <row r="67" spans="1:21">
      <c r="A67" s="245">
        <v>42887</v>
      </c>
      <c r="B67">
        <f t="shared" si="13"/>
        <v>6</v>
      </c>
      <c r="C67">
        <f t="shared" si="14"/>
        <v>2017</v>
      </c>
      <c r="D67" s="6">
        <f>'Monthly Data'!N67</f>
        <v>18723157.860614162</v>
      </c>
      <c r="E67">
        <v>0.70000000000000107</v>
      </c>
      <c r="F67">
        <v>122.8</v>
      </c>
      <c r="G67">
        <v>30</v>
      </c>
      <c r="H67">
        <v>0</v>
      </c>
      <c r="I67">
        <f>'Monthly Data'!P67</f>
        <v>382</v>
      </c>
      <c r="J67">
        <f>'Monthly Data'!CJ67</f>
        <v>0</v>
      </c>
      <c r="L67" s="6">
        <f t="shared" si="22"/>
        <v>-4550747.7974309605</v>
      </c>
      <c r="M67" s="6">
        <f t="shared" si="23"/>
        <v>5031.3541097021025</v>
      </c>
      <c r="N67" s="6">
        <f t="shared" si="24"/>
        <v>2890322.1074440777</v>
      </c>
      <c r="O67" s="6">
        <f t="shared" si="25"/>
        <v>14687378.322920969</v>
      </c>
      <c r="P67" s="6">
        <f t="shared" ref="P67:P121" si="29">H67*$X$11</f>
        <v>0</v>
      </c>
      <c r="Q67" s="6">
        <f t="shared" si="26"/>
        <v>6063368.4464953747</v>
      </c>
      <c r="R67" s="6">
        <f t="shared" ref="R67:R121" si="30">J67*$X$13</f>
        <v>0</v>
      </c>
      <c r="S67" s="6">
        <f t="shared" ref="S67:S121" si="31">SUM(L67:R67)</f>
        <v>19095352.43353916</v>
      </c>
      <c r="T67" s="6">
        <f t="shared" si="27"/>
        <v>372194.57292499766</v>
      </c>
      <c r="U67" s="15">
        <f t="shared" si="28"/>
        <v>1.9878835381073309E-2</v>
      </c>
    </row>
    <row r="68" spans="1:21">
      <c r="A68" s="245">
        <v>42917</v>
      </c>
      <c r="B68">
        <f t="shared" si="13"/>
        <v>7</v>
      </c>
      <c r="C68">
        <f t="shared" si="14"/>
        <v>2017</v>
      </c>
      <c r="D68" s="6">
        <f>'Monthly Data'!N68</f>
        <v>20650265.274632793</v>
      </c>
      <c r="E68">
        <v>0</v>
      </c>
      <c r="F68">
        <v>170.5</v>
      </c>
      <c r="G68">
        <v>31</v>
      </c>
      <c r="H68">
        <v>0</v>
      </c>
      <c r="I68">
        <f>'Monthly Data'!P68</f>
        <v>381</v>
      </c>
      <c r="J68">
        <f>'Monthly Data'!CJ68</f>
        <v>0</v>
      </c>
      <c r="L68" s="6">
        <f t="shared" si="22"/>
        <v>-4550747.7974309605</v>
      </c>
      <c r="M68" s="6">
        <f t="shared" si="23"/>
        <v>0</v>
      </c>
      <c r="N68" s="6">
        <f t="shared" si="24"/>
        <v>4013028.6589512643</v>
      </c>
      <c r="O68" s="6">
        <f t="shared" si="25"/>
        <v>15176957.600351669</v>
      </c>
      <c r="P68" s="6">
        <f t="shared" si="29"/>
        <v>0</v>
      </c>
      <c r="Q68" s="6">
        <f t="shared" si="26"/>
        <v>6047495.7542270627</v>
      </c>
      <c r="R68" s="6">
        <f t="shared" si="30"/>
        <v>0</v>
      </c>
      <c r="S68" s="6">
        <f t="shared" si="31"/>
        <v>20686734.216099035</v>
      </c>
      <c r="T68" s="6">
        <f t="shared" si="27"/>
        <v>36468.941466242075</v>
      </c>
      <c r="U68" s="15">
        <f t="shared" si="28"/>
        <v>1.7660277474033841E-3</v>
      </c>
    </row>
    <row r="69" spans="1:21">
      <c r="A69" s="245">
        <v>42948</v>
      </c>
      <c r="B69">
        <f t="shared" si="13"/>
        <v>8</v>
      </c>
      <c r="C69">
        <f t="shared" si="14"/>
        <v>2017</v>
      </c>
      <c r="D69" s="6">
        <f>'Monthly Data'!N69</f>
        <v>19470906.219232164</v>
      </c>
      <c r="E69">
        <v>0.80000000000000071</v>
      </c>
      <c r="F69">
        <v>118.19999999999999</v>
      </c>
      <c r="G69">
        <v>31</v>
      </c>
      <c r="H69">
        <v>0</v>
      </c>
      <c r="I69">
        <f>'Monthly Data'!P69</f>
        <v>381</v>
      </c>
      <c r="J69">
        <f>'Monthly Data'!CJ69</f>
        <v>0</v>
      </c>
      <c r="L69" s="6">
        <f t="shared" si="22"/>
        <v>-4550747.7974309605</v>
      </c>
      <c r="M69" s="6">
        <f t="shared" si="23"/>
        <v>5750.1189825166857</v>
      </c>
      <c r="N69" s="6">
        <f t="shared" si="24"/>
        <v>2782052.7125398205</v>
      </c>
      <c r="O69" s="6">
        <f t="shared" si="25"/>
        <v>15176957.600351669</v>
      </c>
      <c r="P69" s="6">
        <f t="shared" si="29"/>
        <v>0</v>
      </c>
      <c r="Q69" s="6">
        <f t="shared" si="26"/>
        <v>6047495.7542270627</v>
      </c>
      <c r="R69" s="6">
        <f t="shared" si="30"/>
        <v>0</v>
      </c>
      <c r="S69" s="6">
        <f t="shared" si="31"/>
        <v>19461508.388670109</v>
      </c>
      <c r="T69" s="6">
        <f t="shared" si="27"/>
        <v>-9397.8305620551109</v>
      </c>
      <c r="U69" s="15">
        <f t="shared" si="28"/>
        <v>4.8266015234424534E-4</v>
      </c>
    </row>
    <row r="70" spans="1:21">
      <c r="A70" s="245">
        <v>42979</v>
      </c>
      <c r="B70">
        <f t="shared" si="13"/>
        <v>9</v>
      </c>
      <c r="C70">
        <f t="shared" si="14"/>
        <v>2017</v>
      </c>
      <c r="D70" s="6">
        <f>'Monthly Data'!N70</f>
        <v>18299077.909161326</v>
      </c>
      <c r="E70">
        <v>13.7</v>
      </c>
      <c r="F70">
        <v>90</v>
      </c>
      <c r="G70">
        <v>30</v>
      </c>
      <c r="H70">
        <v>1</v>
      </c>
      <c r="I70">
        <f>'Monthly Data'!P70</f>
        <v>384</v>
      </c>
      <c r="J70">
        <f>'Monthly Data'!CJ70</f>
        <v>0</v>
      </c>
      <c r="L70" s="6">
        <f t="shared" si="22"/>
        <v>-4550747.7974309605</v>
      </c>
      <c r="M70" s="6">
        <f t="shared" si="23"/>
        <v>98470.787575598151</v>
      </c>
      <c r="N70" s="6">
        <f t="shared" si="24"/>
        <v>2118314.2481267671</v>
      </c>
      <c r="O70" s="6">
        <f t="shared" si="25"/>
        <v>14687378.322920969</v>
      </c>
      <c r="P70" s="6">
        <f t="shared" si="29"/>
        <v>463327.49867077498</v>
      </c>
      <c r="Q70" s="6">
        <f t="shared" si="26"/>
        <v>6095113.8310319996</v>
      </c>
      <c r="R70" s="6">
        <f t="shared" si="30"/>
        <v>0</v>
      </c>
      <c r="S70" s="6">
        <f t="shared" si="31"/>
        <v>18911856.890895147</v>
      </c>
      <c r="T70" s="6">
        <f t="shared" si="27"/>
        <v>612778.98173382133</v>
      </c>
      <c r="U70" s="15">
        <f t="shared" si="28"/>
        <v>3.3486877577970045E-2</v>
      </c>
    </row>
    <row r="71" spans="1:21">
      <c r="A71" s="245">
        <v>43009</v>
      </c>
      <c r="B71">
        <f t="shared" si="13"/>
        <v>10</v>
      </c>
      <c r="C71">
        <f t="shared" si="14"/>
        <v>2017</v>
      </c>
      <c r="D71" s="6">
        <f>'Monthly Data'!N71</f>
        <v>17819323.199973162</v>
      </c>
      <c r="E71">
        <v>74.899999999999991</v>
      </c>
      <c r="F71">
        <v>24.999999999999996</v>
      </c>
      <c r="G71">
        <v>31</v>
      </c>
      <c r="H71">
        <v>1</v>
      </c>
      <c r="I71">
        <f>'Monthly Data'!P71</f>
        <v>385</v>
      </c>
      <c r="J71">
        <f>'Monthly Data'!CJ71</f>
        <v>0</v>
      </c>
      <c r="L71" s="6">
        <f t="shared" si="22"/>
        <v>-4550747.7974309605</v>
      </c>
      <c r="M71" s="6">
        <f t="shared" si="23"/>
        <v>538354.8897381241</v>
      </c>
      <c r="N71" s="6">
        <f t="shared" si="24"/>
        <v>588420.6244796575</v>
      </c>
      <c r="O71" s="6">
        <f t="shared" si="25"/>
        <v>15176957.600351669</v>
      </c>
      <c r="P71" s="6">
        <f t="shared" si="29"/>
        <v>463327.49867077498</v>
      </c>
      <c r="Q71" s="6">
        <f t="shared" si="26"/>
        <v>6110986.5233003125</v>
      </c>
      <c r="R71" s="6">
        <f t="shared" si="30"/>
        <v>0</v>
      </c>
      <c r="S71" s="6">
        <f t="shared" si="31"/>
        <v>18327299.339109577</v>
      </c>
      <c r="T71" s="6">
        <f t="shared" si="27"/>
        <v>507976.13913641497</v>
      </c>
      <c r="U71" s="15">
        <f t="shared" si="28"/>
        <v>2.8507038872114965E-2</v>
      </c>
    </row>
    <row r="72" spans="1:21">
      <c r="A72" s="245">
        <v>43040</v>
      </c>
      <c r="B72">
        <f t="shared" si="13"/>
        <v>11</v>
      </c>
      <c r="C72">
        <f t="shared" si="14"/>
        <v>2017</v>
      </c>
      <c r="D72" s="6">
        <f>'Monthly Data'!N72</f>
        <v>18191086.641311783</v>
      </c>
      <c r="E72">
        <v>311.8</v>
      </c>
      <c r="F72">
        <v>0</v>
      </c>
      <c r="G72">
        <v>30</v>
      </c>
      <c r="H72">
        <v>0</v>
      </c>
      <c r="I72">
        <f>'Monthly Data'!P72</f>
        <v>386</v>
      </c>
      <c r="J72">
        <f>'Monthly Data'!CJ72</f>
        <v>0</v>
      </c>
      <c r="L72" s="6">
        <f t="shared" si="22"/>
        <v>-4550747.7974309605</v>
      </c>
      <c r="M72" s="6">
        <f t="shared" si="23"/>
        <v>2241108.8734358763</v>
      </c>
      <c r="N72" s="6">
        <f t="shared" si="24"/>
        <v>0</v>
      </c>
      <c r="O72" s="6">
        <f t="shared" si="25"/>
        <v>14687378.322920969</v>
      </c>
      <c r="P72" s="6">
        <f t="shared" si="29"/>
        <v>0</v>
      </c>
      <c r="Q72" s="6">
        <f t="shared" si="26"/>
        <v>6126859.2155686244</v>
      </c>
      <c r="R72" s="6">
        <f t="shared" si="30"/>
        <v>0</v>
      </c>
      <c r="S72" s="6">
        <f t="shared" si="31"/>
        <v>18504598.61449451</v>
      </c>
      <c r="T72" s="6">
        <f t="shared" si="27"/>
        <v>313511.97318272665</v>
      </c>
      <c r="U72" s="15">
        <f t="shared" si="28"/>
        <v>1.7234373040186834E-2</v>
      </c>
    </row>
    <row r="73" spans="1:21">
      <c r="A73" s="245">
        <v>43070</v>
      </c>
      <c r="B73">
        <f t="shared" si="13"/>
        <v>12</v>
      </c>
      <c r="C73">
        <f t="shared" si="14"/>
        <v>2017</v>
      </c>
      <c r="D73" s="6">
        <f>'Monthly Data'!N73</f>
        <v>19035131.862352476</v>
      </c>
      <c r="E73">
        <v>558.9</v>
      </c>
      <c r="F73">
        <v>0</v>
      </c>
      <c r="G73">
        <v>31</v>
      </c>
      <c r="H73">
        <v>0</v>
      </c>
      <c r="I73">
        <f>'Monthly Data'!P73</f>
        <v>390</v>
      </c>
      <c r="J73">
        <f>'Monthly Data'!CJ73</f>
        <v>0</v>
      </c>
      <c r="L73" s="6">
        <f t="shared" si="22"/>
        <v>-4550747.7974309605</v>
      </c>
      <c r="M73" s="6">
        <f t="shared" si="23"/>
        <v>4017176.8741607154</v>
      </c>
      <c r="N73" s="6">
        <f t="shared" si="24"/>
        <v>0</v>
      </c>
      <c r="O73" s="6">
        <f t="shared" si="25"/>
        <v>15176957.600351669</v>
      </c>
      <c r="P73" s="6">
        <f t="shared" si="29"/>
        <v>0</v>
      </c>
      <c r="Q73" s="6">
        <f t="shared" si="26"/>
        <v>6190349.9846418751</v>
      </c>
      <c r="R73" s="6">
        <f t="shared" si="30"/>
        <v>0</v>
      </c>
      <c r="S73" s="6">
        <f t="shared" si="31"/>
        <v>20833736.661723301</v>
      </c>
      <c r="T73" s="6">
        <f t="shared" si="27"/>
        <v>1798604.7993708253</v>
      </c>
      <c r="U73" s="15">
        <f t="shared" si="28"/>
        <v>9.4488696604623515E-2</v>
      </c>
    </row>
    <row r="74" spans="1:21">
      <c r="A74" s="245">
        <v>43101</v>
      </c>
      <c r="B74">
        <f t="shared" si="13"/>
        <v>1</v>
      </c>
      <c r="C74">
        <f t="shared" si="14"/>
        <v>2018</v>
      </c>
      <c r="D74" s="6">
        <f>'Monthly Data'!N74</f>
        <v>21215419.540043287</v>
      </c>
      <c r="E74">
        <v>593.49999999999989</v>
      </c>
      <c r="F74">
        <v>0</v>
      </c>
      <c r="G74">
        <v>31</v>
      </c>
      <c r="H74">
        <v>0</v>
      </c>
      <c r="I74">
        <f>'Monthly Data'!P74</f>
        <v>391</v>
      </c>
      <c r="J74">
        <f>'Monthly Data'!CJ74</f>
        <v>0</v>
      </c>
      <c r="L74" s="6">
        <f t="shared" si="22"/>
        <v>-4550747.7974309605</v>
      </c>
      <c r="M74" s="6">
        <f t="shared" si="23"/>
        <v>4265869.5201545609</v>
      </c>
      <c r="N74" s="6">
        <f t="shared" si="24"/>
        <v>0</v>
      </c>
      <c r="O74" s="6">
        <f t="shared" si="25"/>
        <v>15176957.600351669</v>
      </c>
      <c r="P74" s="6">
        <f t="shared" si="29"/>
        <v>0</v>
      </c>
      <c r="Q74" s="6">
        <f t="shared" si="26"/>
        <v>6206222.6769101871</v>
      </c>
      <c r="R74" s="6">
        <f t="shared" si="30"/>
        <v>0</v>
      </c>
      <c r="S74" s="6">
        <f t="shared" si="31"/>
        <v>21098301.999985456</v>
      </c>
      <c r="T74" s="6">
        <f t="shared" si="27"/>
        <v>-117117.54005783051</v>
      </c>
      <c r="U74" s="15">
        <f t="shared" si="28"/>
        <v>5.5203970789630468E-3</v>
      </c>
    </row>
    <row r="75" spans="1:21">
      <c r="A75" s="245">
        <v>43132</v>
      </c>
      <c r="B75">
        <f t="shared" si="13"/>
        <v>2</v>
      </c>
      <c r="C75">
        <f t="shared" si="14"/>
        <v>2018</v>
      </c>
      <c r="D75" s="6">
        <f>'Monthly Data'!N75</f>
        <v>18866164.313090462</v>
      </c>
      <c r="E75">
        <v>456.40000000000003</v>
      </c>
      <c r="F75">
        <v>0</v>
      </c>
      <c r="G75">
        <v>28</v>
      </c>
      <c r="H75">
        <v>0</v>
      </c>
      <c r="I75">
        <f>'Monthly Data'!P75</f>
        <v>391</v>
      </c>
      <c r="J75">
        <f>'Monthly Data'!CJ75</f>
        <v>0</v>
      </c>
      <c r="L75" s="6">
        <f t="shared" si="22"/>
        <v>-4550747.7974309605</v>
      </c>
      <c r="M75" s="6">
        <f t="shared" si="23"/>
        <v>3280442.8795257662</v>
      </c>
      <c r="N75" s="6">
        <f t="shared" si="24"/>
        <v>0</v>
      </c>
      <c r="O75" s="6">
        <f t="shared" si="25"/>
        <v>13708219.76805957</v>
      </c>
      <c r="P75" s="6">
        <f t="shared" si="29"/>
        <v>0</v>
      </c>
      <c r="Q75" s="6">
        <f t="shared" si="26"/>
        <v>6206222.6769101871</v>
      </c>
      <c r="R75" s="6">
        <f t="shared" si="30"/>
        <v>0</v>
      </c>
      <c r="S75" s="6">
        <f t="shared" si="31"/>
        <v>18644137.527064562</v>
      </c>
      <c r="T75" s="6">
        <f t="shared" si="27"/>
        <v>-222026.78602590039</v>
      </c>
      <c r="U75" s="15">
        <f t="shared" si="28"/>
        <v>1.1768517560924934E-2</v>
      </c>
    </row>
    <row r="76" spans="1:21">
      <c r="A76" s="245">
        <v>43160</v>
      </c>
      <c r="B76">
        <f t="shared" si="13"/>
        <v>3</v>
      </c>
      <c r="C76">
        <f t="shared" si="14"/>
        <v>2018</v>
      </c>
      <c r="D76" s="6">
        <f>'Monthly Data'!N76</f>
        <v>19590305.779881623</v>
      </c>
      <c r="E76">
        <v>451.2</v>
      </c>
      <c r="F76">
        <v>0</v>
      </c>
      <c r="G76">
        <v>31</v>
      </c>
      <c r="H76">
        <v>0</v>
      </c>
      <c r="I76">
        <f>'Monthly Data'!P76</f>
        <v>390</v>
      </c>
      <c r="J76">
        <f>'Monthly Data'!CJ76</f>
        <v>0</v>
      </c>
      <c r="L76" s="6">
        <f t="shared" si="22"/>
        <v>-4550747.7974309605</v>
      </c>
      <c r="M76" s="6">
        <f t="shared" si="23"/>
        <v>3243067.1061394075</v>
      </c>
      <c r="N76" s="6">
        <f t="shared" si="24"/>
        <v>0</v>
      </c>
      <c r="O76" s="6">
        <f t="shared" si="25"/>
        <v>15176957.600351669</v>
      </c>
      <c r="P76" s="6">
        <f t="shared" si="29"/>
        <v>0</v>
      </c>
      <c r="Q76" s="6">
        <f t="shared" si="26"/>
        <v>6190349.9846418751</v>
      </c>
      <c r="R76" s="6">
        <f t="shared" si="30"/>
        <v>0</v>
      </c>
      <c r="S76" s="6">
        <f t="shared" si="31"/>
        <v>20059626.893701993</v>
      </c>
      <c r="T76" s="6">
        <f t="shared" si="27"/>
        <v>469321.11382037029</v>
      </c>
      <c r="U76" s="15">
        <f t="shared" si="28"/>
        <v>2.3956803895442118E-2</v>
      </c>
    </row>
    <row r="77" spans="1:21">
      <c r="A77" s="245">
        <v>43191</v>
      </c>
      <c r="B77">
        <f t="shared" si="13"/>
        <v>4</v>
      </c>
      <c r="C77">
        <f t="shared" si="14"/>
        <v>2018</v>
      </c>
      <c r="D77" s="6">
        <f>'Monthly Data'!N77</f>
        <v>18011213.958728224</v>
      </c>
      <c r="E77">
        <v>312.00000000000006</v>
      </c>
      <c r="F77">
        <v>0</v>
      </c>
      <c r="G77">
        <v>30</v>
      </c>
      <c r="H77">
        <v>0</v>
      </c>
      <c r="I77">
        <f>'Monthly Data'!P77</f>
        <v>391</v>
      </c>
      <c r="J77">
        <f>'Monthly Data'!CJ77</f>
        <v>0</v>
      </c>
      <c r="L77" s="6">
        <f t="shared" si="22"/>
        <v>-4550747.7974309605</v>
      </c>
      <c r="M77" s="6">
        <f t="shared" si="23"/>
        <v>2242546.4031815059</v>
      </c>
      <c r="N77" s="6">
        <f t="shared" si="24"/>
        <v>0</v>
      </c>
      <c r="O77" s="6">
        <f t="shared" si="25"/>
        <v>14687378.322920969</v>
      </c>
      <c r="P77" s="6">
        <f t="shared" si="29"/>
        <v>0</v>
      </c>
      <c r="Q77" s="6">
        <f t="shared" si="26"/>
        <v>6206222.6769101871</v>
      </c>
      <c r="R77" s="6">
        <f t="shared" si="30"/>
        <v>0</v>
      </c>
      <c r="S77" s="6">
        <f t="shared" si="31"/>
        <v>18585399.605581701</v>
      </c>
      <c r="T77" s="6">
        <f t="shared" si="27"/>
        <v>574185.64685347676</v>
      </c>
      <c r="U77" s="15">
        <f t="shared" si="28"/>
        <v>3.1879341846096206E-2</v>
      </c>
    </row>
    <row r="78" spans="1:21">
      <c r="A78" s="245">
        <v>43221</v>
      </c>
      <c r="B78">
        <f t="shared" si="13"/>
        <v>5</v>
      </c>
      <c r="C78">
        <f t="shared" si="14"/>
        <v>2018</v>
      </c>
      <c r="D78" s="6">
        <f>'Monthly Data'!N78</f>
        <v>18513560.80069286</v>
      </c>
      <c r="E78">
        <v>47.5</v>
      </c>
      <c r="F78">
        <v>63.900000000000006</v>
      </c>
      <c r="G78">
        <v>31</v>
      </c>
      <c r="H78">
        <v>0</v>
      </c>
      <c r="I78">
        <f>'Monthly Data'!P78</f>
        <v>391</v>
      </c>
      <c r="J78">
        <f>'Monthly Data'!CJ78</f>
        <v>0</v>
      </c>
      <c r="L78" s="6">
        <f t="shared" si="22"/>
        <v>-4550747.7974309605</v>
      </c>
      <c r="M78" s="6">
        <f t="shared" si="23"/>
        <v>341413.31458692788</v>
      </c>
      <c r="N78" s="6">
        <f t="shared" si="24"/>
        <v>1504003.1161700047</v>
      </c>
      <c r="O78" s="6">
        <f t="shared" si="25"/>
        <v>15176957.600351669</v>
      </c>
      <c r="P78" s="6">
        <f t="shared" si="29"/>
        <v>0</v>
      </c>
      <c r="Q78" s="6">
        <f t="shared" si="26"/>
        <v>6206222.6769101871</v>
      </c>
      <c r="R78" s="6">
        <f t="shared" si="30"/>
        <v>0</v>
      </c>
      <c r="S78" s="6">
        <f t="shared" si="31"/>
        <v>18677848.910587829</v>
      </c>
      <c r="T78" s="6">
        <f t="shared" si="27"/>
        <v>164288.10989496857</v>
      </c>
      <c r="U78" s="15">
        <f t="shared" si="28"/>
        <v>8.8739336351124944E-3</v>
      </c>
    </row>
    <row r="79" spans="1:21">
      <c r="A79" s="245">
        <v>43252</v>
      </c>
      <c r="B79">
        <f t="shared" si="13"/>
        <v>6</v>
      </c>
      <c r="C79">
        <f t="shared" si="14"/>
        <v>2018</v>
      </c>
      <c r="D79" s="6">
        <f>'Monthly Data'!N79</f>
        <v>17879570.687290974</v>
      </c>
      <c r="E79">
        <v>5.2999999999999989</v>
      </c>
      <c r="F79">
        <v>92.40000000000002</v>
      </c>
      <c r="G79">
        <v>30</v>
      </c>
      <c r="H79">
        <v>0</v>
      </c>
      <c r="I79">
        <f>'Monthly Data'!P79</f>
        <v>391</v>
      </c>
      <c r="J79">
        <f>'Monthly Data'!CJ79</f>
        <v>0</v>
      </c>
      <c r="L79" s="6">
        <f t="shared" si="22"/>
        <v>-4550747.7974309605</v>
      </c>
      <c r="M79" s="6">
        <f t="shared" si="23"/>
        <v>38094.538259173001</v>
      </c>
      <c r="N79" s="6">
        <f t="shared" si="24"/>
        <v>2174802.6280768146</v>
      </c>
      <c r="O79" s="6">
        <f t="shared" si="25"/>
        <v>14687378.322920969</v>
      </c>
      <c r="P79" s="6">
        <f t="shared" si="29"/>
        <v>0</v>
      </c>
      <c r="Q79" s="6">
        <f t="shared" si="26"/>
        <v>6206222.6769101871</v>
      </c>
      <c r="R79" s="6">
        <f t="shared" si="30"/>
        <v>0</v>
      </c>
      <c r="S79" s="6">
        <f t="shared" si="31"/>
        <v>18555750.368736181</v>
      </c>
      <c r="T79" s="6">
        <f t="shared" si="27"/>
        <v>676179.68144520745</v>
      </c>
      <c r="U79" s="15">
        <f t="shared" si="28"/>
        <v>3.7818563614944317E-2</v>
      </c>
    </row>
    <row r="80" spans="1:21">
      <c r="A80" s="245">
        <v>43282</v>
      </c>
      <c r="B80">
        <f t="shared" si="13"/>
        <v>7</v>
      </c>
      <c r="C80">
        <f t="shared" si="14"/>
        <v>2018</v>
      </c>
      <c r="D80" s="6">
        <f>'Monthly Data'!N80</f>
        <v>20694832.372938544</v>
      </c>
      <c r="E80">
        <v>0</v>
      </c>
      <c r="F80">
        <v>176.00000000000003</v>
      </c>
      <c r="G80">
        <v>31</v>
      </c>
      <c r="H80">
        <v>0</v>
      </c>
      <c r="I80">
        <f>'Monthly Data'!P80</f>
        <v>391</v>
      </c>
      <c r="J80">
        <f>'Monthly Data'!CJ80</f>
        <v>0</v>
      </c>
      <c r="L80" s="6">
        <f t="shared" si="22"/>
        <v>-4550747.7974309605</v>
      </c>
      <c r="M80" s="6">
        <f t="shared" si="23"/>
        <v>0</v>
      </c>
      <c r="N80" s="6">
        <f t="shared" si="24"/>
        <v>4142481.19633679</v>
      </c>
      <c r="O80" s="6">
        <f t="shared" si="25"/>
        <v>15176957.600351669</v>
      </c>
      <c r="P80" s="6">
        <f t="shared" si="29"/>
        <v>0</v>
      </c>
      <c r="Q80" s="6">
        <f t="shared" si="26"/>
        <v>6206222.6769101871</v>
      </c>
      <c r="R80" s="6">
        <f t="shared" si="30"/>
        <v>0</v>
      </c>
      <c r="S80" s="6">
        <f t="shared" si="31"/>
        <v>20974913.676167686</v>
      </c>
      <c r="T80" s="6">
        <f t="shared" si="27"/>
        <v>280081.30322914198</v>
      </c>
      <c r="U80" s="15">
        <f t="shared" si="28"/>
        <v>1.353387638913125E-2</v>
      </c>
    </row>
    <row r="81" spans="1:21">
      <c r="A81" s="245">
        <v>43313</v>
      </c>
      <c r="B81">
        <f t="shared" si="13"/>
        <v>8</v>
      </c>
      <c r="C81">
        <f t="shared" si="14"/>
        <v>2018</v>
      </c>
      <c r="D81" s="6">
        <f>'Monthly Data'!N81</f>
        <v>21436002.837038804</v>
      </c>
      <c r="E81">
        <v>0</v>
      </c>
      <c r="F81">
        <v>188.29999999999995</v>
      </c>
      <c r="G81">
        <v>31</v>
      </c>
      <c r="H81">
        <v>0</v>
      </c>
      <c r="I81">
        <f>'Monthly Data'!P81</f>
        <v>391</v>
      </c>
      <c r="J81">
        <f>'Monthly Data'!CJ81</f>
        <v>0</v>
      </c>
      <c r="L81" s="6">
        <f t="shared" si="22"/>
        <v>-4550747.7974309605</v>
      </c>
      <c r="M81" s="6">
        <f t="shared" si="23"/>
        <v>0</v>
      </c>
      <c r="N81" s="6">
        <f t="shared" si="24"/>
        <v>4431984.1435807794</v>
      </c>
      <c r="O81" s="6">
        <f t="shared" si="25"/>
        <v>15176957.600351669</v>
      </c>
      <c r="P81" s="6">
        <f t="shared" si="29"/>
        <v>0</v>
      </c>
      <c r="Q81" s="6">
        <f t="shared" si="26"/>
        <v>6206222.6769101871</v>
      </c>
      <c r="R81" s="6">
        <f t="shared" si="30"/>
        <v>0</v>
      </c>
      <c r="S81" s="6">
        <f t="shared" si="31"/>
        <v>21264416.623411674</v>
      </c>
      <c r="T81" s="6">
        <f t="shared" si="27"/>
        <v>-171586.21362712979</v>
      </c>
      <c r="U81" s="15">
        <f t="shared" si="28"/>
        <v>8.0045806548714252E-3</v>
      </c>
    </row>
    <row r="82" spans="1:21">
      <c r="A82" s="245">
        <v>43344</v>
      </c>
      <c r="B82">
        <f t="shared" si="13"/>
        <v>9</v>
      </c>
      <c r="C82">
        <f t="shared" si="14"/>
        <v>2018</v>
      </c>
      <c r="D82" s="6">
        <f>'Monthly Data'!N82</f>
        <v>19085586.756315149</v>
      </c>
      <c r="E82">
        <v>15.100000000000001</v>
      </c>
      <c r="F82">
        <v>92.7</v>
      </c>
      <c r="G82">
        <v>30</v>
      </c>
      <c r="H82">
        <v>1</v>
      </c>
      <c r="I82">
        <f>'Monthly Data'!P82</f>
        <v>391</v>
      </c>
      <c r="J82">
        <f>'Monthly Data'!CJ82</f>
        <v>0</v>
      </c>
      <c r="L82" s="6">
        <f t="shared" si="22"/>
        <v>-4550747.7974309605</v>
      </c>
      <c r="M82" s="6">
        <f t="shared" si="23"/>
        <v>108533.49579500235</v>
      </c>
      <c r="N82" s="6">
        <f t="shared" si="24"/>
        <v>2181863.6755705704</v>
      </c>
      <c r="O82" s="6">
        <f t="shared" si="25"/>
        <v>14687378.322920969</v>
      </c>
      <c r="P82" s="6">
        <f t="shared" si="29"/>
        <v>463327.49867077498</v>
      </c>
      <c r="Q82" s="6">
        <f t="shared" si="26"/>
        <v>6206222.6769101871</v>
      </c>
      <c r="R82" s="6">
        <f t="shared" si="30"/>
        <v>0</v>
      </c>
      <c r="S82" s="6">
        <f t="shared" si="31"/>
        <v>19096577.872436542</v>
      </c>
      <c r="T82" s="6">
        <f t="shared" si="27"/>
        <v>10991.116121392697</v>
      </c>
      <c r="U82" s="15">
        <f t="shared" si="28"/>
        <v>5.7588568073527495E-4</v>
      </c>
    </row>
    <row r="83" spans="1:21">
      <c r="A83" s="245">
        <v>43374</v>
      </c>
      <c r="B83">
        <f t="shared" si="13"/>
        <v>10</v>
      </c>
      <c r="C83">
        <f t="shared" si="14"/>
        <v>2018</v>
      </c>
      <c r="D83" s="6">
        <f>'Monthly Data'!N83</f>
        <v>18365728.767554242</v>
      </c>
      <c r="E83">
        <v>160.9</v>
      </c>
      <c r="F83">
        <v>24.2</v>
      </c>
      <c r="G83">
        <v>31</v>
      </c>
      <c r="H83">
        <v>1</v>
      </c>
      <c r="I83">
        <f>'Monthly Data'!P83</f>
        <v>393</v>
      </c>
      <c r="J83">
        <f>'Monthly Data'!CJ83</f>
        <v>0</v>
      </c>
      <c r="L83" s="6">
        <f t="shared" si="22"/>
        <v>-4550747.7974309605</v>
      </c>
      <c r="M83" s="6">
        <f t="shared" si="23"/>
        <v>1156492.6803586674</v>
      </c>
      <c r="N83" s="6">
        <f t="shared" si="24"/>
        <v>569591.16449630854</v>
      </c>
      <c r="O83" s="6">
        <f t="shared" si="25"/>
        <v>15176957.600351669</v>
      </c>
      <c r="P83" s="6">
        <f t="shared" si="29"/>
        <v>463327.49867077498</v>
      </c>
      <c r="Q83" s="6">
        <f t="shared" si="26"/>
        <v>6237968.061446812</v>
      </c>
      <c r="R83" s="6">
        <f t="shared" si="30"/>
        <v>0</v>
      </c>
      <c r="S83" s="6">
        <f t="shared" si="31"/>
        <v>19053589.207893271</v>
      </c>
      <c r="T83" s="6">
        <f t="shared" si="27"/>
        <v>687860.44033902884</v>
      </c>
      <c r="U83" s="15">
        <f t="shared" si="28"/>
        <v>3.7453479197309902E-2</v>
      </c>
    </row>
    <row r="84" spans="1:21">
      <c r="A84" s="245">
        <v>43405</v>
      </c>
      <c r="B84">
        <f t="shared" si="13"/>
        <v>11</v>
      </c>
      <c r="C84">
        <f t="shared" si="14"/>
        <v>2018</v>
      </c>
      <c r="D84" s="6">
        <f>'Monthly Data'!N84</f>
        <v>18960748.554049645</v>
      </c>
      <c r="E84">
        <v>373.50000000000011</v>
      </c>
      <c r="F84">
        <v>0</v>
      </c>
      <c r="G84">
        <v>30</v>
      </c>
      <c r="H84">
        <v>0</v>
      </c>
      <c r="I84">
        <f>'Monthly Data'!P84</f>
        <v>393</v>
      </c>
      <c r="J84">
        <f>'Monthly Data'!CJ84</f>
        <v>0</v>
      </c>
      <c r="L84" s="6">
        <f t="shared" si="22"/>
        <v>-4550747.7974309605</v>
      </c>
      <c r="M84" s="6">
        <f t="shared" si="23"/>
        <v>2684586.7999624759</v>
      </c>
      <c r="N84" s="6">
        <f t="shared" si="24"/>
        <v>0</v>
      </c>
      <c r="O84" s="6">
        <f t="shared" si="25"/>
        <v>14687378.322920969</v>
      </c>
      <c r="P84" s="6">
        <f t="shared" si="29"/>
        <v>0</v>
      </c>
      <c r="Q84" s="6">
        <f t="shared" si="26"/>
        <v>6237968.061446812</v>
      </c>
      <c r="R84" s="6">
        <f t="shared" si="30"/>
        <v>0</v>
      </c>
      <c r="S84" s="6">
        <f t="shared" si="31"/>
        <v>19059185.386899296</v>
      </c>
      <c r="T84" s="6">
        <f t="shared" si="27"/>
        <v>98436.832849651575</v>
      </c>
      <c r="U84" s="15">
        <f t="shared" si="28"/>
        <v>5.1916111101334862E-3</v>
      </c>
    </row>
    <row r="85" spans="1:21">
      <c r="A85" s="245">
        <v>43435</v>
      </c>
      <c r="B85">
        <f t="shared" si="13"/>
        <v>12</v>
      </c>
      <c r="C85">
        <f t="shared" si="14"/>
        <v>2018</v>
      </c>
      <c r="D85" s="6">
        <f>'Monthly Data'!N85</f>
        <v>18373721.475781631</v>
      </c>
      <c r="E85">
        <v>420.19999999999987</v>
      </c>
      <c r="F85">
        <v>0</v>
      </c>
      <c r="G85">
        <v>31</v>
      </c>
      <c r="H85">
        <v>0</v>
      </c>
      <c r="I85">
        <f>'Monthly Data'!P85</f>
        <v>393</v>
      </c>
      <c r="J85">
        <f>'Monthly Data'!CJ85</f>
        <v>0</v>
      </c>
      <c r="L85" s="6">
        <f t="shared" si="22"/>
        <v>-4550747.7974309605</v>
      </c>
      <c r="M85" s="6">
        <f t="shared" si="23"/>
        <v>3020249.9955668855</v>
      </c>
      <c r="N85" s="6">
        <f t="shared" si="24"/>
        <v>0</v>
      </c>
      <c r="O85" s="6">
        <f t="shared" si="25"/>
        <v>15176957.600351669</v>
      </c>
      <c r="P85" s="6">
        <f t="shared" si="29"/>
        <v>0</v>
      </c>
      <c r="Q85" s="6">
        <f t="shared" si="26"/>
        <v>6237968.061446812</v>
      </c>
      <c r="R85" s="6">
        <f t="shared" si="30"/>
        <v>0</v>
      </c>
      <c r="S85" s="6">
        <f t="shared" si="31"/>
        <v>19884427.859934404</v>
      </c>
      <c r="T85" s="6">
        <f t="shared" si="27"/>
        <v>1510706.3841527738</v>
      </c>
      <c r="U85" s="15">
        <f t="shared" si="28"/>
        <v>8.2221034325791489E-2</v>
      </c>
    </row>
    <row r="86" spans="1:21">
      <c r="A86" s="245">
        <v>43466</v>
      </c>
      <c r="B86">
        <f t="shared" ref="B86:B97" si="32">MONTH(A86)</f>
        <v>1</v>
      </c>
      <c r="C86">
        <f t="shared" ref="C86:C97" si="33">YEAR(A86)</f>
        <v>2019</v>
      </c>
      <c r="D86" s="6">
        <f>'Monthly Data'!N86</f>
        <v>21388509.732646711</v>
      </c>
      <c r="E86">
        <v>594.79999999999995</v>
      </c>
      <c r="F86">
        <v>0</v>
      </c>
      <c r="G86">
        <v>31</v>
      </c>
      <c r="H86">
        <v>0</v>
      </c>
      <c r="I86">
        <f>'Monthly Data'!P86</f>
        <v>393</v>
      </c>
      <c r="J86">
        <f>'Monthly Data'!CJ86</f>
        <v>0</v>
      </c>
      <c r="L86" s="6">
        <f t="shared" si="22"/>
        <v>-4550747.7974309605</v>
      </c>
      <c r="M86" s="6">
        <f t="shared" si="23"/>
        <v>4275213.4635011517</v>
      </c>
      <c r="N86" s="6">
        <f t="shared" si="24"/>
        <v>0</v>
      </c>
      <c r="O86" s="6">
        <f t="shared" si="25"/>
        <v>15176957.600351669</v>
      </c>
      <c r="P86" s="6">
        <f t="shared" si="29"/>
        <v>0</v>
      </c>
      <c r="Q86" s="6">
        <f t="shared" si="26"/>
        <v>6237968.061446812</v>
      </c>
      <c r="R86" s="6">
        <f t="shared" si="30"/>
        <v>0</v>
      </c>
      <c r="S86" s="6">
        <f t="shared" si="31"/>
        <v>21139391.32786867</v>
      </c>
      <c r="T86" s="6">
        <f t="shared" si="27"/>
        <v>-249118.40477804095</v>
      </c>
      <c r="U86" s="15">
        <f t="shared" si="28"/>
        <v>1.1647300718562681E-2</v>
      </c>
    </row>
    <row r="87" spans="1:21">
      <c r="A87" s="245">
        <v>43497</v>
      </c>
      <c r="B87">
        <f t="shared" si="32"/>
        <v>2</v>
      </c>
      <c r="C87">
        <f t="shared" si="33"/>
        <v>2019</v>
      </c>
      <c r="D87" s="6">
        <f>'Monthly Data'!N87</f>
        <v>19689054.252646711</v>
      </c>
      <c r="E87">
        <v>492.5</v>
      </c>
      <c r="F87">
        <v>0</v>
      </c>
      <c r="G87">
        <v>28</v>
      </c>
      <c r="H87">
        <v>0</v>
      </c>
      <c r="I87">
        <f>'Monthly Data'!P87</f>
        <v>388</v>
      </c>
      <c r="J87">
        <f>'Monthly Data'!CJ87</f>
        <v>0</v>
      </c>
      <c r="L87" s="6">
        <f t="shared" si="22"/>
        <v>-4550747.7974309605</v>
      </c>
      <c r="M87" s="6">
        <f t="shared" si="23"/>
        <v>3539916.9986118311</v>
      </c>
      <c r="N87" s="6">
        <f t="shared" si="24"/>
        <v>0</v>
      </c>
      <c r="O87" s="6">
        <f t="shared" si="25"/>
        <v>13708219.76805957</v>
      </c>
      <c r="P87" s="6">
        <f t="shared" si="29"/>
        <v>0</v>
      </c>
      <c r="Q87" s="6">
        <f t="shared" si="26"/>
        <v>6158604.6001052493</v>
      </c>
      <c r="R87" s="6">
        <f t="shared" si="30"/>
        <v>0</v>
      </c>
      <c r="S87" s="6">
        <f t="shared" si="31"/>
        <v>18855993.56934569</v>
      </c>
      <c r="T87" s="6">
        <f t="shared" si="27"/>
        <v>-833060.68330102041</v>
      </c>
      <c r="U87" s="15">
        <f t="shared" si="28"/>
        <v>4.2310853157867437E-2</v>
      </c>
    </row>
    <row r="88" spans="1:21">
      <c r="A88" s="245">
        <v>43525</v>
      </c>
      <c r="B88">
        <f t="shared" si="32"/>
        <v>3</v>
      </c>
      <c r="C88">
        <f t="shared" si="33"/>
        <v>2019</v>
      </c>
      <c r="D88" s="6">
        <f>'Monthly Data'!N88</f>
        <v>19694014.909946714</v>
      </c>
      <c r="E88">
        <v>450.60000000000014</v>
      </c>
      <c r="F88">
        <v>0</v>
      </c>
      <c r="G88">
        <v>31</v>
      </c>
      <c r="H88">
        <v>0</v>
      </c>
      <c r="I88">
        <f>'Monthly Data'!P88</f>
        <v>371</v>
      </c>
      <c r="J88">
        <f>'Monthly Data'!CJ88</f>
        <v>0</v>
      </c>
      <c r="L88" s="6">
        <f t="shared" si="22"/>
        <v>-4550747.7974309605</v>
      </c>
      <c r="M88" s="6">
        <f t="shared" si="23"/>
        <v>3238754.5169025213</v>
      </c>
      <c r="N88" s="6">
        <f t="shared" si="24"/>
        <v>0</v>
      </c>
      <c r="O88" s="6">
        <f t="shared" si="25"/>
        <v>15176957.600351669</v>
      </c>
      <c r="P88" s="6">
        <f t="shared" si="29"/>
        <v>0</v>
      </c>
      <c r="Q88" s="6">
        <f t="shared" si="26"/>
        <v>5888768.8315439373</v>
      </c>
      <c r="R88" s="6">
        <f t="shared" si="30"/>
        <v>0</v>
      </c>
      <c r="S88" s="6">
        <f t="shared" si="31"/>
        <v>19753733.151367165</v>
      </c>
      <c r="T88" s="6">
        <f t="shared" si="27"/>
        <v>59718.241420451552</v>
      </c>
      <c r="U88" s="15">
        <f t="shared" si="28"/>
        <v>3.0323040626058476E-3</v>
      </c>
    </row>
    <row r="89" spans="1:21">
      <c r="A89" s="245">
        <v>43556</v>
      </c>
      <c r="B89">
        <f t="shared" si="32"/>
        <v>4</v>
      </c>
      <c r="C89">
        <f t="shared" si="33"/>
        <v>2019</v>
      </c>
      <c r="D89" s="6">
        <f>'Monthly Data'!N89</f>
        <v>17847961.116946712</v>
      </c>
      <c r="E89">
        <v>210.80000000000007</v>
      </c>
      <c r="F89">
        <v>0</v>
      </c>
      <c r="G89">
        <v>30</v>
      </c>
      <c r="H89">
        <v>0</v>
      </c>
      <c r="I89">
        <f>'Monthly Data'!P89</f>
        <v>370</v>
      </c>
      <c r="J89">
        <f>'Monthly Data'!CJ89</f>
        <v>0</v>
      </c>
      <c r="L89" s="6">
        <f t="shared" si="22"/>
        <v>-4550747.7974309605</v>
      </c>
      <c r="M89" s="6">
        <f t="shared" si="23"/>
        <v>1515156.3518931458</v>
      </c>
      <c r="N89" s="6">
        <f t="shared" si="24"/>
        <v>0</v>
      </c>
      <c r="O89" s="6">
        <f t="shared" si="25"/>
        <v>14687378.322920969</v>
      </c>
      <c r="P89" s="6">
        <f t="shared" si="29"/>
        <v>0</v>
      </c>
      <c r="Q89" s="6">
        <f t="shared" si="26"/>
        <v>5872896.1392756244</v>
      </c>
      <c r="R89" s="6">
        <f t="shared" si="30"/>
        <v>0</v>
      </c>
      <c r="S89" s="6">
        <f t="shared" si="31"/>
        <v>17524683.016658779</v>
      </c>
      <c r="T89" s="6">
        <f t="shared" si="27"/>
        <v>-323278.1002879329</v>
      </c>
      <c r="U89" s="15">
        <f t="shared" si="28"/>
        <v>1.8112886854116855E-2</v>
      </c>
    </row>
    <row r="90" spans="1:21">
      <c r="A90" s="245">
        <v>43586</v>
      </c>
      <c r="B90">
        <f t="shared" si="32"/>
        <v>5</v>
      </c>
      <c r="C90">
        <f t="shared" si="33"/>
        <v>2019</v>
      </c>
      <c r="D90" s="6">
        <f>'Monthly Data'!N90</f>
        <v>17888743.361746714</v>
      </c>
      <c r="E90">
        <v>95.2</v>
      </c>
      <c r="F90">
        <v>9.9000000000000021</v>
      </c>
      <c r="G90">
        <v>31</v>
      </c>
      <c r="H90">
        <v>0</v>
      </c>
      <c r="I90">
        <f>'Monthly Data'!P90</f>
        <v>368</v>
      </c>
      <c r="J90">
        <f>'Monthly Data'!CJ90</f>
        <v>0</v>
      </c>
      <c r="L90" s="6">
        <f t="shared" si="22"/>
        <v>-4550747.7974309605</v>
      </c>
      <c r="M90" s="6">
        <f t="shared" si="23"/>
        <v>684264.15891948494</v>
      </c>
      <c r="N90" s="6">
        <f t="shared" si="24"/>
        <v>233014.56729394445</v>
      </c>
      <c r="O90" s="6">
        <f t="shared" si="25"/>
        <v>15176957.600351669</v>
      </c>
      <c r="P90" s="6">
        <f t="shared" si="29"/>
        <v>0</v>
      </c>
      <c r="Q90" s="6">
        <f t="shared" si="26"/>
        <v>5841150.7547389995</v>
      </c>
      <c r="R90" s="6">
        <f t="shared" si="30"/>
        <v>0</v>
      </c>
      <c r="S90" s="6">
        <f t="shared" si="31"/>
        <v>17384639.283873137</v>
      </c>
      <c r="T90" s="6">
        <f t="shared" si="27"/>
        <v>-504104.07787357643</v>
      </c>
      <c r="U90" s="15">
        <f t="shared" si="28"/>
        <v>2.8179960306857134E-2</v>
      </c>
    </row>
    <row r="91" spans="1:21">
      <c r="A91" s="245">
        <v>43617</v>
      </c>
      <c r="B91">
        <f t="shared" si="32"/>
        <v>6</v>
      </c>
      <c r="C91">
        <f t="shared" si="33"/>
        <v>2019</v>
      </c>
      <c r="D91" s="6">
        <f>'Monthly Data'!N91</f>
        <v>17985271.596546713</v>
      </c>
      <c r="E91">
        <v>9.3000000000000007</v>
      </c>
      <c r="F91">
        <v>62.7</v>
      </c>
      <c r="G91">
        <v>30</v>
      </c>
      <c r="H91">
        <v>0</v>
      </c>
      <c r="I91">
        <f>'Monthly Data'!P91</f>
        <v>372</v>
      </c>
      <c r="J91">
        <f>'Monthly Data'!CJ91</f>
        <v>0</v>
      </c>
      <c r="L91" s="6">
        <f t="shared" si="22"/>
        <v>-4550747.7974309605</v>
      </c>
      <c r="M91" s="6">
        <f t="shared" si="23"/>
        <v>66845.133171756417</v>
      </c>
      <c r="N91" s="6">
        <f t="shared" si="24"/>
        <v>1475758.9261949812</v>
      </c>
      <c r="O91" s="6">
        <f t="shared" si="25"/>
        <v>14687378.322920969</v>
      </c>
      <c r="P91" s="6">
        <f t="shared" si="29"/>
        <v>0</v>
      </c>
      <c r="Q91" s="6">
        <f t="shared" si="26"/>
        <v>5904641.5238122502</v>
      </c>
      <c r="R91" s="6">
        <f t="shared" si="30"/>
        <v>0</v>
      </c>
      <c r="S91" s="6">
        <f t="shared" si="31"/>
        <v>17583876.108668998</v>
      </c>
      <c r="T91" s="6">
        <f t="shared" si="27"/>
        <v>-401395.48787771538</v>
      </c>
      <c r="U91" s="15">
        <f t="shared" si="28"/>
        <v>2.2318010919267179E-2</v>
      </c>
    </row>
    <row r="92" spans="1:21">
      <c r="A92" s="245">
        <v>43647</v>
      </c>
      <c r="B92">
        <f t="shared" si="32"/>
        <v>7</v>
      </c>
      <c r="C92">
        <f t="shared" si="33"/>
        <v>2019</v>
      </c>
      <c r="D92" s="6">
        <f>'Monthly Data'!N92</f>
        <v>21371687.413446713</v>
      </c>
      <c r="E92">
        <v>0</v>
      </c>
      <c r="F92">
        <v>204.70000000000002</v>
      </c>
      <c r="G92">
        <v>31</v>
      </c>
      <c r="H92">
        <v>0</v>
      </c>
      <c r="I92">
        <f>'Monthly Data'!P92</f>
        <v>372</v>
      </c>
      <c r="J92">
        <f>'Monthly Data'!CJ92</f>
        <v>0</v>
      </c>
      <c r="L92" s="6">
        <f t="shared" si="22"/>
        <v>-4550747.7974309605</v>
      </c>
      <c r="M92" s="6">
        <f t="shared" si="23"/>
        <v>0</v>
      </c>
      <c r="N92" s="6">
        <f t="shared" si="24"/>
        <v>4817988.0732394364</v>
      </c>
      <c r="O92" s="6">
        <f t="shared" si="25"/>
        <v>15176957.600351669</v>
      </c>
      <c r="P92" s="6">
        <f t="shared" si="29"/>
        <v>0</v>
      </c>
      <c r="Q92" s="6">
        <f t="shared" si="26"/>
        <v>5904641.5238122502</v>
      </c>
      <c r="R92" s="6">
        <f t="shared" si="30"/>
        <v>0</v>
      </c>
      <c r="S92" s="6">
        <f t="shared" si="31"/>
        <v>21348839.399972394</v>
      </c>
      <c r="T92" s="6">
        <f t="shared" si="27"/>
        <v>-22848.01347431913</v>
      </c>
      <c r="U92" s="15">
        <f t="shared" si="28"/>
        <v>1.0690785913303007E-3</v>
      </c>
    </row>
    <row r="93" spans="1:21">
      <c r="A93" s="245">
        <v>43678</v>
      </c>
      <c r="B93">
        <f t="shared" si="32"/>
        <v>8</v>
      </c>
      <c r="C93">
        <f t="shared" si="33"/>
        <v>2019</v>
      </c>
      <c r="D93" s="6">
        <f>'Monthly Data'!N93</f>
        <v>20692910.106446713</v>
      </c>
      <c r="E93">
        <v>0</v>
      </c>
      <c r="F93">
        <v>147.10000000000002</v>
      </c>
      <c r="G93">
        <v>31</v>
      </c>
      <c r="H93">
        <v>0</v>
      </c>
      <c r="I93">
        <f>'Monthly Data'!P93</f>
        <v>374</v>
      </c>
      <c r="J93">
        <f>'Monthly Data'!CJ93</f>
        <v>0</v>
      </c>
      <c r="L93" s="6">
        <f t="shared" si="22"/>
        <v>-4550747.7974309605</v>
      </c>
      <c r="M93" s="6">
        <f t="shared" si="23"/>
        <v>0</v>
      </c>
      <c r="N93" s="6">
        <f t="shared" si="24"/>
        <v>3462266.9544383055</v>
      </c>
      <c r="O93" s="6">
        <f t="shared" si="25"/>
        <v>15176957.600351669</v>
      </c>
      <c r="P93" s="6">
        <f t="shared" si="29"/>
        <v>0</v>
      </c>
      <c r="Q93" s="6">
        <f t="shared" si="26"/>
        <v>5936386.9083488751</v>
      </c>
      <c r="R93" s="6">
        <f t="shared" si="30"/>
        <v>0</v>
      </c>
      <c r="S93" s="6">
        <f t="shared" si="31"/>
        <v>20024863.665707886</v>
      </c>
      <c r="T93" s="6">
        <f t="shared" si="27"/>
        <v>-668046.44073882699</v>
      </c>
      <c r="U93" s="15">
        <f t="shared" si="28"/>
        <v>3.2283832351386016E-2</v>
      </c>
    </row>
    <row r="94" spans="1:21">
      <c r="A94" s="245">
        <v>43709</v>
      </c>
      <c r="B94">
        <f t="shared" si="32"/>
        <v>9</v>
      </c>
      <c r="C94">
        <f t="shared" si="33"/>
        <v>2019</v>
      </c>
      <c r="D94" s="6">
        <f>'Monthly Data'!N94</f>
        <v>18943818.919546712</v>
      </c>
      <c r="E94">
        <v>0.59999999999999964</v>
      </c>
      <c r="F94">
        <v>75.799999999999983</v>
      </c>
      <c r="G94">
        <v>30</v>
      </c>
      <c r="H94">
        <v>1</v>
      </c>
      <c r="I94">
        <f>'Monthly Data'!P94</f>
        <v>374</v>
      </c>
      <c r="J94">
        <f>'Monthly Data'!CJ94</f>
        <v>0</v>
      </c>
      <c r="L94" s="6">
        <f t="shared" si="22"/>
        <v>-4550747.7974309605</v>
      </c>
      <c r="M94" s="6">
        <f t="shared" si="23"/>
        <v>4312.5892368875075</v>
      </c>
      <c r="N94" s="6">
        <f t="shared" si="24"/>
        <v>1784091.3334223214</v>
      </c>
      <c r="O94" s="6">
        <f t="shared" si="25"/>
        <v>14687378.322920969</v>
      </c>
      <c r="P94" s="6">
        <f t="shared" si="29"/>
        <v>463327.49867077498</v>
      </c>
      <c r="Q94" s="6">
        <f t="shared" si="26"/>
        <v>5936386.9083488751</v>
      </c>
      <c r="R94" s="6">
        <f t="shared" si="30"/>
        <v>0</v>
      </c>
      <c r="S94" s="6">
        <f t="shared" si="31"/>
        <v>18324748.855168868</v>
      </c>
      <c r="T94" s="6">
        <f t="shared" si="27"/>
        <v>-619070.06437784433</v>
      </c>
      <c r="U94" s="15">
        <f t="shared" si="28"/>
        <v>3.2679264250096485E-2</v>
      </c>
    </row>
    <row r="95" spans="1:21">
      <c r="A95" s="245">
        <v>43739</v>
      </c>
      <c r="B95">
        <f t="shared" si="32"/>
        <v>10</v>
      </c>
      <c r="C95">
        <f t="shared" si="33"/>
        <v>2019</v>
      </c>
      <c r="D95" s="6">
        <f>'Monthly Data'!N95</f>
        <v>18584373.277746715</v>
      </c>
      <c r="E95">
        <v>118.5</v>
      </c>
      <c r="F95">
        <v>6.5</v>
      </c>
      <c r="G95">
        <v>31</v>
      </c>
      <c r="H95">
        <v>1</v>
      </c>
      <c r="I95">
        <f>'Monthly Data'!P95</f>
        <v>376</v>
      </c>
      <c r="J95">
        <f>'Monthly Data'!CJ95</f>
        <v>0</v>
      </c>
      <c r="L95" s="6">
        <f t="shared" si="22"/>
        <v>-4550747.7974309605</v>
      </c>
      <c r="M95" s="6">
        <f t="shared" si="23"/>
        <v>851736.37428528327</v>
      </c>
      <c r="N95" s="6">
        <f t="shared" si="24"/>
        <v>152989.36236471095</v>
      </c>
      <c r="O95" s="6">
        <f t="shared" si="25"/>
        <v>15176957.600351669</v>
      </c>
      <c r="P95" s="6">
        <f t="shared" si="29"/>
        <v>463327.49867077498</v>
      </c>
      <c r="Q95" s="6">
        <f t="shared" si="26"/>
        <v>5968132.2928855</v>
      </c>
      <c r="R95" s="6">
        <f t="shared" si="30"/>
        <v>0</v>
      </c>
      <c r="S95" s="6">
        <f t="shared" si="31"/>
        <v>18062395.331126977</v>
      </c>
      <c r="T95" s="6">
        <f t="shared" si="27"/>
        <v>-521977.94661973789</v>
      </c>
      <c r="U95" s="15">
        <f t="shared" si="28"/>
        <v>2.80869275933434E-2</v>
      </c>
    </row>
    <row r="96" spans="1:21">
      <c r="A96" s="245">
        <v>43770</v>
      </c>
      <c r="B96">
        <f t="shared" si="32"/>
        <v>11</v>
      </c>
      <c r="C96">
        <f t="shared" si="33"/>
        <v>2019</v>
      </c>
      <c r="D96" s="6">
        <f>'Monthly Data'!N96</f>
        <v>19294942.186846711</v>
      </c>
      <c r="E96">
        <v>383</v>
      </c>
      <c r="F96">
        <v>0</v>
      </c>
      <c r="G96">
        <v>30</v>
      </c>
      <c r="H96">
        <v>0</v>
      </c>
      <c r="I96">
        <f>'Monthly Data'!P96</f>
        <v>373</v>
      </c>
      <c r="J96">
        <f>'Monthly Data'!CJ96</f>
        <v>0</v>
      </c>
      <c r="L96" s="6">
        <f t="shared" si="22"/>
        <v>-4550747.7974309605</v>
      </c>
      <c r="M96" s="6">
        <f t="shared" si="23"/>
        <v>2752869.4628798608</v>
      </c>
      <c r="N96" s="6">
        <f t="shared" si="24"/>
        <v>0</v>
      </c>
      <c r="O96" s="6">
        <f t="shared" si="25"/>
        <v>14687378.322920969</v>
      </c>
      <c r="P96" s="6">
        <f t="shared" si="29"/>
        <v>0</v>
      </c>
      <c r="Q96" s="6">
        <f t="shared" si="26"/>
        <v>5920514.2160805622</v>
      </c>
      <c r="R96" s="6">
        <f t="shared" si="30"/>
        <v>0</v>
      </c>
      <c r="S96" s="6">
        <f t="shared" si="31"/>
        <v>18810014.204450432</v>
      </c>
      <c r="T96" s="6">
        <f t="shared" si="27"/>
        <v>-484927.98239627853</v>
      </c>
      <c r="U96" s="15">
        <f t="shared" si="28"/>
        <v>2.5132388462239193E-2</v>
      </c>
    </row>
    <row r="97" spans="1:21">
      <c r="A97" s="245">
        <v>43800</v>
      </c>
      <c r="B97">
        <f t="shared" si="32"/>
        <v>12</v>
      </c>
      <c r="C97">
        <f t="shared" si="33"/>
        <v>2019</v>
      </c>
      <c r="D97" s="6">
        <f>'Monthly Data'!N97</f>
        <v>19752493.354446713</v>
      </c>
      <c r="E97">
        <v>409.1</v>
      </c>
      <c r="F97">
        <v>0</v>
      </c>
      <c r="G97">
        <v>31</v>
      </c>
      <c r="H97">
        <v>0</v>
      </c>
      <c r="I97">
        <f>'Monthly Data'!P97</f>
        <v>371</v>
      </c>
      <c r="J97">
        <f>'Monthly Data'!CJ97</f>
        <v>0</v>
      </c>
      <c r="L97" s="6">
        <f t="shared" si="22"/>
        <v>-4550747.7974309605</v>
      </c>
      <c r="M97" s="6">
        <f t="shared" si="23"/>
        <v>2940467.0946844677</v>
      </c>
      <c r="N97" s="6">
        <f t="shared" si="24"/>
        <v>0</v>
      </c>
      <c r="O97" s="6">
        <f t="shared" si="25"/>
        <v>15176957.600351669</v>
      </c>
      <c r="P97" s="6">
        <f t="shared" si="29"/>
        <v>0</v>
      </c>
      <c r="Q97" s="6">
        <f t="shared" si="26"/>
        <v>5888768.8315439373</v>
      </c>
      <c r="R97" s="6">
        <f t="shared" si="30"/>
        <v>0</v>
      </c>
      <c r="S97" s="6">
        <f t="shared" si="31"/>
        <v>19455445.729149114</v>
      </c>
      <c r="T97" s="6">
        <f t="shared" si="27"/>
        <v>-297047.62529759854</v>
      </c>
      <c r="U97" s="15">
        <f t="shared" si="28"/>
        <v>1.503848754520536E-2</v>
      </c>
    </row>
    <row r="98" spans="1:21">
      <c r="A98" s="245">
        <v>43831</v>
      </c>
      <c r="B98">
        <f t="shared" ref="B98:B121" si="34">MONTH(A98)</f>
        <v>1</v>
      </c>
      <c r="C98">
        <f t="shared" ref="C98:C121" si="35">YEAR(A98)</f>
        <v>2020</v>
      </c>
      <c r="D98" s="6">
        <f>'Monthly Data'!N98</f>
        <v>21003002.009531625</v>
      </c>
      <c r="E98">
        <v>436.29999999999995</v>
      </c>
      <c r="F98">
        <v>0</v>
      </c>
      <c r="G98">
        <v>31</v>
      </c>
      <c r="H98">
        <v>0</v>
      </c>
      <c r="I98">
        <f>'Monthly Data'!P98</f>
        <v>373</v>
      </c>
      <c r="J98">
        <f>'Monthly Data'!CJ98</f>
        <v>0</v>
      </c>
      <c r="L98" s="6">
        <f t="shared" ref="L98:L133" si="36">$X$7</f>
        <v>-4550747.7974309605</v>
      </c>
      <c r="M98" s="6">
        <f t="shared" ref="M98:M121" si="37">E98*$X$8</f>
        <v>3135971.1400900343</v>
      </c>
      <c r="N98" s="6">
        <f t="shared" ref="N98:N121" si="38">F98*$X$9</f>
        <v>0</v>
      </c>
      <c r="O98" s="6">
        <f t="shared" ref="O98:O121" si="39">G98*$X$10</f>
        <v>15176957.600351669</v>
      </c>
      <c r="P98" s="6">
        <f t="shared" si="29"/>
        <v>0</v>
      </c>
      <c r="Q98" s="6">
        <f t="shared" ref="Q98:Q121" si="40">I98*$X$12</f>
        <v>5920514.2160805622</v>
      </c>
      <c r="R98" s="6">
        <f t="shared" si="30"/>
        <v>0</v>
      </c>
      <c r="S98" s="6">
        <f t="shared" si="31"/>
        <v>19682695.159091305</v>
      </c>
      <c r="T98" s="6">
        <f t="shared" ref="T98:T121" si="41">S98-D98</f>
        <v>-1320306.8504403196</v>
      </c>
      <c r="U98" s="15">
        <f t="shared" ref="U98:U121" si="42">ABS(S98-D98)/D98</f>
        <v>6.2862768371927752E-2</v>
      </c>
    </row>
    <row r="99" spans="1:21">
      <c r="A99" s="245">
        <v>43862</v>
      </c>
      <c r="B99">
        <f t="shared" si="34"/>
        <v>2</v>
      </c>
      <c r="C99">
        <f t="shared" si="35"/>
        <v>2020</v>
      </c>
      <c r="D99" s="6">
        <f>'Monthly Data'!N99</f>
        <v>20078372.746231623</v>
      </c>
      <c r="E99">
        <v>468.4</v>
      </c>
      <c r="F99">
        <v>0</v>
      </c>
      <c r="G99">
        <v>29</v>
      </c>
      <c r="H99">
        <v>0</v>
      </c>
      <c r="I99">
        <f>'Monthly Data'!P99</f>
        <v>377</v>
      </c>
      <c r="J99">
        <f>'Monthly Data'!CJ99</f>
        <v>0</v>
      </c>
      <c r="L99" s="6">
        <f t="shared" si="36"/>
        <v>-4550747.7974309605</v>
      </c>
      <c r="M99" s="6">
        <f t="shared" si="37"/>
        <v>3366694.6642635162</v>
      </c>
      <c r="N99" s="6">
        <f t="shared" si="38"/>
        <v>0</v>
      </c>
      <c r="O99" s="6">
        <f t="shared" si="39"/>
        <v>14197799.04549027</v>
      </c>
      <c r="P99" s="6">
        <f t="shared" si="29"/>
        <v>0</v>
      </c>
      <c r="Q99" s="6">
        <f t="shared" si="40"/>
        <v>5984004.985153812</v>
      </c>
      <c r="R99" s="6">
        <f t="shared" si="30"/>
        <v>0</v>
      </c>
      <c r="S99" s="6">
        <f t="shared" si="31"/>
        <v>18997750.89747664</v>
      </c>
      <c r="T99" s="6">
        <f t="shared" si="41"/>
        <v>-1080621.8487549834</v>
      </c>
      <c r="U99" s="15">
        <f t="shared" si="42"/>
        <v>5.3820190630627582E-2</v>
      </c>
    </row>
    <row r="100" spans="1:21">
      <c r="A100" s="245">
        <v>43891</v>
      </c>
      <c r="B100">
        <f t="shared" si="34"/>
        <v>3</v>
      </c>
      <c r="C100">
        <f t="shared" si="35"/>
        <v>2020</v>
      </c>
      <c r="D100" s="6">
        <f>'Monthly Data'!N100</f>
        <v>19033212.631531626</v>
      </c>
      <c r="E100">
        <v>331.70000000000005</v>
      </c>
      <c r="F100">
        <v>0</v>
      </c>
      <c r="G100">
        <v>31</v>
      </c>
      <c r="H100">
        <v>0</v>
      </c>
      <c r="I100">
        <f>'Monthly Data'!P100</f>
        <v>378</v>
      </c>
      <c r="J100">
        <f>'Monthly Data'!CJ100</f>
        <v>0.5</v>
      </c>
      <c r="L100" s="6">
        <f t="shared" si="36"/>
        <v>-4550747.7974309605</v>
      </c>
      <c r="M100" s="6">
        <f t="shared" si="37"/>
        <v>2384143.0831259787</v>
      </c>
      <c r="N100" s="6">
        <f t="shared" si="38"/>
        <v>0</v>
      </c>
      <c r="O100" s="6">
        <f t="shared" si="39"/>
        <v>15176957.600351669</v>
      </c>
      <c r="P100" s="6">
        <f t="shared" si="29"/>
        <v>0</v>
      </c>
      <c r="Q100" s="6">
        <f t="shared" si="40"/>
        <v>5999877.6774221249</v>
      </c>
      <c r="R100" s="6">
        <f t="shared" si="30"/>
        <v>-712932.46994479001</v>
      </c>
      <c r="S100" s="6">
        <f t="shared" si="31"/>
        <v>18297298.093524024</v>
      </c>
      <c r="T100" s="6">
        <f t="shared" si="41"/>
        <v>-735914.5380076021</v>
      </c>
      <c r="U100" s="15">
        <f t="shared" si="42"/>
        <v>3.8664756825573389E-2</v>
      </c>
    </row>
    <row r="101" spans="1:21">
      <c r="A101" s="245">
        <v>43922</v>
      </c>
      <c r="B101">
        <f t="shared" si="34"/>
        <v>4</v>
      </c>
      <c r="C101">
        <f t="shared" si="35"/>
        <v>2020</v>
      </c>
      <c r="D101" s="6">
        <f>'Monthly Data'!N101</f>
        <v>16146825.079031626</v>
      </c>
      <c r="E101">
        <v>257.10000000000008</v>
      </c>
      <c r="F101">
        <v>0</v>
      </c>
      <c r="G101">
        <v>30</v>
      </c>
      <c r="H101">
        <v>0</v>
      </c>
      <c r="I101">
        <f>'Monthly Data'!P101</f>
        <v>367</v>
      </c>
      <c r="J101">
        <f>'Monthly Data'!CJ101</f>
        <v>1</v>
      </c>
      <c r="L101" s="6">
        <f t="shared" si="36"/>
        <v>-4550747.7974309605</v>
      </c>
      <c r="M101" s="6">
        <f t="shared" si="37"/>
        <v>1847944.4880062987</v>
      </c>
      <c r="N101" s="6">
        <f t="shared" si="38"/>
        <v>0</v>
      </c>
      <c r="O101" s="6">
        <f t="shared" si="39"/>
        <v>14687378.322920969</v>
      </c>
      <c r="P101" s="6">
        <f t="shared" si="29"/>
        <v>0</v>
      </c>
      <c r="Q101" s="6">
        <f t="shared" si="40"/>
        <v>5825278.0624706876</v>
      </c>
      <c r="R101" s="6">
        <f t="shared" si="30"/>
        <v>-1425864.93988958</v>
      </c>
      <c r="S101" s="6">
        <f t="shared" si="31"/>
        <v>16383988.136077411</v>
      </c>
      <c r="T101" s="6">
        <f t="shared" si="41"/>
        <v>237163.05704578571</v>
      </c>
      <c r="U101" s="15">
        <f t="shared" si="42"/>
        <v>1.4687906500812177E-2</v>
      </c>
    </row>
    <row r="102" spans="1:21">
      <c r="A102" s="245">
        <v>43952</v>
      </c>
      <c r="B102">
        <f t="shared" si="34"/>
        <v>5</v>
      </c>
      <c r="C102">
        <f t="shared" si="35"/>
        <v>2020</v>
      </c>
      <c r="D102" s="6">
        <f>'Monthly Data'!N102</f>
        <v>16737509.729731625</v>
      </c>
      <c r="E102">
        <v>121.30000000000003</v>
      </c>
      <c r="F102">
        <v>42.5</v>
      </c>
      <c r="G102">
        <v>31</v>
      </c>
      <c r="H102">
        <v>0</v>
      </c>
      <c r="I102">
        <f>'Monthly Data'!P102</f>
        <v>367</v>
      </c>
      <c r="J102">
        <f>'Monthly Data'!CJ102</f>
        <v>1</v>
      </c>
      <c r="L102" s="6">
        <f t="shared" si="36"/>
        <v>-4550747.7974309605</v>
      </c>
      <c r="M102" s="6">
        <f t="shared" si="37"/>
        <v>871861.79072409181</v>
      </c>
      <c r="N102" s="6">
        <f t="shared" si="38"/>
        <v>1000315.0616154178</v>
      </c>
      <c r="O102" s="6">
        <f t="shared" si="39"/>
        <v>15176957.600351669</v>
      </c>
      <c r="P102" s="6">
        <f t="shared" si="29"/>
        <v>0</v>
      </c>
      <c r="Q102" s="6">
        <f t="shared" si="40"/>
        <v>5825278.0624706876</v>
      </c>
      <c r="R102" s="6">
        <f t="shared" si="30"/>
        <v>-1425864.93988958</v>
      </c>
      <c r="S102" s="6">
        <f t="shared" si="31"/>
        <v>16897799.777841326</v>
      </c>
      <c r="T102" s="6">
        <f t="shared" si="41"/>
        <v>160290.0481097009</v>
      </c>
      <c r="U102" s="15">
        <f t="shared" si="42"/>
        <v>9.5766963364311095E-3</v>
      </c>
    </row>
    <row r="103" spans="1:21">
      <c r="A103" s="245">
        <v>43983</v>
      </c>
      <c r="B103">
        <f t="shared" si="34"/>
        <v>6</v>
      </c>
      <c r="C103">
        <f t="shared" si="35"/>
        <v>2020</v>
      </c>
      <c r="D103" s="6">
        <f>'Monthly Data'!N103</f>
        <v>18080324.839931626</v>
      </c>
      <c r="E103">
        <v>6.7999999999999989</v>
      </c>
      <c r="F103">
        <v>111.00000000000001</v>
      </c>
      <c r="G103">
        <v>30</v>
      </c>
      <c r="H103">
        <v>0</v>
      </c>
      <c r="I103">
        <f>'Monthly Data'!P103</f>
        <v>370</v>
      </c>
      <c r="J103">
        <f>'Monthly Data'!CJ103</f>
        <v>0.5</v>
      </c>
      <c r="L103" s="6">
        <f t="shared" si="36"/>
        <v>-4550747.7974309605</v>
      </c>
      <c r="M103" s="6">
        <f t="shared" si="37"/>
        <v>48876.011351391775</v>
      </c>
      <c r="N103" s="6">
        <f t="shared" si="38"/>
        <v>2612587.5726896799</v>
      </c>
      <c r="O103" s="6">
        <f t="shared" si="39"/>
        <v>14687378.322920969</v>
      </c>
      <c r="P103" s="6">
        <f t="shared" si="29"/>
        <v>0</v>
      </c>
      <c r="Q103" s="6">
        <f t="shared" si="40"/>
        <v>5872896.1392756244</v>
      </c>
      <c r="R103" s="6">
        <f t="shared" si="30"/>
        <v>-712932.46994479001</v>
      </c>
      <c r="S103" s="6">
        <f t="shared" si="31"/>
        <v>17958057.778861914</v>
      </c>
      <c r="T103" s="6">
        <f t="shared" si="41"/>
        <v>-122267.06106971204</v>
      </c>
      <c r="U103" s="15">
        <f t="shared" si="42"/>
        <v>6.7624371880574251E-3</v>
      </c>
    </row>
    <row r="104" spans="1:21">
      <c r="A104" s="245">
        <v>44013</v>
      </c>
      <c r="B104">
        <f t="shared" si="34"/>
        <v>7</v>
      </c>
      <c r="C104">
        <f t="shared" si="35"/>
        <v>2020</v>
      </c>
      <c r="D104" s="6">
        <f>'Monthly Data'!N104</f>
        <v>20778017.208231624</v>
      </c>
      <c r="E104">
        <v>0</v>
      </c>
      <c r="F104">
        <v>221.09999999999994</v>
      </c>
      <c r="G104">
        <v>31</v>
      </c>
      <c r="H104">
        <v>0</v>
      </c>
      <c r="I104">
        <f>'Monthly Data'!P104</f>
        <v>372</v>
      </c>
      <c r="J104">
        <f>'Monthly Data'!CJ104</f>
        <v>0</v>
      </c>
      <c r="L104" s="6">
        <f t="shared" si="36"/>
        <v>-4550747.7974309605</v>
      </c>
      <c r="M104" s="6">
        <f t="shared" si="37"/>
        <v>0</v>
      </c>
      <c r="N104" s="6">
        <f t="shared" si="38"/>
        <v>5203992.0028980896</v>
      </c>
      <c r="O104" s="6">
        <f t="shared" si="39"/>
        <v>15176957.600351669</v>
      </c>
      <c r="P104" s="6">
        <f t="shared" si="29"/>
        <v>0</v>
      </c>
      <c r="Q104" s="6">
        <f t="shared" si="40"/>
        <v>5904641.5238122502</v>
      </c>
      <c r="R104" s="6">
        <f t="shared" si="30"/>
        <v>0</v>
      </c>
      <c r="S104" s="6">
        <f t="shared" si="31"/>
        <v>21734843.329631049</v>
      </c>
      <c r="T104" s="6">
        <f t="shared" si="41"/>
        <v>956826.12139942497</v>
      </c>
      <c r="U104" s="15">
        <f t="shared" si="42"/>
        <v>4.6049924389337749E-2</v>
      </c>
    </row>
    <row r="105" spans="1:21">
      <c r="A105" s="245">
        <v>44044</v>
      </c>
      <c r="B105">
        <f t="shared" si="34"/>
        <v>8</v>
      </c>
      <c r="C105">
        <f t="shared" si="35"/>
        <v>2020</v>
      </c>
      <c r="D105" s="6">
        <f>'Monthly Data'!N105</f>
        <v>19812423.801231623</v>
      </c>
      <c r="E105">
        <v>0</v>
      </c>
      <c r="F105">
        <v>149</v>
      </c>
      <c r="G105">
        <v>31</v>
      </c>
      <c r="H105">
        <v>0</v>
      </c>
      <c r="I105">
        <f>'Monthly Data'!P105</f>
        <v>370</v>
      </c>
      <c r="J105">
        <f>'Monthly Data'!CJ105</f>
        <v>0</v>
      </c>
      <c r="L105" s="6">
        <f t="shared" si="36"/>
        <v>-4550747.7974309605</v>
      </c>
      <c r="M105" s="6">
        <f t="shared" si="37"/>
        <v>0</v>
      </c>
      <c r="N105" s="6">
        <f t="shared" si="38"/>
        <v>3506986.921898759</v>
      </c>
      <c r="O105" s="6">
        <f t="shared" si="39"/>
        <v>15176957.600351669</v>
      </c>
      <c r="P105" s="6">
        <f t="shared" si="29"/>
        <v>0</v>
      </c>
      <c r="Q105" s="6">
        <f t="shared" si="40"/>
        <v>5872896.1392756244</v>
      </c>
      <c r="R105" s="6">
        <f t="shared" si="30"/>
        <v>0</v>
      </c>
      <c r="S105" s="6">
        <f t="shared" si="31"/>
        <v>20006092.864095092</v>
      </c>
      <c r="T105" s="6">
        <f t="shared" si="41"/>
        <v>193669.06286346912</v>
      </c>
      <c r="U105" s="15">
        <f t="shared" si="42"/>
        <v>9.7751322506754498E-3</v>
      </c>
    </row>
    <row r="106" spans="1:21">
      <c r="A106" s="245">
        <v>44075</v>
      </c>
      <c r="B106">
        <f t="shared" si="34"/>
        <v>9</v>
      </c>
      <c r="C106">
        <f t="shared" si="35"/>
        <v>2020</v>
      </c>
      <c r="D106" s="6">
        <f>'Monthly Data'!N106</f>
        <v>17720405.453531627</v>
      </c>
      <c r="E106">
        <v>21.7</v>
      </c>
      <c r="F106">
        <v>45.5</v>
      </c>
      <c r="G106">
        <v>30</v>
      </c>
      <c r="H106">
        <v>1</v>
      </c>
      <c r="I106">
        <f>'Monthly Data'!P106</f>
        <v>369</v>
      </c>
      <c r="J106">
        <f>'Monthly Data'!CJ106</f>
        <v>0</v>
      </c>
      <c r="L106" s="6">
        <f t="shared" si="36"/>
        <v>-4550747.7974309605</v>
      </c>
      <c r="M106" s="6">
        <f t="shared" si="37"/>
        <v>155971.97740076494</v>
      </c>
      <c r="N106" s="6">
        <f t="shared" si="38"/>
        <v>1070925.5365529768</v>
      </c>
      <c r="O106" s="6">
        <f t="shared" si="39"/>
        <v>14687378.322920969</v>
      </c>
      <c r="P106" s="6">
        <f t="shared" si="29"/>
        <v>463327.49867077498</v>
      </c>
      <c r="Q106" s="6">
        <f t="shared" si="40"/>
        <v>5857023.4470073124</v>
      </c>
      <c r="R106" s="6">
        <f t="shared" si="30"/>
        <v>0</v>
      </c>
      <c r="S106" s="6">
        <f t="shared" si="31"/>
        <v>17683878.985121839</v>
      </c>
      <c r="T106" s="6">
        <f t="shared" si="41"/>
        <v>-36526.468409787863</v>
      </c>
      <c r="U106" s="15">
        <f t="shared" si="42"/>
        <v>2.0612659515930119E-3</v>
      </c>
    </row>
    <row r="107" spans="1:21">
      <c r="A107" s="245">
        <v>44105</v>
      </c>
      <c r="B107">
        <f t="shared" si="34"/>
        <v>10</v>
      </c>
      <c r="C107">
        <f t="shared" si="35"/>
        <v>2020</v>
      </c>
      <c r="D107" s="6">
        <f>'Monthly Data'!N107</f>
        <v>17763399.932731625</v>
      </c>
      <c r="E107">
        <v>139.79999999999998</v>
      </c>
      <c r="F107">
        <v>0.60000000000000142</v>
      </c>
      <c r="G107">
        <v>31</v>
      </c>
      <c r="H107">
        <v>1</v>
      </c>
      <c r="I107">
        <f>'Monthly Data'!P107</f>
        <v>369</v>
      </c>
      <c r="J107">
        <f>'Monthly Data'!CJ107</f>
        <v>0</v>
      </c>
      <c r="L107" s="6">
        <f t="shared" si="36"/>
        <v>-4550747.7974309605</v>
      </c>
      <c r="M107" s="6">
        <f t="shared" si="37"/>
        <v>1004833.2921947897</v>
      </c>
      <c r="N107" s="6">
        <f t="shared" si="38"/>
        <v>14122.094987511815</v>
      </c>
      <c r="O107" s="6">
        <f t="shared" si="39"/>
        <v>15176957.600351669</v>
      </c>
      <c r="P107" s="6">
        <f t="shared" si="29"/>
        <v>463327.49867077498</v>
      </c>
      <c r="Q107" s="6">
        <f t="shared" si="40"/>
        <v>5857023.4470073124</v>
      </c>
      <c r="R107" s="6">
        <f t="shared" si="30"/>
        <v>0</v>
      </c>
      <c r="S107" s="6">
        <f t="shared" si="31"/>
        <v>17965516.135781098</v>
      </c>
      <c r="T107" s="6">
        <f t="shared" si="41"/>
        <v>202116.20304947346</v>
      </c>
      <c r="U107" s="15">
        <f t="shared" si="42"/>
        <v>1.1378238615066321E-2</v>
      </c>
    </row>
    <row r="108" spans="1:21">
      <c r="A108" s="245">
        <v>44136</v>
      </c>
      <c r="B108">
        <f t="shared" si="34"/>
        <v>11</v>
      </c>
      <c r="C108">
        <f t="shared" si="35"/>
        <v>2020</v>
      </c>
      <c r="D108" s="6">
        <f>'Monthly Data'!N108</f>
        <v>18001281.908531625</v>
      </c>
      <c r="E108">
        <v>213.70000000000002</v>
      </c>
      <c r="F108">
        <v>3.4000000000000021</v>
      </c>
      <c r="G108">
        <v>30</v>
      </c>
      <c r="H108">
        <v>0</v>
      </c>
      <c r="I108">
        <f>'Monthly Data'!P108</f>
        <v>369</v>
      </c>
      <c r="J108">
        <f>'Monthly Data'!CJ108</f>
        <v>0</v>
      </c>
      <c r="L108" s="6">
        <f t="shared" si="36"/>
        <v>-4550747.7974309605</v>
      </c>
      <c r="M108" s="6">
        <f t="shared" si="37"/>
        <v>1536000.5332047683</v>
      </c>
      <c r="N108" s="6">
        <f t="shared" si="38"/>
        <v>80025.20492923347</v>
      </c>
      <c r="O108" s="6">
        <f t="shared" si="39"/>
        <v>14687378.322920969</v>
      </c>
      <c r="P108" s="6">
        <f t="shared" si="29"/>
        <v>0</v>
      </c>
      <c r="Q108" s="6">
        <f t="shared" si="40"/>
        <v>5857023.4470073124</v>
      </c>
      <c r="R108" s="6">
        <f t="shared" si="30"/>
        <v>0</v>
      </c>
      <c r="S108" s="6">
        <f t="shared" si="31"/>
        <v>17609679.710631322</v>
      </c>
      <c r="T108" s="6">
        <f t="shared" si="41"/>
        <v>-391602.19790030271</v>
      </c>
      <c r="U108" s="15">
        <f t="shared" si="42"/>
        <v>2.1754128394306443E-2</v>
      </c>
    </row>
    <row r="109" spans="1:21">
      <c r="A109" s="245">
        <v>44166</v>
      </c>
      <c r="B109">
        <f t="shared" si="34"/>
        <v>12</v>
      </c>
      <c r="C109">
        <f t="shared" si="35"/>
        <v>2020</v>
      </c>
      <c r="D109" s="6">
        <f>'Monthly Data'!N109</f>
        <v>19211884.231731623</v>
      </c>
      <c r="E109">
        <v>421.4</v>
      </c>
      <c r="F109">
        <v>0</v>
      </c>
      <c r="G109">
        <v>31</v>
      </c>
      <c r="H109">
        <v>0</v>
      </c>
      <c r="I109">
        <f>'Monthly Data'!P109</f>
        <v>370</v>
      </c>
      <c r="J109">
        <f>'Monthly Data'!CJ109</f>
        <v>0</v>
      </c>
      <c r="L109" s="6">
        <f t="shared" si="36"/>
        <v>-4550747.7974309605</v>
      </c>
      <c r="M109" s="6">
        <f t="shared" si="37"/>
        <v>3028875.1740406612</v>
      </c>
      <c r="N109" s="6">
        <f t="shared" si="38"/>
        <v>0</v>
      </c>
      <c r="O109" s="6">
        <f t="shared" si="39"/>
        <v>15176957.600351669</v>
      </c>
      <c r="P109" s="6">
        <f t="shared" si="29"/>
        <v>0</v>
      </c>
      <c r="Q109" s="6">
        <f t="shared" si="40"/>
        <v>5872896.1392756244</v>
      </c>
      <c r="R109" s="6">
        <f t="shared" si="30"/>
        <v>0</v>
      </c>
      <c r="S109" s="6">
        <f t="shared" si="31"/>
        <v>19527981.116236996</v>
      </c>
      <c r="T109" s="6">
        <f t="shared" si="41"/>
        <v>316096.88450537249</v>
      </c>
      <c r="U109" s="15">
        <f t="shared" si="42"/>
        <v>1.6453195360363763E-2</v>
      </c>
    </row>
    <row r="110" spans="1:21">
      <c r="A110" s="245">
        <v>44197</v>
      </c>
      <c r="B110">
        <f t="shared" si="34"/>
        <v>1</v>
      </c>
      <c r="C110">
        <f t="shared" si="35"/>
        <v>2021</v>
      </c>
      <c r="D110" s="6">
        <f>'Monthly Data'!N110</f>
        <v>19429062.246832542</v>
      </c>
      <c r="E110">
        <v>493.19999999999993</v>
      </c>
      <c r="F110">
        <v>0</v>
      </c>
      <c r="G110">
        <v>31</v>
      </c>
      <c r="H110">
        <v>0</v>
      </c>
      <c r="I110">
        <f>'Monthly Data'!P110</f>
        <v>369</v>
      </c>
      <c r="J110">
        <f>'Monthly Data'!CJ110</f>
        <v>0</v>
      </c>
      <c r="L110" s="6">
        <f t="shared" si="36"/>
        <v>-4550747.7974309605</v>
      </c>
      <c r="M110" s="6">
        <f t="shared" si="37"/>
        <v>3544948.3527215328</v>
      </c>
      <c r="N110" s="6">
        <f t="shared" si="38"/>
        <v>0</v>
      </c>
      <c r="O110" s="6">
        <f t="shared" si="39"/>
        <v>15176957.600351669</v>
      </c>
      <c r="P110" s="6">
        <f t="shared" si="29"/>
        <v>0</v>
      </c>
      <c r="Q110" s="6">
        <f t="shared" si="40"/>
        <v>5857023.4470073124</v>
      </c>
      <c r="R110" s="6">
        <f t="shared" si="30"/>
        <v>0</v>
      </c>
      <c r="S110" s="6">
        <f t="shared" si="31"/>
        <v>20028181.602649555</v>
      </c>
      <c r="T110" s="6">
        <f t="shared" si="41"/>
        <v>599119.35581701249</v>
      </c>
      <c r="U110" s="15">
        <f t="shared" si="42"/>
        <v>3.0836246660061271E-2</v>
      </c>
    </row>
    <row r="111" spans="1:21">
      <c r="A111" s="245">
        <v>44228</v>
      </c>
      <c r="B111">
        <f t="shared" si="34"/>
        <v>2</v>
      </c>
      <c r="C111">
        <f t="shared" si="35"/>
        <v>2021</v>
      </c>
      <c r="D111" s="6">
        <f>'Monthly Data'!N111</f>
        <v>18800724.077532545</v>
      </c>
      <c r="E111">
        <v>545.5999999999998</v>
      </c>
      <c r="F111">
        <v>0</v>
      </c>
      <c r="G111">
        <v>28</v>
      </c>
      <c r="H111">
        <v>0</v>
      </c>
      <c r="I111">
        <f>'Monthly Data'!P111</f>
        <v>369</v>
      </c>
      <c r="J111">
        <f>'Monthly Data'!CJ111</f>
        <v>0</v>
      </c>
      <c r="L111" s="6">
        <f t="shared" si="36"/>
        <v>-4550747.7974309605</v>
      </c>
      <c r="M111" s="6">
        <f t="shared" si="37"/>
        <v>3921581.1460763747</v>
      </c>
      <c r="N111" s="6">
        <f t="shared" si="38"/>
        <v>0</v>
      </c>
      <c r="O111" s="6">
        <f t="shared" si="39"/>
        <v>13708219.76805957</v>
      </c>
      <c r="P111" s="6">
        <f t="shared" si="29"/>
        <v>0</v>
      </c>
      <c r="Q111" s="6">
        <f t="shared" si="40"/>
        <v>5857023.4470073124</v>
      </c>
      <c r="R111" s="6">
        <f t="shared" si="30"/>
        <v>0</v>
      </c>
      <c r="S111" s="6">
        <f t="shared" si="31"/>
        <v>18936076.563712299</v>
      </c>
      <c r="T111" s="6">
        <f t="shared" si="41"/>
        <v>135352.48617975414</v>
      </c>
      <c r="U111" s="15">
        <f t="shared" si="42"/>
        <v>7.1993230484938935E-3</v>
      </c>
    </row>
    <row r="112" spans="1:21">
      <c r="A112" s="245">
        <v>44256</v>
      </c>
      <c r="B112">
        <f t="shared" si="34"/>
        <v>3</v>
      </c>
      <c r="C112">
        <f t="shared" si="35"/>
        <v>2021</v>
      </c>
      <c r="D112" s="6">
        <f>'Monthly Data'!N112</f>
        <v>18732854.230432551</v>
      </c>
      <c r="E112">
        <v>308.70000000000005</v>
      </c>
      <c r="F112">
        <v>0.19999999999999929</v>
      </c>
      <c r="G112">
        <v>31</v>
      </c>
      <c r="H112">
        <v>0</v>
      </c>
      <c r="I112">
        <f>'Monthly Data'!P112</f>
        <v>370</v>
      </c>
      <c r="J112">
        <f>'Monthly Data'!CJ112</f>
        <v>0</v>
      </c>
      <c r="L112" s="6">
        <f t="shared" si="36"/>
        <v>-4550747.7974309605</v>
      </c>
      <c r="M112" s="6">
        <f t="shared" si="37"/>
        <v>2218827.1623786245</v>
      </c>
      <c r="N112" s="6">
        <f t="shared" si="38"/>
        <v>4707.3649958372434</v>
      </c>
      <c r="O112" s="6">
        <f t="shared" si="39"/>
        <v>15176957.600351669</v>
      </c>
      <c r="P112" s="6">
        <f t="shared" si="29"/>
        <v>0</v>
      </c>
      <c r="Q112" s="6">
        <f t="shared" si="40"/>
        <v>5872896.1392756244</v>
      </c>
      <c r="R112" s="6">
        <f t="shared" si="30"/>
        <v>0</v>
      </c>
      <c r="S112" s="6">
        <f t="shared" si="31"/>
        <v>18722640.469570793</v>
      </c>
      <c r="T112" s="6">
        <f t="shared" si="41"/>
        <v>-10213.760861758143</v>
      </c>
      <c r="U112" s="15">
        <f t="shared" si="42"/>
        <v>5.4523249559937999E-4</v>
      </c>
    </row>
    <row r="113" spans="1:21">
      <c r="A113" s="245">
        <v>44287</v>
      </c>
      <c r="B113">
        <f t="shared" si="34"/>
        <v>4</v>
      </c>
      <c r="C113">
        <f t="shared" si="35"/>
        <v>2021</v>
      </c>
      <c r="D113" s="6">
        <f>'Monthly Data'!N113</f>
        <v>16690634.706432544</v>
      </c>
      <c r="E113">
        <v>174.19999999999996</v>
      </c>
      <c r="F113">
        <v>5.6000000000000014</v>
      </c>
      <c r="G113">
        <v>30</v>
      </c>
      <c r="H113">
        <v>0</v>
      </c>
      <c r="I113">
        <f>'Monthly Data'!P113</f>
        <v>371</v>
      </c>
      <c r="J113" s="68">
        <f>'Monthly Data'!CJ113</f>
        <v>0</v>
      </c>
      <c r="L113" s="6">
        <f t="shared" si="36"/>
        <v>-4550747.7974309605</v>
      </c>
      <c r="M113" s="6">
        <f t="shared" si="37"/>
        <v>1252088.4084430069</v>
      </c>
      <c r="N113" s="6">
        <f t="shared" si="38"/>
        <v>131806.21988344332</v>
      </c>
      <c r="O113" s="6">
        <f t="shared" si="39"/>
        <v>14687378.322920969</v>
      </c>
      <c r="P113" s="6">
        <f t="shared" si="29"/>
        <v>0</v>
      </c>
      <c r="Q113" s="6">
        <f t="shared" si="40"/>
        <v>5888768.8315439373</v>
      </c>
      <c r="R113" s="6">
        <f t="shared" si="30"/>
        <v>0</v>
      </c>
      <c r="S113" s="6">
        <f t="shared" si="31"/>
        <v>17409293.985360395</v>
      </c>
      <c r="T113" s="6">
        <f t="shared" si="41"/>
        <v>718659.27892785147</v>
      </c>
      <c r="U113" s="15">
        <f t="shared" si="42"/>
        <v>4.3057636307316779E-2</v>
      </c>
    </row>
    <row r="114" spans="1:21">
      <c r="A114" s="245">
        <v>44317</v>
      </c>
      <c r="B114">
        <f t="shared" si="34"/>
        <v>5</v>
      </c>
      <c r="C114">
        <f t="shared" si="35"/>
        <v>2021</v>
      </c>
      <c r="D114" s="6">
        <f>'Monthly Data'!N114</f>
        <v>17249466.064732548</v>
      </c>
      <c r="E114">
        <v>97</v>
      </c>
      <c r="F114">
        <v>40.6</v>
      </c>
      <c r="G114">
        <v>31</v>
      </c>
      <c r="H114">
        <v>0</v>
      </c>
      <c r="I114">
        <f>'Monthly Data'!P114</f>
        <v>370</v>
      </c>
      <c r="J114">
        <f>'Monthly Data'!CJ114</f>
        <v>0</v>
      </c>
      <c r="L114" s="6">
        <f t="shared" si="36"/>
        <v>-4550747.7974309605</v>
      </c>
      <c r="M114" s="6">
        <f t="shared" si="37"/>
        <v>697201.9266301475</v>
      </c>
      <c r="N114" s="6">
        <f t="shared" si="38"/>
        <v>955595.09415496385</v>
      </c>
      <c r="O114" s="6">
        <f t="shared" si="39"/>
        <v>15176957.600351669</v>
      </c>
      <c r="P114" s="6">
        <f t="shared" si="29"/>
        <v>0</v>
      </c>
      <c r="Q114" s="6">
        <f t="shared" si="40"/>
        <v>5872896.1392756244</v>
      </c>
      <c r="R114" s="6">
        <f t="shared" si="30"/>
        <v>0</v>
      </c>
      <c r="S114" s="6">
        <f t="shared" si="31"/>
        <v>18151902.962981444</v>
      </c>
      <c r="T114" s="6">
        <f t="shared" si="41"/>
        <v>902436.898248896</v>
      </c>
      <c r="U114" s="15">
        <f t="shared" si="42"/>
        <v>5.2316801857071757E-2</v>
      </c>
    </row>
    <row r="115" spans="1:21">
      <c r="A115" s="245">
        <v>44348</v>
      </c>
      <c r="B115">
        <f t="shared" si="34"/>
        <v>6</v>
      </c>
      <c r="C115">
        <f t="shared" si="35"/>
        <v>2021</v>
      </c>
      <c r="D115" s="6">
        <f>'Monthly Data'!N115</f>
        <v>18880616.946932543</v>
      </c>
      <c r="E115">
        <v>0</v>
      </c>
      <c r="F115">
        <v>153.60000000000002</v>
      </c>
      <c r="G115">
        <v>30</v>
      </c>
      <c r="H115">
        <v>0</v>
      </c>
      <c r="I115">
        <f>'Monthly Data'!P115</f>
        <v>374</v>
      </c>
      <c r="J115">
        <f>'Monthly Data'!CJ115</f>
        <v>0</v>
      </c>
      <c r="L115" s="6">
        <f t="shared" si="36"/>
        <v>-4550747.7974309605</v>
      </c>
      <c r="M115" s="6">
        <f t="shared" si="37"/>
        <v>0</v>
      </c>
      <c r="N115" s="6">
        <f t="shared" si="38"/>
        <v>3615256.3168030167</v>
      </c>
      <c r="O115" s="6">
        <f t="shared" si="39"/>
        <v>14687378.322920969</v>
      </c>
      <c r="P115" s="6">
        <f t="shared" si="29"/>
        <v>0</v>
      </c>
      <c r="Q115" s="6">
        <f t="shared" si="40"/>
        <v>5936386.9083488751</v>
      </c>
      <c r="R115" s="6">
        <f t="shared" si="30"/>
        <v>0</v>
      </c>
      <c r="S115" s="6">
        <f t="shared" si="31"/>
        <v>19688273.750641897</v>
      </c>
      <c r="T115" s="6">
        <f t="shared" si="41"/>
        <v>807656.80370935425</v>
      </c>
      <c r="U115" s="15">
        <f t="shared" si="42"/>
        <v>4.2777034562981847E-2</v>
      </c>
    </row>
    <row r="116" spans="1:21">
      <c r="A116" s="245">
        <v>44378</v>
      </c>
      <c r="B116">
        <f t="shared" si="34"/>
        <v>7</v>
      </c>
      <c r="C116">
        <f t="shared" si="35"/>
        <v>2021</v>
      </c>
      <c r="D116" s="6">
        <f>'Monthly Data'!N116</f>
        <v>19932935.032132547</v>
      </c>
      <c r="E116">
        <v>0</v>
      </c>
      <c r="F116">
        <v>150.49999999999997</v>
      </c>
      <c r="G116">
        <v>31</v>
      </c>
      <c r="H116">
        <v>0</v>
      </c>
      <c r="I116">
        <f>'Monthly Data'!P116</f>
        <v>375</v>
      </c>
      <c r="J116">
        <f>'Monthly Data'!CJ116</f>
        <v>0</v>
      </c>
      <c r="L116" s="6">
        <f t="shared" si="36"/>
        <v>-4550747.7974309605</v>
      </c>
      <c r="M116" s="6">
        <f t="shared" si="37"/>
        <v>0</v>
      </c>
      <c r="N116" s="6">
        <f t="shared" si="38"/>
        <v>3542292.1593675376</v>
      </c>
      <c r="O116" s="6">
        <f t="shared" si="39"/>
        <v>15176957.600351669</v>
      </c>
      <c r="P116" s="6">
        <f t="shared" si="29"/>
        <v>0</v>
      </c>
      <c r="Q116" s="6">
        <f t="shared" si="40"/>
        <v>5952259.6006171871</v>
      </c>
      <c r="R116" s="6">
        <f t="shared" si="30"/>
        <v>0</v>
      </c>
      <c r="S116" s="6">
        <f t="shared" si="31"/>
        <v>20120761.562905431</v>
      </c>
      <c r="T116" s="6">
        <f t="shared" si="41"/>
        <v>187826.53077288345</v>
      </c>
      <c r="U116" s="15">
        <f t="shared" si="42"/>
        <v>9.4229239432176391E-3</v>
      </c>
    </row>
    <row r="117" spans="1:21">
      <c r="A117" s="245">
        <v>44409</v>
      </c>
      <c r="B117">
        <f t="shared" si="34"/>
        <v>8</v>
      </c>
      <c r="C117">
        <f t="shared" si="35"/>
        <v>2021</v>
      </c>
      <c r="D117" s="6">
        <f>'Monthly Data'!N117</f>
        <v>20931136.735932548</v>
      </c>
      <c r="E117">
        <v>0</v>
      </c>
      <c r="F117">
        <v>189.7</v>
      </c>
      <c r="G117">
        <v>31</v>
      </c>
      <c r="H117">
        <v>0</v>
      </c>
      <c r="I117">
        <f>'Monthly Data'!P117</f>
        <v>375</v>
      </c>
      <c r="J117">
        <f>'Monthly Data'!CJ117</f>
        <v>0</v>
      </c>
      <c r="L117" s="6">
        <f t="shared" si="36"/>
        <v>-4550747.7974309605</v>
      </c>
      <c r="M117" s="6">
        <f t="shared" si="37"/>
        <v>0</v>
      </c>
      <c r="N117" s="6">
        <f t="shared" si="38"/>
        <v>4464935.6985516408</v>
      </c>
      <c r="O117" s="6">
        <f t="shared" si="39"/>
        <v>15176957.600351669</v>
      </c>
      <c r="P117" s="6">
        <f t="shared" si="29"/>
        <v>0</v>
      </c>
      <c r="Q117" s="6">
        <f t="shared" si="40"/>
        <v>5952259.6006171871</v>
      </c>
      <c r="R117" s="6">
        <f t="shared" si="30"/>
        <v>0</v>
      </c>
      <c r="S117" s="6">
        <f t="shared" si="31"/>
        <v>21043405.102089539</v>
      </c>
      <c r="T117" s="6">
        <f t="shared" si="41"/>
        <v>112268.36615699157</v>
      </c>
      <c r="U117" s="15">
        <f t="shared" si="42"/>
        <v>5.3637013399401344E-3</v>
      </c>
    </row>
    <row r="118" spans="1:21">
      <c r="A118" s="245">
        <v>44440</v>
      </c>
      <c r="B118">
        <f t="shared" si="34"/>
        <v>9</v>
      </c>
      <c r="C118">
        <f t="shared" si="35"/>
        <v>2021</v>
      </c>
      <c r="D118" s="6">
        <f>'Monthly Data'!N118</f>
        <v>18386871.497632541</v>
      </c>
      <c r="E118">
        <v>5.6999999999999975</v>
      </c>
      <c r="F118">
        <v>65.5</v>
      </c>
      <c r="G118">
        <v>30</v>
      </c>
      <c r="H118">
        <v>1</v>
      </c>
      <c r="I118">
        <f>'Monthly Data'!P118</f>
        <v>375</v>
      </c>
      <c r="J118">
        <f>'Monthly Data'!CJ118</f>
        <v>0</v>
      </c>
      <c r="L118" s="6">
        <f t="shared" si="36"/>
        <v>-4550747.7974309605</v>
      </c>
      <c r="M118" s="6">
        <f t="shared" si="37"/>
        <v>40969.597750431327</v>
      </c>
      <c r="N118" s="6">
        <f t="shared" si="38"/>
        <v>1541662.0361367029</v>
      </c>
      <c r="O118" s="6">
        <f t="shared" si="39"/>
        <v>14687378.322920969</v>
      </c>
      <c r="P118" s="6">
        <f t="shared" si="29"/>
        <v>463327.49867077498</v>
      </c>
      <c r="Q118" s="6">
        <f t="shared" si="40"/>
        <v>5952259.6006171871</v>
      </c>
      <c r="R118" s="6">
        <f t="shared" si="30"/>
        <v>0</v>
      </c>
      <c r="S118" s="6">
        <f t="shared" si="31"/>
        <v>18134849.258665107</v>
      </c>
      <c r="T118" s="6">
        <f t="shared" si="41"/>
        <v>-252022.23896743357</v>
      </c>
      <c r="U118" s="15">
        <f t="shared" si="42"/>
        <v>1.37066405777559E-2</v>
      </c>
    </row>
    <row r="119" spans="1:21">
      <c r="A119" s="245">
        <v>44470</v>
      </c>
      <c r="B119">
        <f t="shared" si="34"/>
        <v>10</v>
      </c>
      <c r="C119">
        <f t="shared" si="35"/>
        <v>2021</v>
      </c>
      <c r="D119" s="6">
        <f>'Monthly Data'!N119</f>
        <v>18326695.988232542</v>
      </c>
      <c r="E119">
        <v>63.599999999999994</v>
      </c>
      <c r="F119">
        <v>46.300000000000004</v>
      </c>
      <c r="G119">
        <v>31</v>
      </c>
      <c r="H119">
        <v>1</v>
      </c>
      <c r="I119">
        <f>'Monthly Data'!P119</f>
        <v>375</v>
      </c>
      <c r="J119">
        <f>'Monthly Data'!CJ119</f>
        <v>0</v>
      </c>
      <c r="L119" s="6">
        <f t="shared" si="36"/>
        <v>-4550747.7974309605</v>
      </c>
      <c r="M119" s="6">
        <f t="shared" si="37"/>
        <v>457134.45911007602</v>
      </c>
      <c r="N119" s="6">
        <f t="shared" si="38"/>
        <v>1089754.9965363259</v>
      </c>
      <c r="O119" s="6">
        <f t="shared" si="39"/>
        <v>15176957.600351669</v>
      </c>
      <c r="P119" s="6">
        <f t="shared" si="29"/>
        <v>463327.49867077498</v>
      </c>
      <c r="Q119" s="6">
        <f t="shared" si="40"/>
        <v>5952259.6006171871</v>
      </c>
      <c r="R119" s="6">
        <f t="shared" si="30"/>
        <v>0</v>
      </c>
      <c r="S119" s="6">
        <f t="shared" si="31"/>
        <v>18588686.357855074</v>
      </c>
      <c r="T119" s="6">
        <f t="shared" si="41"/>
        <v>261990.36962253228</v>
      </c>
      <c r="U119" s="15">
        <f t="shared" si="42"/>
        <v>1.4295559319080465E-2</v>
      </c>
    </row>
    <row r="120" spans="1:21">
      <c r="A120" s="245">
        <v>44501</v>
      </c>
      <c r="B120">
        <f t="shared" si="34"/>
        <v>11</v>
      </c>
      <c r="C120">
        <f t="shared" si="35"/>
        <v>2021</v>
      </c>
      <c r="D120" s="6">
        <f>'Monthly Data'!N120</f>
        <v>18313854.593332544</v>
      </c>
      <c r="E120">
        <v>303.09999999999997</v>
      </c>
      <c r="F120">
        <v>0</v>
      </c>
      <c r="G120">
        <v>30</v>
      </c>
      <c r="H120">
        <v>0</v>
      </c>
      <c r="I120">
        <f>'Monthly Data'!P120</f>
        <v>378</v>
      </c>
      <c r="J120">
        <f>'Monthly Data'!CJ120</f>
        <v>0</v>
      </c>
      <c r="L120" s="6">
        <f t="shared" si="36"/>
        <v>-4550747.7974309605</v>
      </c>
      <c r="M120" s="6">
        <f t="shared" si="37"/>
        <v>2178576.3295010072</v>
      </c>
      <c r="N120" s="6">
        <f t="shared" si="38"/>
        <v>0</v>
      </c>
      <c r="O120" s="6">
        <f t="shared" si="39"/>
        <v>14687378.322920969</v>
      </c>
      <c r="P120" s="6">
        <f t="shared" si="29"/>
        <v>0</v>
      </c>
      <c r="Q120" s="6">
        <f t="shared" si="40"/>
        <v>5999877.6774221249</v>
      </c>
      <c r="R120" s="6">
        <f t="shared" si="30"/>
        <v>0</v>
      </c>
      <c r="S120" s="6">
        <f t="shared" si="31"/>
        <v>18315084.53241314</v>
      </c>
      <c r="T120" s="6">
        <f t="shared" si="41"/>
        <v>1229.9390805959702</v>
      </c>
      <c r="U120" s="15">
        <f t="shared" si="42"/>
        <v>6.7158941026197147E-5</v>
      </c>
    </row>
    <row r="121" spans="1:21">
      <c r="A121" s="245">
        <v>44531</v>
      </c>
      <c r="B121">
        <f t="shared" si="34"/>
        <v>12</v>
      </c>
      <c r="C121">
        <f t="shared" si="35"/>
        <v>2021</v>
      </c>
      <c r="D121" s="6">
        <f>'Monthly Data'!N121</f>
        <v>18843469.397732548</v>
      </c>
      <c r="E121">
        <v>373.4</v>
      </c>
      <c r="F121">
        <v>0</v>
      </c>
      <c r="G121">
        <v>31</v>
      </c>
      <c r="H121">
        <v>0</v>
      </c>
      <c r="I121">
        <f>'Monthly Data'!P121</f>
        <v>378</v>
      </c>
      <c r="J121">
        <f>'Monthly Data'!CJ121</f>
        <v>0</v>
      </c>
      <c r="L121" s="6">
        <f t="shared" si="36"/>
        <v>-4550747.7974309605</v>
      </c>
      <c r="M121" s="6">
        <f t="shared" si="37"/>
        <v>2683868.0350896604</v>
      </c>
      <c r="N121" s="6">
        <f t="shared" si="38"/>
        <v>0</v>
      </c>
      <c r="O121" s="6">
        <f t="shared" si="39"/>
        <v>15176957.600351669</v>
      </c>
      <c r="P121" s="6">
        <f t="shared" si="29"/>
        <v>0</v>
      </c>
      <c r="Q121" s="6">
        <f t="shared" si="40"/>
        <v>5999877.6774221249</v>
      </c>
      <c r="R121" s="6">
        <f t="shared" si="30"/>
        <v>0</v>
      </c>
      <c r="S121" s="6">
        <f t="shared" si="31"/>
        <v>19309955.515432492</v>
      </c>
      <c r="T121" s="6">
        <f t="shared" si="41"/>
        <v>466486.11769994348</v>
      </c>
      <c r="U121" s="15">
        <f t="shared" si="42"/>
        <v>2.4755850839022042E-2</v>
      </c>
    </row>
    <row r="122" spans="1:21">
      <c r="A122" s="245">
        <v>44562</v>
      </c>
      <c r="B122">
        <f t="shared" ref="B122:B133" si="43">MONTH(A122)</f>
        <v>1</v>
      </c>
      <c r="C122">
        <f t="shared" ref="C122:C133" si="44">YEAR(A122)</f>
        <v>2022</v>
      </c>
      <c r="D122" s="6">
        <f>'Monthly Data'!N122</f>
        <v>20731555.061192818</v>
      </c>
      <c r="E122">
        <f>'Monthly Data'!AO122</f>
        <v>649.79999999999984</v>
      </c>
      <c r="F122">
        <f>'Monthly Data'!AN122</f>
        <v>0</v>
      </c>
      <c r="G122">
        <f>'Monthly Data'!CF122</f>
        <v>31</v>
      </c>
      <c r="H122">
        <f>H110</f>
        <v>0</v>
      </c>
      <c r="I122">
        <f>'Monthly Data'!P122</f>
        <v>380</v>
      </c>
      <c r="J122">
        <f>'Monthly Data'!CJ122</f>
        <v>0</v>
      </c>
      <c r="L122" s="6">
        <f t="shared" si="36"/>
        <v>-4550747.7974309605</v>
      </c>
      <c r="M122" s="6">
        <f t="shared" ref="M122:M133" si="45">E122*$X$8</f>
        <v>4670534.1435491722</v>
      </c>
      <c r="N122" s="6">
        <f t="shared" ref="N122:N133" si="46">F122*$X$9</f>
        <v>0</v>
      </c>
      <c r="O122" s="6">
        <f t="shared" ref="O122:O133" si="47">G122*$X$10</f>
        <v>15176957.600351669</v>
      </c>
      <c r="P122" s="6">
        <f t="shared" ref="P122:P133" si="48">H122*$X$11</f>
        <v>0</v>
      </c>
      <c r="Q122" s="6">
        <f t="shared" ref="Q122:Q133" si="49">I122*$X$12</f>
        <v>6031623.0619587498</v>
      </c>
      <c r="R122" s="6">
        <f t="shared" ref="R122:R133" si="50">J122*$X$13</f>
        <v>0</v>
      </c>
      <c r="S122" s="6">
        <f t="shared" ref="S122:S133" si="51">SUM(L122:R122)</f>
        <v>21328367.008428629</v>
      </c>
      <c r="T122" s="6">
        <f t="shared" ref="T122:T133" si="52">S122-D122</f>
        <v>596811.9472358115</v>
      </c>
      <c r="U122" s="15">
        <f t="shared" ref="U122:U133" si="53">ABS(S122-D122)/D122</f>
        <v>2.8787611227147045E-2</v>
      </c>
    </row>
    <row r="123" spans="1:21">
      <c r="A123" s="245">
        <v>44593</v>
      </c>
      <c r="B123">
        <f t="shared" si="43"/>
        <v>2</v>
      </c>
      <c r="C123">
        <f t="shared" si="44"/>
        <v>2022</v>
      </c>
      <c r="D123" s="6">
        <f>'Monthly Data'!N123</f>
        <v>19281807.061192818</v>
      </c>
      <c r="E123">
        <f>'Monthly Data'!AO123</f>
        <v>494.60000000000008</v>
      </c>
      <c r="F123">
        <f>'Monthly Data'!AN123</f>
        <v>0</v>
      </c>
      <c r="G123">
        <f>'Monthly Data'!CF123</f>
        <v>28</v>
      </c>
      <c r="H123">
        <f t="shared" ref="H123:H133" si="54">H111</f>
        <v>0</v>
      </c>
      <c r="I123">
        <f>'Monthly Data'!P123</f>
        <v>379</v>
      </c>
      <c r="J123">
        <f>'Monthly Data'!CJ123</f>
        <v>0</v>
      </c>
      <c r="L123" s="6">
        <f t="shared" si="36"/>
        <v>-4550747.7974309605</v>
      </c>
      <c r="M123" s="6">
        <f t="shared" si="45"/>
        <v>3555011.0609409381</v>
      </c>
      <c r="N123" s="6">
        <f t="shared" si="46"/>
        <v>0</v>
      </c>
      <c r="O123" s="6">
        <f t="shared" si="47"/>
        <v>13708219.76805957</v>
      </c>
      <c r="P123" s="6">
        <f t="shared" si="48"/>
        <v>0</v>
      </c>
      <c r="Q123" s="6">
        <f t="shared" si="49"/>
        <v>6015750.3696904369</v>
      </c>
      <c r="R123" s="6">
        <f t="shared" si="50"/>
        <v>0</v>
      </c>
      <c r="S123" s="6">
        <f t="shared" si="51"/>
        <v>18728233.401259985</v>
      </c>
      <c r="T123" s="6">
        <f t="shared" si="52"/>
        <v>-553573.65993283316</v>
      </c>
      <c r="U123" s="15">
        <f t="shared" si="53"/>
        <v>2.8709635885060442E-2</v>
      </c>
    </row>
    <row r="124" spans="1:21">
      <c r="A124" s="245">
        <v>44621</v>
      </c>
      <c r="B124">
        <f t="shared" si="43"/>
        <v>3</v>
      </c>
      <c r="C124">
        <f t="shared" si="44"/>
        <v>2022</v>
      </c>
      <c r="D124" s="6">
        <f>'Monthly Data'!N124</f>
        <v>20150700.061192818</v>
      </c>
      <c r="E124">
        <f>'Monthly Data'!AO124</f>
        <v>382.30000000000013</v>
      </c>
      <c r="F124">
        <f>'Monthly Data'!AN124</f>
        <v>0</v>
      </c>
      <c r="G124">
        <f>'Monthly Data'!CF124</f>
        <v>31</v>
      </c>
      <c r="H124">
        <f t="shared" si="54"/>
        <v>0</v>
      </c>
      <c r="I124">
        <f>'Monthly Data'!P124</f>
        <v>380</v>
      </c>
      <c r="J124">
        <f>'Monthly Data'!CJ124</f>
        <v>0</v>
      </c>
      <c r="L124" s="6">
        <f t="shared" si="36"/>
        <v>-4550747.7974309605</v>
      </c>
      <c r="M124" s="6">
        <f t="shared" si="45"/>
        <v>2747838.1087701595</v>
      </c>
      <c r="N124" s="6">
        <f t="shared" si="46"/>
        <v>0</v>
      </c>
      <c r="O124" s="6">
        <f t="shared" si="47"/>
        <v>15176957.600351669</v>
      </c>
      <c r="P124" s="6">
        <f t="shared" si="48"/>
        <v>0</v>
      </c>
      <c r="Q124" s="6">
        <f t="shared" si="49"/>
        <v>6031623.0619587498</v>
      </c>
      <c r="R124" s="6">
        <f t="shared" si="50"/>
        <v>0</v>
      </c>
      <c r="S124" s="6">
        <f t="shared" si="51"/>
        <v>19405670.973649617</v>
      </c>
      <c r="T124" s="6">
        <f t="shared" si="52"/>
        <v>-745029.0875432007</v>
      </c>
      <c r="U124" s="15">
        <f t="shared" si="53"/>
        <v>3.697286373578719E-2</v>
      </c>
    </row>
    <row r="125" spans="1:21">
      <c r="A125" s="245">
        <v>44652</v>
      </c>
      <c r="B125">
        <f t="shared" si="43"/>
        <v>4</v>
      </c>
      <c r="C125">
        <f t="shared" si="44"/>
        <v>2022</v>
      </c>
      <c r="D125" s="6">
        <f>'Monthly Data'!N125</f>
        <v>17637132.061192818</v>
      </c>
      <c r="E125">
        <f>'Monthly Data'!AO125</f>
        <v>246.29999999999995</v>
      </c>
      <c r="F125">
        <f>'Monthly Data'!AN125</f>
        <v>3.1000000000000014</v>
      </c>
      <c r="G125">
        <f>'Monthly Data'!CF125</f>
        <v>30</v>
      </c>
      <c r="H125">
        <f t="shared" si="54"/>
        <v>0</v>
      </c>
      <c r="I125">
        <f>'Monthly Data'!P125</f>
        <v>369</v>
      </c>
      <c r="J125">
        <f>'Monthly Data'!CJ125</f>
        <v>0</v>
      </c>
      <c r="L125" s="6">
        <f t="shared" si="36"/>
        <v>-4550747.7974309605</v>
      </c>
      <c r="M125" s="6">
        <f t="shared" si="45"/>
        <v>1770317.8817423226</v>
      </c>
      <c r="N125" s="6">
        <f t="shared" si="46"/>
        <v>72964.157435477566</v>
      </c>
      <c r="O125" s="6">
        <f t="shared" si="47"/>
        <v>14687378.322920969</v>
      </c>
      <c r="P125" s="6">
        <f t="shared" si="48"/>
        <v>0</v>
      </c>
      <c r="Q125" s="6">
        <f t="shared" si="49"/>
        <v>5857023.4470073124</v>
      </c>
      <c r="R125" s="6">
        <f t="shared" si="50"/>
        <v>0</v>
      </c>
      <c r="S125" s="6">
        <f t="shared" si="51"/>
        <v>17836936.011675123</v>
      </c>
      <c r="T125" s="6">
        <f t="shared" si="52"/>
        <v>199803.95048230514</v>
      </c>
      <c r="U125" s="15">
        <f t="shared" si="53"/>
        <v>1.1328596383418597E-2</v>
      </c>
    </row>
    <row r="126" spans="1:21">
      <c r="A126" s="245">
        <v>44682</v>
      </c>
      <c r="B126">
        <f t="shared" si="43"/>
        <v>5</v>
      </c>
      <c r="C126">
        <f t="shared" si="44"/>
        <v>2022</v>
      </c>
      <c r="D126" s="6">
        <f>'Monthly Data'!N126</f>
        <v>18019048.061192818</v>
      </c>
      <c r="E126">
        <f>'Monthly Data'!AO126</f>
        <v>59.300000000000011</v>
      </c>
      <c r="F126">
        <f>'Monthly Data'!AN126</f>
        <v>57.3</v>
      </c>
      <c r="G126">
        <f>'Monthly Data'!CF126</f>
        <v>31</v>
      </c>
      <c r="H126">
        <f t="shared" si="54"/>
        <v>0</v>
      </c>
      <c r="I126">
        <f>'Monthly Data'!P126</f>
        <v>369</v>
      </c>
      <c r="J126">
        <f>'Monthly Data'!CJ126</f>
        <v>0</v>
      </c>
      <c r="L126" s="6">
        <f t="shared" si="36"/>
        <v>-4550747.7974309605</v>
      </c>
      <c r="M126" s="6">
        <f t="shared" si="45"/>
        <v>426227.56957904901</v>
      </c>
      <c r="N126" s="6">
        <f t="shared" si="46"/>
        <v>1348660.0713073751</v>
      </c>
      <c r="O126" s="6">
        <f t="shared" si="47"/>
        <v>15176957.600351669</v>
      </c>
      <c r="P126" s="6">
        <f t="shared" si="48"/>
        <v>0</v>
      </c>
      <c r="Q126" s="6">
        <f t="shared" si="49"/>
        <v>5857023.4470073124</v>
      </c>
      <c r="R126" s="6">
        <f t="shared" si="50"/>
        <v>0</v>
      </c>
      <c r="S126" s="6">
        <f t="shared" si="51"/>
        <v>18258120.890814446</v>
      </c>
      <c r="T126" s="6">
        <f t="shared" si="52"/>
        <v>239072.82962162793</v>
      </c>
      <c r="U126" s="15">
        <f t="shared" si="53"/>
        <v>1.3267783559360898E-2</v>
      </c>
    </row>
    <row r="127" spans="1:21">
      <c r="A127" s="245">
        <v>44713</v>
      </c>
      <c r="B127">
        <f t="shared" si="43"/>
        <v>6</v>
      </c>
      <c r="C127">
        <f t="shared" si="44"/>
        <v>2022</v>
      </c>
      <c r="D127" s="6">
        <f>'Monthly Data'!N127</f>
        <v>18637054.061192818</v>
      </c>
      <c r="E127">
        <f>'Monthly Data'!AO127</f>
        <v>2.8999999999999986</v>
      </c>
      <c r="F127">
        <f>'Monthly Data'!AN127</f>
        <v>96.5</v>
      </c>
      <c r="G127">
        <f>'Monthly Data'!CF127</f>
        <v>30</v>
      </c>
      <c r="H127">
        <f t="shared" si="54"/>
        <v>0</v>
      </c>
      <c r="I127">
        <f>'Monthly Data'!P127</f>
        <v>366</v>
      </c>
      <c r="J127">
        <f>'Monthly Data'!CJ127</f>
        <v>0</v>
      </c>
      <c r="L127" s="6">
        <f t="shared" si="36"/>
        <v>-4550747.7974309605</v>
      </c>
      <c r="M127" s="6">
        <f t="shared" si="45"/>
        <v>20844.181311622957</v>
      </c>
      <c r="N127" s="6">
        <f t="shared" si="46"/>
        <v>2271303.6104914784</v>
      </c>
      <c r="O127" s="6">
        <f t="shared" si="47"/>
        <v>14687378.322920969</v>
      </c>
      <c r="P127" s="6">
        <f t="shared" si="48"/>
        <v>0</v>
      </c>
      <c r="Q127" s="6">
        <f t="shared" si="49"/>
        <v>5809405.3702023746</v>
      </c>
      <c r="R127" s="6">
        <f t="shared" si="50"/>
        <v>0</v>
      </c>
      <c r="S127" s="6">
        <f t="shared" si="51"/>
        <v>18238183.687495485</v>
      </c>
      <c r="T127" s="6">
        <f t="shared" si="52"/>
        <v>-398870.37369733304</v>
      </c>
      <c r="U127" s="15">
        <f t="shared" si="53"/>
        <v>2.140200765569944E-2</v>
      </c>
    </row>
    <row r="128" spans="1:21">
      <c r="A128" s="245">
        <v>44743</v>
      </c>
      <c r="B128">
        <f t="shared" si="43"/>
        <v>7</v>
      </c>
      <c r="C128">
        <f t="shared" si="44"/>
        <v>2022</v>
      </c>
      <c r="D128" s="6">
        <f>'Monthly Data'!N128</f>
        <v>20163206.061192818</v>
      </c>
      <c r="E128">
        <f>'Monthly Data'!AO128</f>
        <v>0</v>
      </c>
      <c r="F128">
        <f>'Monthly Data'!AN128</f>
        <v>183.89999999999995</v>
      </c>
      <c r="G128">
        <f>'Monthly Data'!CF128</f>
        <v>31</v>
      </c>
      <c r="H128">
        <f t="shared" si="54"/>
        <v>0</v>
      </c>
      <c r="I128">
        <f>'Monthly Data'!P128</f>
        <v>367</v>
      </c>
      <c r="J128">
        <f>'Monthly Data'!CJ128</f>
        <v>0</v>
      </c>
      <c r="L128" s="6">
        <f t="shared" si="36"/>
        <v>-4550747.7974309605</v>
      </c>
      <c r="M128" s="6">
        <f t="shared" si="45"/>
        <v>0</v>
      </c>
      <c r="N128" s="6">
        <f t="shared" si="46"/>
        <v>4328422.1136723598</v>
      </c>
      <c r="O128" s="6">
        <f t="shared" si="47"/>
        <v>15176957.600351669</v>
      </c>
      <c r="P128" s="6">
        <f t="shared" si="48"/>
        <v>0</v>
      </c>
      <c r="Q128" s="6">
        <f t="shared" si="49"/>
        <v>5825278.0624706876</v>
      </c>
      <c r="R128" s="6">
        <f t="shared" si="50"/>
        <v>0</v>
      </c>
      <c r="S128" s="6">
        <f t="shared" si="51"/>
        <v>20779909.979063757</v>
      </c>
      <c r="T128" s="6">
        <f t="shared" si="52"/>
        <v>616703.91787093878</v>
      </c>
      <c r="U128" s="15">
        <f t="shared" si="53"/>
        <v>3.0585608062493594E-2</v>
      </c>
    </row>
    <row r="129" spans="1:26">
      <c r="A129" s="245">
        <v>44774</v>
      </c>
      <c r="B129">
        <f t="shared" si="43"/>
        <v>8</v>
      </c>
      <c r="C129">
        <f t="shared" si="44"/>
        <v>2022</v>
      </c>
      <c r="D129" s="6">
        <f>'Monthly Data'!N129</f>
        <v>20183068.061192818</v>
      </c>
      <c r="E129">
        <f>'Monthly Data'!AO129</f>
        <v>0</v>
      </c>
      <c r="F129">
        <f>'Monthly Data'!AN129</f>
        <v>167.99999999999997</v>
      </c>
      <c r="G129">
        <f>'Monthly Data'!CF129</f>
        <v>31</v>
      </c>
      <c r="H129">
        <f t="shared" si="54"/>
        <v>0</v>
      </c>
      <c r="I129">
        <f>'Monthly Data'!P129</f>
        <v>367</v>
      </c>
      <c r="J129">
        <f>'Monthly Data'!CJ129</f>
        <v>0</v>
      </c>
      <c r="L129" s="6">
        <f t="shared" si="36"/>
        <v>-4550747.7974309605</v>
      </c>
      <c r="M129" s="6">
        <f t="shared" si="45"/>
        <v>0</v>
      </c>
      <c r="N129" s="6">
        <f t="shared" si="46"/>
        <v>3954186.5965032983</v>
      </c>
      <c r="O129" s="6">
        <f t="shared" si="47"/>
        <v>15176957.600351669</v>
      </c>
      <c r="P129" s="6">
        <f t="shared" si="48"/>
        <v>0</v>
      </c>
      <c r="Q129" s="6">
        <f t="shared" si="49"/>
        <v>5825278.0624706876</v>
      </c>
      <c r="R129" s="6">
        <f t="shared" si="50"/>
        <v>0</v>
      </c>
      <c r="S129" s="6">
        <f t="shared" si="51"/>
        <v>20405674.461894695</v>
      </c>
      <c r="T129" s="6">
        <f t="shared" si="52"/>
        <v>222606.40070187673</v>
      </c>
      <c r="U129" s="15">
        <f t="shared" si="53"/>
        <v>1.1029363822534754E-2</v>
      </c>
    </row>
    <row r="130" spans="1:26">
      <c r="A130" s="245">
        <v>44805</v>
      </c>
      <c r="B130">
        <f t="shared" si="43"/>
        <v>9</v>
      </c>
      <c r="C130">
        <f t="shared" si="44"/>
        <v>2022</v>
      </c>
      <c r="D130" s="6">
        <f>'Monthly Data'!N130</f>
        <v>18679517.061192818</v>
      </c>
      <c r="E130">
        <f>'Monthly Data'!AO130</f>
        <v>17.5</v>
      </c>
      <c r="F130">
        <f>'Monthly Data'!AN130</f>
        <v>79.700000000000017</v>
      </c>
      <c r="G130">
        <f>'Monthly Data'!CF130</f>
        <v>30</v>
      </c>
      <c r="H130">
        <f t="shared" si="54"/>
        <v>1</v>
      </c>
      <c r="I130">
        <f>'Monthly Data'!P130</f>
        <v>368</v>
      </c>
      <c r="J130">
        <f>'Monthly Data'!CJ130</f>
        <v>0</v>
      </c>
      <c r="L130" s="6">
        <f t="shared" si="36"/>
        <v>-4550747.7974309605</v>
      </c>
      <c r="M130" s="6">
        <f t="shared" si="45"/>
        <v>125783.85274255238</v>
      </c>
      <c r="N130" s="6">
        <f t="shared" si="46"/>
        <v>1875884.9508411486</v>
      </c>
      <c r="O130" s="6">
        <f t="shared" si="47"/>
        <v>14687378.322920969</v>
      </c>
      <c r="P130" s="6">
        <f t="shared" si="48"/>
        <v>463327.49867077498</v>
      </c>
      <c r="Q130" s="6">
        <f t="shared" si="49"/>
        <v>5841150.7547389995</v>
      </c>
      <c r="R130" s="6">
        <f t="shared" si="50"/>
        <v>0</v>
      </c>
      <c r="S130" s="6">
        <f t="shared" si="51"/>
        <v>18442777.582483485</v>
      </c>
      <c r="T130" s="6">
        <f t="shared" si="52"/>
        <v>-236739.47870933264</v>
      </c>
      <c r="U130" s="15">
        <f t="shared" si="53"/>
        <v>1.2673747288743618E-2</v>
      </c>
    </row>
    <row r="131" spans="1:26">
      <c r="A131" s="245">
        <v>44835</v>
      </c>
      <c r="B131">
        <f t="shared" si="43"/>
        <v>10</v>
      </c>
      <c r="C131">
        <f t="shared" si="44"/>
        <v>2022</v>
      </c>
      <c r="D131" s="6">
        <f>'Monthly Data'!N131</f>
        <v>17943435.061192818</v>
      </c>
      <c r="E131">
        <f>'Monthly Data'!AO131</f>
        <v>125.90000000000002</v>
      </c>
      <c r="F131">
        <f>'Monthly Data'!AN131</f>
        <v>7.0000000000000036</v>
      </c>
      <c r="G131">
        <f>'Monthly Data'!CF131</f>
        <v>31</v>
      </c>
      <c r="H131">
        <f t="shared" si="54"/>
        <v>1</v>
      </c>
      <c r="I131">
        <f>'Monthly Data'!P131</f>
        <v>369</v>
      </c>
      <c r="J131">
        <f>'Monthly Data'!CJ131</f>
        <v>0</v>
      </c>
      <c r="L131" s="6">
        <f t="shared" si="36"/>
        <v>-4550747.7974309605</v>
      </c>
      <c r="M131" s="6">
        <f t="shared" si="45"/>
        <v>904924.97487356269</v>
      </c>
      <c r="N131" s="6">
        <f t="shared" si="46"/>
        <v>164757.77485430418</v>
      </c>
      <c r="O131" s="6">
        <f t="shared" si="47"/>
        <v>15176957.600351669</v>
      </c>
      <c r="P131" s="6">
        <f t="shared" si="48"/>
        <v>463327.49867077498</v>
      </c>
      <c r="Q131" s="6">
        <f t="shared" si="49"/>
        <v>5857023.4470073124</v>
      </c>
      <c r="R131" s="6">
        <f t="shared" si="50"/>
        <v>0</v>
      </c>
      <c r="S131" s="6">
        <f t="shared" si="51"/>
        <v>18016243.498326663</v>
      </c>
      <c r="T131" s="6">
        <f t="shared" si="52"/>
        <v>72808.437133844942</v>
      </c>
      <c r="U131" s="15">
        <f t="shared" si="53"/>
        <v>4.0576643705926441E-3</v>
      </c>
    </row>
    <row r="132" spans="1:26">
      <c r="A132" s="245">
        <v>44866</v>
      </c>
      <c r="B132">
        <f t="shared" si="43"/>
        <v>11</v>
      </c>
      <c r="C132">
        <f t="shared" si="44"/>
        <v>2022</v>
      </c>
      <c r="D132" s="6">
        <f>'Monthly Data'!N132</f>
        <v>18272593.061192818</v>
      </c>
      <c r="E132">
        <f>'Monthly Data'!AO132</f>
        <v>256.90000000000003</v>
      </c>
      <c r="F132">
        <f>'Monthly Data'!AN132</f>
        <v>2.8999999999999986</v>
      </c>
      <c r="G132">
        <f>'Monthly Data'!CF132</f>
        <v>30</v>
      </c>
      <c r="H132">
        <f t="shared" si="54"/>
        <v>0</v>
      </c>
      <c r="I132">
        <f>'Monthly Data'!P132</f>
        <v>369</v>
      </c>
      <c r="J132">
        <f>'Monthly Data'!CJ132</f>
        <v>0</v>
      </c>
      <c r="L132" s="6">
        <f t="shared" si="36"/>
        <v>-4550747.7974309605</v>
      </c>
      <c r="M132" s="6">
        <f t="shared" si="45"/>
        <v>1846506.9582606691</v>
      </c>
      <c r="N132" s="6">
        <f t="shared" si="46"/>
        <v>68256.792439640238</v>
      </c>
      <c r="O132" s="6">
        <f t="shared" si="47"/>
        <v>14687378.322920969</v>
      </c>
      <c r="P132" s="6">
        <f t="shared" si="48"/>
        <v>0</v>
      </c>
      <c r="Q132" s="6">
        <f t="shared" si="49"/>
        <v>5857023.4470073124</v>
      </c>
      <c r="R132" s="6">
        <f t="shared" si="50"/>
        <v>0</v>
      </c>
      <c r="S132" s="6">
        <f t="shared" si="51"/>
        <v>17908417.723197632</v>
      </c>
      <c r="T132" s="6">
        <f t="shared" si="52"/>
        <v>-364175.33799518645</v>
      </c>
      <c r="U132" s="15">
        <f t="shared" si="53"/>
        <v>1.9930140006708681E-2</v>
      </c>
    </row>
    <row r="133" spans="1:26">
      <c r="A133" s="245">
        <v>44896</v>
      </c>
      <c r="B133">
        <f t="shared" si="43"/>
        <v>12</v>
      </c>
      <c r="C133">
        <f t="shared" si="44"/>
        <v>2022</v>
      </c>
      <c r="D133" s="6">
        <f>'Monthly Data'!N133</f>
        <v>19354282.061192818</v>
      </c>
      <c r="E133">
        <f>'Monthly Data'!AO133</f>
        <v>442.5</v>
      </c>
      <c r="F133">
        <f>'Monthly Data'!AN133</f>
        <v>0</v>
      </c>
      <c r="G133">
        <f>'Monthly Data'!CF133</f>
        <v>31</v>
      </c>
      <c r="H133">
        <f t="shared" si="54"/>
        <v>0</v>
      </c>
      <c r="I133">
        <f>'Monthly Data'!P133</f>
        <v>369</v>
      </c>
      <c r="J133">
        <f>'Monthly Data'!CJ133</f>
        <v>0</v>
      </c>
      <c r="L133" s="6">
        <f t="shared" si="36"/>
        <v>-4550747.7974309605</v>
      </c>
      <c r="M133" s="6">
        <f t="shared" si="45"/>
        <v>3180534.5622045388</v>
      </c>
      <c r="N133" s="6">
        <f t="shared" si="46"/>
        <v>0</v>
      </c>
      <c r="O133" s="6">
        <f t="shared" si="47"/>
        <v>15176957.600351669</v>
      </c>
      <c r="P133" s="6">
        <f t="shared" si="48"/>
        <v>0</v>
      </c>
      <c r="Q133" s="6">
        <f t="shared" si="49"/>
        <v>5857023.4470073124</v>
      </c>
      <c r="R133" s="6">
        <f t="shared" si="50"/>
        <v>0</v>
      </c>
      <c r="S133" s="6">
        <f t="shared" si="51"/>
        <v>19663767.81213256</v>
      </c>
      <c r="T133" s="6">
        <f t="shared" si="52"/>
        <v>309485.75093974173</v>
      </c>
      <c r="U133" s="15">
        <f t="shared" si="53"/>
        <v>1.5990557023052288E-2</v>
      </c>
    </row>
    <row r="134" spans="1:26">
      <c r="A134" s="20"/>
      <c r="U134" s="16">
        <f>AVERAGE(U2:U133)</f>
        <v>2.2911502920304635E-2</v>
      </c>
    </row>
    <row r="135" spans="1:26">
      <c r="A135" s="20"/>
      <c r="U135" s="16"/>
    </row>
    <row r="136" spans="1:26">
      <c r="A136" s="20"/>
    </row>
    <row r="137" spans="1:26">
      <c r="A137" s="20"/>
      <c r="W137">
        <v>1</v>
      </c>
      <c r="Y137" s="6">
        <f t="shared" ref="Y137:Y148" si="55">SUMIF($B:$B,$W137,$T:$T)</f>
        <v>-3155038.8127294518</v>
      </c>
      <c r="Z137" s="15">
        <f t="shared" ref="Z137:Z148" si="56">SUMIF($B:$B,$W137,$U:$U)</f>
        <v>0.32583580357421055</v>
      </c>
    </row>
    <row r="138" spans="1:26">
      <c r="A138" s="20"/>
      <c r="W138">
        <v>2</v>
      </c>
      <c r="Y138" s="6">
        <f t="shared" si="55"/>
        <v>-1766074.4020713866</v>
      </c>
      <c r="Z138" s="15">
        <f t="shared" si="56"/>
        <v>0.30914409824131506</v>
      </c>
    </row>
    <row r="139" spans="1:26">
      <c r="A139" s="20"/>
      <c r="W139">
        <v>3</v>
      </c>
      <c r="Y139" s="6">
        <f t="shared" si="55"/>
        <v>-1590401.6972815208</v>
      </c>
      <c r="Z139" s="15">
        <f t="shared" si="56"/>
        <v>0.20988355830102517</v>
      </c>
    </row>
    <row r="140" spans="1:26">
      <c r="A140" s="20"/>
      <c r="W140">
        <v>4</v>
      </c>
      <c r="Y140" s="6">
        <f t="shared" si="55"/>
        <v>1344313.6583983395</v>
      </c>
      <c r="Z140" s="15">
        <f t="shared" si="56"/>
        <v>0.18798218553596352</v>
      </c>
    </row>
    <row r="141" spans="1:26">
      <c r="A141" s="20"/>
      <c r="W141">
        <v>5</v>
      </c>
      <c r="Y141" s="6">
        <f t="shared" si="55"/>
        <v>2879129.7573157717</v>
      </c>
      <c r="Z141" s="15">
        <f t="shared" si="56"/>
        <v>0.27708590362343238</v>
      </c>
    </row>
    <row r="142" spans="1:26">
      <c r="A142" s="20"/>
      <c r="W142">
        <v>6</v>
      </c>
      <c r="Y142" s="6">
        <f t="shared" si="55"/>
        <v>1164840.0175008178</v>
      </c>
      <c r="Z142" s="15">
        <f t="shared" si="56"/>
        <v>0.30267941806978527</v>
      </c>
    </row>
    <row r="143" spans="1:26">
      <c r="A143" s="20"/>
      <c r="W143">
        <v>7</v>
      </c>
      <c r="Y143" s="6">
        <f t="shared" si="55"/>
        <v>-1221291.9765021577</v>
      </c>
      <c r="Z143" s="15">
        <f t="shared" si="56"/>
        <v>0.28506536681415395</v>
      </c>
    </row>
    <row r="144" spans="1:26">
      <c r="A144" s="20"/>
      <c r="W144">
        <v>8</v>
      </c>
      <c r="Y144" s="6">
        <f t="shared" si="55"/>
        <v>-1788781.1887107044</v>
      </c>
      <c r="Z144" s="15">
        <f t="shared" si="56"/>
        <v>0.14792796697875746</v>
      </c>
    </row>
    <row r="145" spans="1:26">
      <c r="A145" s="20"/>
      <c r="W145">
        <v>9</v>
      </c>
      <c r="Y145" s="6">
        <f t="shared" si="55"/>
        <v>288624.78159472346</v>
      </c>
      <c r="Z145" s="15">
        <f t="shared" si="56"/>
        <v>0.20288309631745599</v>
      </c>
    </row>
    <row r="146" spans="1:26">
      <c r="A146" s="20"/>
      <c r="W146">
        <v>10</v>
      </c>
      <c r="Y146" s="6">
        <f t="shared" si="55"/>
        <v>-404019.79289114103</v>
      </c>
      <c r="Z146" s="15">
        <f t="shared" si="56"/>
        <v>0.2436516479821621</v>
      </c>
    </row>
    <row r="147" spans="1:26">
      <c r="A147" s="20"/>
      <c r="W147">
        <v>11</v>
      </c>
      <c r="Y147" s="6">
        <f t="shared" si="55"/>
        <v>722787.27808720246</v>
      </c>
      <c r="Z147" s="15">
        <f t="shared" si="56"/>
        <v>0.1886115998267395</v>
      </c>
    </row>
    <row r="148" spans="1:26">
      <c r="A148" s="20"/>
      <c r="W148">
        <v>12</v>
      </c>
      <c r="Y148" s="6">
        <f t="shared" si="55"/>
        <v>3560988.1791598983</v>
      </c>
      <c r="Z148" s="15">
        <f t="shared" si="56"/>
        <v>0.34356774021521064</v>
      </c>
    </row>
    <row r="149" spans="1:26">
      <c r="A149" s="20"/>
      <c r="Y149" s="6"/>
      <c r="Z149" s="76"/>
    </row>
    <row r="150" spans="1:26">
      <c r="A150" s="20"/>
      <c r="W150">
        <v>2012</v>
      </c>
      <c r="Y150" s="6">
        <f t="shared" ref="Y150:Y159" si="57">SUMIF($C:$C,$W150,$T:$T)</f>
        <v>-795996.81557117775</v>
      </c>
      <c r="Z150" s="15">
        <f t="shared" ref="Z150:Z159" si="58">SUMIF($C:$C,$W150,$U:$U)</f>
        <v>0.31133837016222748</v>
      </c>
    </row>
    <row r="151" spans="1:26">
      <c r="A151" s="20"/>
      <c r="W151">
        <v>2013</v>
      </c>
      <c r="Y151" s="6">
        <f t="shared" si="57"/>
        <v>-636677.55727872625</v>
      </c>
      <c r="Z151" s="15">
        <f t="shared" si="58"/>
        <v>0.40543724879187498</v>
      </c>
    </row>
    <row r="152" spans="1:26">
      <c r="A152" s="20"/>
      <c r="W152">
        <v>2014</v>
      </c>
      <c r="Y152" s="6">
        <f t="shared" si="57"/>
        <v>-642552.46971570328</v>
      </c>
      <c r="Z152" s="15">
        <f t="shared" si="58"/>
        <v>0.24203830336965143</v>
      </c>
    </row>
    <row r="153" spans="1:26">
      <c r="A153" s="20"/>
      <c r="W153">
        <v>2015</v>
      </c>
      <c r="Y153" s="6">
        <f t="shared" si="57"/>
        <v>-920723.03579950333</v>
      </c>
      <c r="Z153" s="15">
        <f t="shared" si="58"/>
        <v>0.20561637026323093</v>
      </c>
    </row>
    <row r="154" spans="1:26">
      <c r="A154" s="20"/>
      <c r="W154">
        <v>2016</v>
      </c>
      <c r="Y154" s="6">
        <f t="shared" si="57"/>
        <v>-2170503.7349069044</v>
      </c>
      <c r="Z154" s="15">
        <f t="shared" si="58"/>
        <v>0.24312046952056965</v>
      </c>
    </row>
    <row r="155" spans="1:26">
      <c r="A155" s="20"/>
      <c r="W155">
        <v>2017</v>
      </c>
      <c r="Y155" s="6">
        <f t="shared" si="57"/>
        <v>3836748.0568642914</v>
      </c>
      <c r="Z155" s="15">
        <f t="shared" si="58"/>
        <v>0.31715197384338462</v>
      </c>
    </row>
    <row r="156" spans="1:26">
      <c r="A156" s="20"/>
      <c r="W156">
        <v>2018</v>
      </c>
      <c r="Y156" s="6">
        <f t="shared" si="57"/>
        <v>3961320.0889951512</v>
      </c>
      <c r="Z156" s="15">
        <f t="shared" si="58"/>
        <v>0.26679802498945593</v>
      </c>
    </row>
    <row r="157" spans="1:26">
      <c r="A157" s="20"/>
      <c r="W157">
        <v>2019</v>
      </c>
      <c r="Y157" s="6">
        <f t="shared" si="57"/>
        <v>-4865156.5856024399</v>
      </c>
      <c r="Z157" s="15">
        <f t="shared" si="58"/>
        <v>0.25989129481287793</v>
      </c>
    </row>
    <row r="158" spans="1:26">
      <c r="A158" s="20"/>
      <c r="W158">
        <v>2020</v>
      </c>
      <c r="Y158" s="6">
        <f t="shared" si="57"/>
        <v>-1621077.5876094811</v>
      </c>
      <c r="Z158" s="15">
        <f t="shared" si="58"/>
        <v>0.29384664081477219</v>
      </c>
    </row>
    <row r="159" spans="1:26">
      <c r="A159" s="20"/>
      <c r="W159">
        <v>2021</v>
      </c>
      <c r="Y159" s="6">
        <f t="shared" si="57"/>
        <v>3930790.1463866234</v>
      </c>
      <c r="Z159" s="15">
        <f t="shared" si="58"/>
        <v>0.24434410989156727</v>
      </c>
    </row>
    <row r="160" spans="1:26">
      <c r="A160" s="20"/>
      <c r="U160" s="15"/>
    </row>
    <row r="161" spans="1:21">
      <c r="A161" s="20"/>
      <c r="U161" s="15"/>
    </row>
    <row r="162" spans="1:21">
      <c r="A162" s="20"/>
      <c r="U162" s="15"/>
    </row>
    <row r="163" spans="1:21">
      <c r="A163" s="20"/>
      <c r="U163" s="15"/>
    </row>
    <row r="164" spans="1:21">
      <c r="A164" s="20"/>
      <c r="U164" s="15"/>
    </row>
    <row r="165" spans="1:21">
      <c r="A165" s="20"/>
      <c r="U165" s="15"/>
    </row>
    <row r="166" spans="1:21">
      <c r="A166" s="20"/>
      <c r="U166" s="15"/>
    </row>
    <row r="167" spans="1:21">
      <c r="A167" s="20"/>
      <c r="U167" s="15"/>
    </row>
    <row r="168" spans="1:21">
      <c r="A168" s="20"/>
      <c r="U168" s="15"/>
    </row>
    <row r="169" spans="1:21">
      <c r="A169" s="20"/>
      <c r="U169" s="15"/>
    </row>
    <row r="170" spans="1:21">
      <c r="A170" s="20"/>
      <c r="U170" s="15"/>
    </row>
    <row r="171" spans="1:21">
      <c r="A171" s="20"/>
      <c r="U171" s="15"/>
    </row>
    <row r="172" spans="1:21">
      <c r="A172" s="20"/>
      <c r="U172" s="15"/>
    </row>
    <row r="173" spans="1:21">
      <c r="A173" s="20"/>
      <c r="U173" s="15"/>
    </row>
    <row r="174" spans="1:21">
      <c r="A174" s="20"/>
      <c r="U174" s="15"/>
    </row>
    <row r="175" spans="1:21">
      <c r="A175" s="20"/>
      <c r="U175" s="15"/>
    </row>
    <row r="176" spans="1:21">
      <c r="A176" s="20"/>
      <c r="U176" s="15"/>
    </row>
    <row r="177" spans="1:21">
      <c r="A177" s="20"/>
      <c r="U177" s="15"/>
    </row>
    <row r="178" spans="1:21">
      <c r="A178" s="20"/>
      <c r="U178" s="15"/>
    </row>
    <row r="179" spans="1:21">
      <c r="A179" s="20"/>
      <c r="U179" s="15"/>
    </row>
    <row r="180" spans="1:21">
      <c r="A180" s="20"/>
      <c r="U180" s="1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3" tint="0.79998168889431442"/>
  </sheetPr>
  <dimension ref="A1:AM180"/>
  <sheetViews>
    <sheetView topLeftCell="N1" workbookViewId="0">
      <selection activeCell="V2" sqref="V2:Z20"/>
    </sheetView>
  </sheetViews>
  <sheetFormatPr defaultRowHeight="15"/>
  <cols>
    <col min="1" max="1" width="12.28515625" customWidth="1"/>
    <col min="4" max="4" width="16.85546875" customWidth="1"/>
    <col min="6" max="6" width="11.7109375" customWidth="1"/>
    <col min="11" max="11" width="14" bestFit="1" customWidth="1"/>
    <col min="12" max="12" width="11.5703125" bestFit="1" customWidth="1"/>
    <col min="13" max="13" width="14.28515625" bestFit="1" customWidth="1"/>
    <col min="14" max="14" width="14" bestFit="1" customWidth="1"/>
    <col min="15" max="15" width="12.28515625" bestFit="1" customWidth="1"/>
    <col min="16" max="16" width="14" bestFit="1" customWidth="1"/>
    <col min="17" max="17" width="13.7109375" customWidth="1"/>
    <col min="18" max="18" width="12.28515625" customWidth="1"/>
    <col min="22" max="22" width="13.28515625" customWidth="1"/>
    <col min="23" max="23" width="12.5703125" customWidth="1"/>
    <col min="24" max="24" width="12" customWidth="1"/>
    <col min="35" max="35" width="19.7109375" customWidth="1"/>
  </cols>
  <sheetData>
    <row r="1" spans="1:39">
      <c r="A1" t="s">
        <v>0</v>
      </c>
      <c r="B1" t="s">
        <v>52</v>
      </c>
      <c r="C1" t="s">
        <v>53</v>
      </c>
      <c r="D1" t="s">
        <v>75</v>
      </c>
      <c r="E1" t="s">
        <v>178</v>
      </c>
      <c r="F1" t="s">
        <v>68</v>
      </c>
      <c r="G1" t="str">
        <f>'Monthly Data'!BN1</f>
        <v>Trend</v>
      </c>
      <c r="H1" t="s">
        <v>43</v>
      </c>
      <c r="I1" t="str">
        <f>'Monthly Data'!CJ1</f>
        <v>COVID2020</v>
      </c>
      <c r="K1" t="s">
        <v>85</v>
      </c>
      <c r="L1" t="str">
        <f>E1</f>
        <v>CDD16</v>
      </c>
      <c r="M1" t="str">
        <f>F1</f>
        <v>Month Days</v>
      </c>
      <c r="N1" t="str">
        <f>G1</f>
        <v>Trend</v>
      </c>
      <c r="O1" t="str">
        <f>H1</f>
        <v>Dec</v>
      </c>
      <c r="P1" t="str">
        <f>I1</f>
        <v>COVID2020</v>
      </c>
      <c r="Q1" t="s">
        <v>86</v>
      </c>
      <c r="R1" t="s">
        <v>104</v>
      </c>
      <c r="S1" t="s">
        <v>87</v>
      </c>
    </row>
    <row r="2" spans="1:39">
      <c r="A2" s="245">
        <v>40909</v>
      </c>
      <c r="B2">
        <f t="shared" ref="B2:B21" si="0">MONTH(A2)</f>
        <v>1</v>
      </c>
      <c r="C2">
        <f t="shared" ref="C2:C21" si="1">YEAR(A2)</f>
        <v>2012</v>
      </c>
      <c r="D2" s="6">
        <v>10184292.424999999</v>
      </c>
      <c r="E2">
        <v>0</v>
      </c>
      <c r="F2">
        <v>31</v>
      </c>
      <c r="G2">
        <f>'Monthly Data'!BN2</f>
        <v>1</v>
      </c>
      <c r="H2">
        <v>0</v>
      </c>
      <c r="I2">
        <f>'Monthly Data'!CJ2</f>
        <v>0</v>
      </c>
      <c r="K2" s="6">
        <f t="shared" ref="K2:K33" si="2">$W$7</f>
        <v>475930.57328307</v>
      </c>
      <c r="L2" s="6">
        <f t="shared" ref="L2:L33" si="3">E2*$W$8</f>
        <v>0</v>
      </c>
      <c r="M2" s="6">
        <f t="shared" ref="M2:M33" si="4">F2*$W$9</f>
        <v>10445590.485508041</v>
      </c>
      <c r="N2" s="6">
        <f t="shared" ref="N2:N33" si="5">G2*$W$10</f>
        <v>-4969.6494530467799</v>
      </c>
      <c r="O2" s="6">
        <f t="shared" ref="O2:O33" si="6">H2*$W$11</f>
        <v>0</v>
      </c>
      <c r="P2" s="6">
        <f>I2*$W$12</f>
        <v>0</v>
      </c>
      <c r="Q2" s="6">
        <f t="shared" ref="Q2:Q33" si="7">SUM(K2:P2)</f>
        <v>10916551.409338064</v>
      </c>
      <c r="R2" s="6">
        <f t="shared" ref="R2:R33" si="8">Q2-D2</f>
        <v>732258.98433806561</v>
      </c>
      <c r="S2" s="15">
        <f t="shared" ref="S2:S33" si="9">ABS(Q2-D2)/D2</f>
        <v>7.1900820771853058E-2</v>
      </c>
      <c r="V2" t="s">
        <v>371</v>
      </c>
      <c r="AI2" t="s">
        <v>368</v>
      </c>
    </row>
    <row r="3" spans="1:39">
      <c r="A3" s="245">
        <v>40940</v>
      </c>
      <c r="B3">
        <f t="shared" si="0"/>
        <v>2</v>
      </c>
      <c r="C3">
        <f t="shared" si="1"/>
        <v>2012</v>
      </c>
      <c r="D3" s="6">
        <v>9898478.9196000006</v>
      </c>
      <c r="E3">
        <v>0</v>
      </c>
      <c r="F3">
        <v>29</v>
      </c>
      <c r="G3">
        <f>'Monthly Data'!BN3</f>
        <v>2</v>
      </c>
      <c r="H3">
        <v>0</v>
      </c>
      <c r="I3">
        <f>'Monthly Data'!CJ3</f>
        <v>0</v>
      </c>
      <c r="K3" s="6">
        <f t="shared" si="2"/>
        <v>475930.57328307</v>
      </c>
      <c r="L3" s="6">
        <f t="shared" si="3"/>
        <v>0</v>
      </c>
      <c r="M3" s="6">
        <f t="shared" si="4"/>
        <v>9771681.4219268784</v>
      </c>
      <c r="N3" s="6">
        <f t="shared" si="5"/>
        <v>-9939.2989060935597</v>
      </c>
      <c r="O3" s="6">
        <f t="shared" si="6"/>
        <v>0</v>
      </c>
      <c r="P3" s="6">
        <f t="shared" ref="P3:P66" si="10">I3*$W$12</f>
        <v>0</v>
      </c>
      <c r="Q3" s="6">
        <f t="shared" si="7"/>
        <v>10237672.696303856</v>
      </c>
      <c r="R3" s="6">
        <f t="shared" si="8"/>
        <v>339193.77670385502</v>
      </c>
      <c r="S3" s="15">
        <f t="shared" si="9"/>
        <v>3.4267262622766886E-2</v>
      </c>
      <c r="V3" t="s">
        <v>105</v>
      </c>
      <c r="AI3" t="s">
        <v>105</v>
      </c>
    </row>
    <row r="4" spans="1:39">
      <c r="A4" s="245">
        <v>40969</v>
      </c>
      <c r="B4">
        <f t="shared" si="0"/>
        <v>3</v>
      </c>
      <c r="C4">
        <f t="shared" si="1"/>
        <v>2012</v>
      </c>
      <c r="D4" s="6">
        <v>10528549.533600001</v>
      </c>
      <c r="E4">
        <v>13.300000000000004</v>
      </c>
      <c r="F4">
        <v>31</v>
      </c>
      <c r="G4">
        <f>'Monthly Data'!BN4</f>
        <v>3</v>
      </c>
      <c r="H4">
        <v>0</v>
      </c>
      <c r="I4">
        <f>'Monthly Data'!CJ4</f>
        <v>0</v>
      </c>
      <c r="K4" s="6">
        <f t="shared" si="2"/>
        <v>475930.57328307</v>
      </c>
      <c r="L4" s="6">
        <f t="shared" si="3"/>
        <v>45522.48400013944</v>
      </c>
      <c r="M4" s="6">
        <f t="shared" si="4"/>
        <v>10445590.485508041</v>
      </c>
      <c r="N4" s="6">
        <f t="shared" si="5"/>
        <v>-14908.94835914034</v>
      </c>
      <c r="O4" s="6">
        <f t="shared" si="6"/>
        <v>0</v>
      </c>
      <c r="P4" s="6">
        <f t="shared" si="10"/>
        <v>0</v>
      </c>
      <c r="Q4" s="6">
        <f t="shared" si="7"/>
        <v>10952134.59443211</v>
      </c>
      <c r="R4" s="6">
        <f t="shared" si="8"/>
        <v>423585.0608321093</v>
      </c>
      <c r="S4" s="15">
        <f t="shared" si="9"/>
        <v>4.0232043310459112E-2</v>
      </c>
      <c r="V4" t="s">
        <v>387</v>
      </c>
      <c r="AI4" t="s">
        <v>386</v>
      </c>
    </row>
    <row r="5" spans="1:39">
      <c r="A5" s="245">
        <v>41000</v>
      </c>
      <c r="B5">
        <f t="shared" si="0"/>
        <v>4</v>
      </c>
      <c r="C5">
        <f t="shared" si="1"/>
        <v>2012</v>
      </c>
      <c r="D5" s="6">
        <v>9746760.0995999984</v>
      </c>
      <c r="E5">
        <v>2</v>
      </c>
      <c r="F5">
        <v>30</v>
      </c>
      <c r="G5">
        <f>'Monthly Data'!BN5</f>
        <v>4</v>
      </c>
      <c r="H5">
        <v>0</v>
      </c>
      <c r="I5">
        <f>'Monthly Data'!CJ5</f>
        <v>0</v>
      </c>
      <c r="K5" s="6">
        <f t="shared" si="2"/>
        <v>475930.57328307</v>
      </c>
      <c r="L5" s="6">
        <f t="shared" si="3"/>
        <v>6845.4863158104399</v>
      </c>
      <c r="M5" s="6">
        <f t="shared" si="4"/>
        <v>10108635.953717459</v>
      </c>
      <c r="N5" s="6">
        <f t="shared" si="5"/>
        <v>-19878.597812187119</v>
      </c>
      <c r="O5" s="6">
        <f t="shared" si="6"/>
        <v>0</v>
      </c>
      <c r="P5" s="6">
        <f t="shared" si="10"/>
        <v>0</v>
      </c>
      <c r="Q5" s="6">
        <f t="shared" si="7"/>
        <v>10571533.415504152</v>
      </c>
      <c r="R5" s="6">
        <f t="shared" si="8"/>
        <v>824773.31590415351</v>
      </c>
      <c r="S5" s="15">
        <f t="shared" si="9"/>
        <v>8.4620254061449782E-2</v>
      </c>
    </row>
    <row r="6" spans="1:39">
      <c r="A6" s="245">
        <v>41030</v>
      </c>
      <c r="B6">
        <f t="shared" si="0"/>
        <v>5</v>
      </c>
      <c r="C6">
        <f t="shared" si="1"/>
        <v>2012</v>
      </c>
      <c r="D6" s="6">
        <v>10887684.005600002</v>
      </c>
      <c r="E6">
        <v>47.099999999999994</v>
      </c>
      <c r="F6">
        <v>31</v>
      </c>
      <c r="G6">
        <f>'Monthly Data'!BN6</f>
        <v>5</v>
      </c>
      <c r="H6">
        <v>0</v>
      </c>
      <c r="I6">
        <f>'Monthly Data'!CJ6</f>
        <v>0</v>
      </c>
      <c r="K6" s="6">
        <f t="shared" si="2"/>
        <v>475930.57328307</v>
      </c>
      <c r="L6" s="6">
        <f t="shared" si="3"/>
        <v>161211.20273733584</v>
      </c>
      <c r="M6" s="6">
        <f t="shared" si="4"/>
        <v>10445590.485508041</v>
      </c>
      <c r="N6" s="6">
        <f t="shared" si="5"/>
        <v>-24848.247265233898</v>
      </c>
      <c r="O6" s="6">
        <f t="shared" si="6"/>
        <v>0</v>
      </c>
      <c r="P6" s="6">
        <f t="shared" si="10"/>
        <v>0</v>
      </c>
      <c r="Q6" s="6">
        <f t="shared" si="7"/>
        <v>11057884.014263213</v>
      </c>
      <c r="R6" s="6">
        <f t="shared" si="8"/>
        <v>170200.00866321102</v>
      </c>
      <c r="S6" s="15">
        <f t="shared" si="9"/>
        <v>1.5632342799044303E-2</v>
      </c>
      <c r="W6" t="s">
        <v>89</v>
      </c>
      <c r="X6" t="s">
        <v>90</v>
      </c>
      <c r="Y6" t="s">
        <v>91</v>
      </c>
      <c r="Z6" t="s">
        <v>92</v>
      </c>
      <c r="AJ6" t="s">
        <v>89</v>
      </c>
      <c r="AK6" t="s">
        <v>90</v>
      </c>
      <c r="AL6" t="s">
        <v>91</v>
      </c>
      <c r="AM6" t="s">
        <v>92</v>
      </c>
    </row>
    <row r="7" spans="1:39">
      <c r="A7" s="245">
        <v>41061</v>
      </c>
      <c r="B7">
        <f t="shared" si="0"/>
        <v>6</v>
      </c>
      <c r="C7">
        <f t="shared" si="1"/>
        <v>2012</v>
      </c>
      <c r="D7" s="6">
        <v>10627934.568399996</v>
      </c>
      <c r="E7">
        <v>139.40000000000003</v>
      </c>
      <c r="F7">
        <v>30</v>
      </c>
      <c r="G7">
        <f>'Monthly Data'!BN7</f>
        <v>6</v>
      </c>
      <c r="H7">
        <v>0</v>
      </c>
      <c r="I7">
        <f>'Monthly Data'!CJ7</f>
        <v>0</v>
      </c>
      <c r="K7" s="6">
        <f t="shared" si="2"/>
        <v>475930.57328307</v>
      </c>
      <c r="L7" s="6">
        <f t="shared" si="3"/>
        <v>477130.39621198777</v>
      </c>
      <c r="M7" s="6">
        <f t="shared" si="4"/>
        <v>10108635.953717459</v>
      </c>
      <c r="N7" s="6">
        <f t="shared" si="5"/>
        <v>-29817.896718280681</v>
      </c>
      <c r="O7" s="6">
        <f t="shared" si="6"/>
        <v>0</v>
      </c>
      <c r="P7" s="6">
        <f t="shared" si="10"/>
        <v>0</v>
      </c>
      <c r="Q7" s="6">
        <f t="shared" si="7"/>
        <v>11031879.026494237</v>
      </c>
      <c r="R7" s="6">
        <f t="shared" si="8"/>
        <v>403944.4580942411</v>
      </c>
      <c r="S7" s="15">
        <f t="shared" si="9"/>
        <v>3.8007804385180151E-2</v>
      </c>
      <c r="V7" t="s">
        <v>85</v>
      </c>
      <c r="W7" s="6">
        <v>475930.57328307</v>
      </c>
      <c r="X7" s="70">
        <v>1080260.0764333501</v>
      </c>
      <c r="Y7" s="85">
        <v>0.44057036232833002</v>
      </c>
      <c r="Z7" s="240">
        <v>0.66027899353165997</v>
      </c>
      <c r="AI7" t="s">
        <v>85</v>
      </c>
      <c r="AJ7">
        <v>-3251387.0089126099</v>
      </c>
      <c r="AK7">
        <v>2807685.37834214</v>
      </c>
      <c r="AL7">
        <v>-1.1580311077562599</v>
      </c>
      <c r="AM7" s="85">
        <v>0.249059159586727</v>
      </c>
    </row>
    <row r="8" spans="1:39">
      <c r="A8" s="245">
        <v>41091</v>
      </c>
      <c r="B8">
        <f t="shared" si="0"/>
        <v>7</v>
      </c>
      <c r="C8">
        <f t="shared" si="1"/>
        <v>2012</v>
      </c>
      <c r="D8" s="6">
        <v>11037123.910399999</v>
      </c>
      <c r="E8">
        <v>215.9</v>
      </c>
      <c r="F8">
        <v>31</v>
      </c>
      <c r="G8">
        <f>'Monthly Data'!BN8</f>
        <v>7</v>
      </c>
      <c r="H8">
        <v>0</v>
      </c>
      <c r="I8">
        <f>'Monthly Data'!CJ8</f>
        <v>0</v>
      </c>
      <c r="K8" s="6">
        <f t="shared" si="2"/>
        <v>475930.57328307</v>
      </c>
      <c r="L8" s="6">
        <f t="shared" si="3"/>
        <v>738970.24779173697</v>
      </c>
      <c r="M8" s="6">
        <f t="shared" si="4"/>
        <v>10445590.485508041</v>
      </c>
      <c r="N8" s="6">
        <f t="shared" si="5"/>
        <v>-34787.546171327456</v>
      </c>
      <c r="O8" s="6">
        <f t="shared" si="6"/>
        <v>0</v>
      </c>
      <c r="P8" s="6">
        <f t="shared" si="10"/>
        <v>0</v>
      </c>
      <c r="Q8" s="6">
        <f t="shared" si="7"/>
        <v>11625703.760411521</v>
      </c>
      <c r="R8" s="6">
        <f t="shared" si="8"/>
        <v>588579.85001152195</v>
      </c>
      <c r="S8" s="15">
        <f t="shared" si="9"/>
        <v>5.3327284788106638E-2</v>
      </c>
      <c r="V8" t="s">
        <v>178</v>
      </c>
      <c r="W8" s="6">
        <v>3422.74315790522</v>
      </c>
      <c r="X8" s="70">
        <v>725.09524226206804</v>
      </c>
      <c r="Y8" s="85">
        <v>4.7204049322228903</v>
      </c>
      <c r="Z8" s="240">
        <v>6.1622971508300401E-6</v>
      </c>
      <c r="AF8" s="21"/>
      <c r="AG8" s="21"/>
      <c r="AI8" t="s">
        <v>178</v>
      </c>
      <c r="AJ8">
        <v>3498.6938416274402</v>
      </c>
      <c r="AK8">
        <v>715.36543141186496</v>
      </c>
      <c r="AL8">
        <v>4.8907784581124103</v>
      </c>
      <c r="AM8" s="85">
        <v>3.0250476773057301E-6</v>
      </c>
    </row>
    <row r="9" spans="1:39">
      <c r="A9" s="245">
        <v>41122</v>
      </c>
      <c r="B9">
        <f t="shared" si="0"/>
        <v>8</v>
      </c>
      <c r="C9">
        <f t="shared" si="1"/>
        <v>2012</v>
      </c>
      <c r="D9" s="6">
        <v>11333527.0392</v>
      </c>
      <c r="E9">
        <v>147.50000000000003</v>
      </c>
      <c r="F9">
        <v>31</v>
      </c>
      <c r="G9">
        <f>'Monthly Data'!BN9</f>
        <v>8</v>
      </c>
      <c r="H9">
        <v>0</v>
      </c>
      <c r="I9">
        <f>'Monthly Data'!CJ9</f>
        <v>0</v>
      </c>
      <c r="K9" s="6">
        <f t="shared" si="2"/>
        <v>475930.57328307</v>
      </c>
      <c r="L9" s="6">
        <f t="shared" si="3"/>
        <v>504854.61579102004</v>
      </c>
      <c r="M9" s="6">
        <f t="shared" si="4"/>
        <v>10445590.485508041</v>
      </c>
      <c r="N9" s="6">
        <f t="shared" si="5"/>
        <v>-39757.195624374239</v>
      </c>
      <c r="O9" s="6">
        <f t="shared" si="6"/>
        <v>0</v>
      </c>
      <c r="P9" s="6">
        <f t="shared" si="10"/>
        <v>0</v>
      </c>
      <c r="Q9" s="6">
        <f t="shared" si="7"/>
        <v>11386618.478957757</v>
      </c>
      <c r="R9" s="6">
        <f t="shared" si="8"/>
        <v>53091.439757756889</v>
      </c>
      <c r="S9" s="15">
        <f t="shared" si="9"/>
        <v>4.6844587368191828E-3</v>
      </c>
      <c r="V9" t="s">
        <v>93</v>
      </c>
      <c r="W9" s="6">
        <v>336954.531790582</v>
      </c>
      <c r="X9" s="70">
        <v>35484.689781791101</v>
      </c>
      <c r="Y9" s="85">
        <v>9.4957722291682192</v>
      </c>
      <c r="Z9" s="240">
        <v>1.8510230752910901E-16</v>
      </c>
      <c r="AF9" s="21"/>
      <c r="AG9" s="21"/>
      <c r="AI9" t="s">
        <v>93</v>
      </c>
      <c r="AJ9">
        <v>336730.167660187</v>
      </c>
      <c r="AK9">
        <v>35903.8532731866</v>
      </c>
      <c r="AL9">
        <v>9.3786637634145098</v>
      </c>
      <c r="AM9" s="85">
        <v>3.7863806626843798E-16</v>
      </c>
    </row>
    <row r="10" spans="1:39">
      <c r="A10" s="245">
        <v>41153</v>
      </c>
      <c r="B10">
        <f t="shared" si="0"/>
        <v>9</v>
      </c>
      <c r="C10">
        <f t="shared" si="1"/>
        <v>2012</v>
      </c>
      <c r="D10" s="6">
        <v>10531471.440000001</v>
      </c>
      <c r="E10">
        <v>52.199999999999996</v>
      </c>
      <c r="F10">
        <v>30</v>
      </c>
      <c r="G10">
        <f>'Monthly Data'!BN10</f>
        <v>9</v>
      </c>
      <c r="H10">
        <v>0</v>
      </c>
      <c r="I10">
        <f>'Monthly Data'!CJ10</f>
        <v>0</v>
      </c>
      <c r="K10" s="6">
        <f t="shared" si="2"/>
        <v>475930.57328307</v>
      </c>
      <c r="L10" s="6">
        <f t="shared" si="3"/>
        <v>178667.19284265247</v>
      </c>
      <c r="M10" s="6">
        <f t="shared" si="4"/>
        <v>10108635.953717459</v>
      </c>
      <c r="N10" s="6">
        <f t="shared" si="5"/>
        <v>-44726.845077421021</v>
      </c>
      <c r="O10" s="6">
        <f t="shared" si="6"/>
        <v>0</v>
      </c>
      <c r="P10" s="6">
        <f t="shared" si="10"/>
        <v>0</v>
      </c>
      <c r="Q10" s="6">
        <f t="shared" si="7"/>
        <v>10718506.874765759</v>
      </c>
      <c r="R10" s="6">
        <f t="shared" si="8"/>
        <v>187035.43476575799</v>
      </c>
      <c r="S10" s="15">
        <f t="shared" si="9"/>
        <v>1.775966785186078E-2</v>
      </c>
      <c r="V10" t="s">
        <v>61</v>
      </c>
      <c r="W10" s="6">
        <v>-4969.6494530467799</v>
      </c>
      <c r="X10" s="70">
        <v>1522.8901229727401</v>
      </c>
      <c r="Y10" s="85">
        <v>-3.2633013886424198</v>
      </c>
      <c r="Z10" s="240">
        <v>1.4176000611057699E-3</v>
      </c>
      <c r="AF10" s="21"/>
      <c r="AG10" s="21"/>
      <c r="AI10" t="s">
        <v>61</v>
      </c>
      <c r="AJ10">
        <v>-8565.3551026094592</v>
      </c>
      <c r="AK10">
        <v>2887.44627844554</v>
      </c>
      <c r="AL10">
        <v>-2.9664119351929998</v>
      </c>
      <c r="AM10" s="85">
        <v>3.6106655707886801E-3</v>
      </c>
    </row>
    <row r="11" spans="1:39">
      <c r="A11" s="245">
        <v>41183</v>
      </c>
      <c r="B11">
        <f t="shared" si="0"/>
        <v>10</v>
      </c>
      <c r="C11">
        <f t="shared" si="1"/>
        <v>2012</v>
      </c>
      <c r="D11" s="6">
        <v>11053422.9202</v>
      </c>
      <c r="E11">
        <v>9.8000000000000007</v>
      </c>
      <c r="F11">
        <v>31</v>
      </c>
      <c r="G11">
        <f>'Monthly Data'!BN11</f>
        <v>10</v>
      </c>
      <c r="H11">
        <v>0</v>
      </c>
      <c r="I11">
        <f>'Monthly Data'!CJ11</f>
        <v>0</v>
      </c>
      <c r="K11" s="6">
        <f t="shared" si="2"/>
        <v>475930.57328307</v>
      </c>
      <c r="L11" s="6">
        <f t="shared" si="3"/>
        <v>33542.88294747116</v>
      </c>
      <c r="M11" s="6">
        <f t="shared" si="4"/>
        <v>10445590.485508041</v>
      </c>
      <c r="N11" s="6">
        <f t="shared" si="5"/>
        <v>-49696.494530467797</v>
      </c>
      <c r="O11" s="6">
        <f t="shared" si="6"/>
        <v>0</v>
      </c>
      <c r="P11" s="6">
        <f t="shared" si="10"/>
        <v>0</v>
      </c>
      <c r="Q11" s="6">
        <f t="shared" si="7"/>
        <v>10905367.447208116</v>
      </c>
      <c r="R11" s="6">
        <f t="shared" si="8"/>
        <v>-148055.47299188375</v>
      </c>
      <c r="S11" s="15">
        <f t="shared" si="9"/>
        <v>1.3394536159592168E-2</v>
      </c>
      <c r="V11" t="s">
        <v>43</v>
      </c>
      <c r="W11" s="6">
        <v>-634211.854533192</v>
      </c>
      <c r="X11" s="70">
        <v>116846.732066853</v>
      </c>
      <c r="Y11" s="85">
        <v>-5.4277243643436499</v>
      </c>
      <c r="Z11" s="240">
        <v>2.8180088711489402E-7</v>
      </c>
      <c r="AF11" s="21"/>
      <c r="AG11" s="21"/>
      <c r="AI11" t="s">
        <v>43</v>
      </c>
      <c r="AJ11">
        <v>-604858.71678700799</v>
      </c>
      <c r="AK11">
        <v>119263.745422908</v>
      </c>
      <c r="AL11">
        <v>-5.0716059154622704</v>
      </c>
      <c r="AM11" s="85">
        <v>1.3875643470174499E-6</v>
      </c>
    </row>
    <row r="12" spans="1:39">
      <c r="A12" s="245">
        <v>41214</v>
      </c>
      <c r="B12">
        <f t="shared" si="0"/>
        <v>11</v>
      </c>
      <c r="C12">
        <f t="shared" si="1"/>
        <v>2012</v>
      </c>
      <c r="D12" s="6">
        <v>11096947.746599998</v>
      </c>
      <c r="E12">
        <v>0</v>
      </c>
      <c r="F12">
        <v>30</v>
      </c>
      <c r="G12">
        <f>'Monthly Data'!BN12</f>
        <v>11</v>
      </c>
      <c r="H12">
        <v>0</v>
      </c>
      <c r="I12">
        <f>'Monthly Data'!CJ12</f>
        <v>0</v>
      </c>
      <c r="K12" s="6">
        <f t="shared" si="2"/>
        <v>475930.57328307</v>
      </c>
      <c r="L12" s="6">
        <f t="shared" si="3"/>
        <v>0</v>
      </c>
      <c r="M12" s="6">
        <f t="shared" si="4"/>
        <v>10108635.953717459</v>
      </c>
      <c r="N12" s="6">
        <f t="shared" si="5"/>
        <v>-54666.143983514579</v>
      </c>
      <c r="O12" s="6">
        <f t="shared" si="6"/>
        <v>0</v>
      </c>
      <c r="P12" s="6">
        <f t="shared" si="10"/>
        <v>0</v>
      </c>
      <c r="Q12" s="6">
        <f t="shared" si="7"/>
        <v>10529900.383017015</v>
      </c>
      <c r="R12" s="6">
        <f t="shared" si="8"/>
        <v>-567047.36358298361</v>
      </c>
      <c r="S12" s="15">
        <f t="shared" si="9"/>
        <v>5.1099399270103048E-2</v>
      </c>
      <c r="V12" t="s">
        <v>280</v>
      </c>
      <c r="W12" s="6">
        <v>-2643152.3895724402</v>
      </c>
      <c r="X12" s="70">
        <v>359305.13763915002</v>
      </c>
      <c r="Y12" s="85">
        <v>-7.3562888828685704</v>
      </c>
      <c r="Z12" s="240">
        <v>2.1288175053634699E-11</v>
      </c>
      <c r="AF12" s="21"/>
      <c r="AI12" t="s">
        <v>222</v>
      </c>
      <c r="AJ12">
        <v>261.16746314690101</v>
      </c>
      <c r="AK12">
        <v>181.58164212114201</v>
      </c>
      <c r="AL12">
        <v>1.43829221994074</v>
      </c>
      <c r="AM12" s="280">
        <v>0.15285016002503701</v>
      </c>
    </row>
    <row r="13" spans="1:39">
      <c r="A13" s="245">
        <v>41244</v>
      </c>
      <c r="B13">
        <f t="shared" si="0"/>
        <v>12</v>
      </c>
      <c r="C13">
        <f t="shared" si="1"/>
        <v>2012</v>
      </c>
      <c r="D13" s="6">
        <v>9973850.2603999972</v>
      </c>
      <c r="E13">
        <v>0</v>
      </c>
      <c r="F13">
        <v>31</v>
      </c>
      <c r="G13">
        <f>'Monthly Data'!BN13</f>
        <v>12</v>
      </c>
      <c r="H13">
        <v>1</v>
      </c>
      <c r="I13">
        <f>'Monthly Data'!CJ13</f>
        <v>0</v>
      </c>
      <c r="K13" s="6">
        <f t="shared" si="2"/>
        <v>475930.57328307</v>
      </c>
      <c r="L13" s="6">
        <f t="shared" si="3"/>
        <v>0</v>
      </c>
      <c r="M13" s="6">
        <f t="shared" si="4"/>
        <v>10445590.485508041</v>
      </c>
      <c r="N13" s="6">
        <f t="shared" si="5"/>
        <v>-59635.793436561362</v>
      </c>
      <c r="O13" s="6">
        <f t="shared" si="6"/>
        <v>-634211.854533192</v>
      </c>
      <c r="P13" s="6">
        <f t="shared" si="10"/>
        <v>0</v>
      </c>
      <c r="Q13" s="6">
        <f t="shared" si="7"/>
        <v>10227673.41082136</v>
      </c>
      <c r="R13" s="6">
        <f t="shared" si="8"/>
        <v>253823.15042136237</v>
      </c>
      <c r="S13" s="15">
        <f t="shared" si="9"/>
        <v>2.5448863156602362E-2</v>
      </c>
      <c r="W13" s="6"/>
      <c r="X13" s="70"/>
      <c r="Y13" s="85"/>
      <c r="Z13" s="240"/>
      <c r="AG13" s="21"/>
      <c r="AI13" t="s">
        <v>280</v>
      </c>
      <c r="AJ13">
        <v>-2539759.22513283</v>
      </c>
      <c r="AK13">
        <v>359415.55970201298</v>
      </c>
      <c r="AL13">
        <v>-7.0663585829131002</v>
      </c>
      <c r="AM13" s="85">
        <v>9.8628482309186299E-11</v>
      </c>
    </row>
    <row r="14" spans="1:39">
      <c r="A14" s="245">
        <v>41275</v>
      </c>
      <c r="B14">
        <f t="shared" si="0"/>
        <v>1</v>
      </c>
      <c r="C14">
        <f t="shared" si="1"/>
        <v>2013</v>
      </c>
      <c r="D14" s="6">
        <v>11037149.306422526</v>
      </c>
      <c r="E14">
        <v>0</v>
      </c>
      <c r="F14">
        <v>31</v>
      </c>
      <c r="G14">
        <f>'Monthly Data'!BN14</f>
        <v>13</v>
      </c>
      <c r="H14">
        <v>0</v>
      </c>
      <c r="I14">
        <f>'Monthly Data'!CJ14</f>
        <v>0</v>
      </c>
      <c r="K14" s="6">
        <f t="shared" si="2"/>
        <v>475930.57328307</v>
      </c>
      <c r="L14" s="6">
        <f t="shared" si="3"/>
        <v>0</v>
      </c>
      <c r="M14" s="6">
        <f t="shared" si="4"/>
        <v>10445590.485508041</v>
      </c>
      <c r="N14" s="6">
        <f t="shared" si="5"/>
        <v>-64605.442889608137</v>
      </c>
      <c r="O14" s="6">
        <f t="shared" si="6"/>
        <v>0</v>
      </c>
      <c r="P14" s="6">
        <f t="shared" si="10"/>
        <v>0</v>
      </c>
      <c r="Q14" s="6">
        <f t="shared" si="7"/>
        <v>10856915.615901504</v>
      </c>
      <c r="R14" s="6">
        <f t="shared" si="8"/>
        <v>-180233.6905210223</v>
      </c>
      <c r="S14" s="15">
        <f t="shared" si="9"/>
        <v>1.6329732027466928E-2</v>
      </c>
      <c r="V14" t="s">
        <v>190</v>
      </c>
    </row>
    <row r="15" spans="1:39">
      <c r="A15" s="245">
        <v>41306</v>
      </c>
      <c r="B15">
        <f t="shared" si="0"/>
        <v>2</v>
      </c>
      <c r="C15">
        <f t="shared" si="1"/>
        <v>2013</v>
      </c>
      <c r="D15" s="6">
        <v>9768545.5642225295</v>
      </c>
      <c r="E15">
        <v>0</v>
      </c>
      <c r="F15">
        <v>28</v>
      </c>
      <c r="G15">
        <f>'Monthly Data'!BN15</f>
        <v>14</v>
      </c>
      <c r="H15">
        <v>0</v>
      </c>
      <c r="I15">
        <f>'Monthly Data'!CJ15</f>
        <v>0</v>
      </c>
      <c r="K15" s="6">
        <f t="shared" si="2"/>
        <v>475930.57328307</v>
      </c>
      <c r="L15" s="6">
        <f t="shared" si="3"/>
        <v>0</v>
      </c>
      <c r="M15" s="6">
        <f t="shared" si="4"/>
        <v>9434726.8901362959</v>
      </c>
      <c r="N15" s="6">
        <f t="shared" si="5"/>
        <v>-69575.092342654912</v>
      </c>
      <c r="O15" s="6">
        <f t="shared" si="6"/>
        <v>0</v>
      </c>
      <c r="P15" s="6">
        <f t="shared" si="10"/>
        <v>0</v>
      </c>
      <c r="Q15" s="6">
        <f t="shared" si="7"/>
        <v>9841082.3710767124</v>
      </c>
      <c r="R15" s="6">
        <f t="shared" si="8"/>
        <v>72536.806854182854</v>
      </c>
      <c r="S15" s="15">
        <f t="shared" si="9"/>
        <v>7.4255482945025297E-3</v>
      </c>
      <c r="V15" t="s">
        <v>94</v>
      </c>
      <c r="W15">
        <v>10455578.6688802</v>
      </c>
      <c r="X15" t="s">
        <v>95</v>
      </c>
      <c r="Y15">
        <v>744823.31705387495</v>
      </c>
      <c r="AI15" t="s">
        <v>190</v>
      </c>
    </row>
    <row r="16" spans="1:39">
      <c r="A16" s="245">
        <v>41334</v>
      </c>
      <c r="B16">
        <f t="shared" si="0"/>
        <v>3</v>
      </c>
      <c r="C16">
        <f t="shared" si="1"/>
        <v>2013</v>
      </c>
      <c r="D16" s="6">
        <v>10703276.161222531</v>
      </c>
      <c r="E16">
        <v>0</v>
      </c>
      <c r="F16">
        <v>31</v>
      </c>
      <c r="G16">
        <f>'Monthly Data'!BN16</f>
        <v>15</v>
      </c>
      <c r="H16">
        <v>0</v>
      </c>
      <c r="I16">
        <f>'Monthly Data'!CJ16</f>
        <v>0</v>
      </c>
      <c r="K16" s="6">
        <f t="shared" si="2"/>
        <v>475930.57328307</v>
      </c>
      <c r="L16" s="6">
        <f t="shared" si="3"/>
        <v>0</v>
      </c>
      <c r="M16" s="6">
        <f t="shared" si="4"/>
        <v>10445590.485508041</v>
      </c>
      <c r="N16" s="6">
        <f t="shared" si="5"/>
        <v>-74544.741795701702</v>
      </c>
      <c r="O16" s="6">
        <f t="shared" si="6"/>
        <v>0</v>
      </c>
      <c r="P16" s="6">
        <f t="shared" si="10"/>
        <v>0</v>
      </c>
      <c r="Q16" s="6">
        <f t="shared" si="7"/>
        <v>10846976.31699541</v>
      </c>
      <c r="R16" s="6">
        <f t="shared" si="8"/>
        <v>143700.15577287972</v>
      </c>
      <c r="S16" s="15">
        <f t="shared" si="9"/>
        <v>1.3425810341463361E-2</v>
      </c>
      <c r="V16" t="s">
        <v>96</v>
      </c>
      <c r="W16" s="6">
        <v>20110558042615</v>
      </c>
      <c r="X16" t="s">
        <v>97</v>
      </c>
      <c r="Y16" s="6">
        <v>399509.203289258</v>
      </c>
      <c r="AI16" t="s">
        <v>94</v>
      </c>
      <c r="AJ16">
        <v>10455578.6688802</v>
      </c>
      <c r="AK16" t="s">
        <v>95</v>
      </c>
      <c r="AL16">
        <v>744823.31705387495</v>
      </c>
    </row>
    <row r="17" spans="1:38">
      <c r="A17" s="245">
        <v>41365</v>
      </c>
      <c r="B17">
        <f t="shared" si="0"/>
        <v>4</v>
      </c>
      <c r="C17">
        <f t="shared" si="1"/>
        <v>2013</v>
      </c>
      <c r="D17" s="6">
        <v>10644184.794222532</v>
      </c>
      <c r="E17">
        <v>0.19999999999999929</v>
      </c>
      <c r="F17">
        <v>30</v>
      </c>
      <c r="G17">
        <f>'Monthly Data'!BN17</f>
        <v>16</v>
      </c>
      <c r="H17">
        <v>0</v>
      </c>
      <c r="I17">
        <f>'Monthly Data'!CJ17</f>
        <v>0</v>
      </c>
      <c r="K17" s="6">
        <f t="shared" si="2"/>
        <v>475930.57328307</v>
      </c>
      <c r="L17" s="6">
        <f t="shared" si="3"/>
        <v>684.5486315810416</v>
      </c>
      <c r="M17" s="6">
        <f t="shared" si="4"/>
        <v>10108635.953717459</v>
      </c>
      <c r="N17" s="6">
        <f t="shared" si="5"/>
        <v>-79514.391248748478</v>
      </c>
      <c r="O17" s="6">
        <f t="shared" si="6"/>
        <v>0</v>
      </c>
      <c r="P17" s="6">
        <f t="shared" si="10"/>
        <v>0</v>
      </c>
      <c r="Q17" s="6">
        <f t="shared" si="7"/>
        <v>10505736.684383363</v>
      </c>
      <c r="R17" s="6">
        <f t="shared" si="8"/>
        <v>-138448.10983916931</v>
      </c>
      <c r="S17" s="15">
        <f t="shared" si="9"/>
        <v>1.3006924674430343E-2</v>
      </c>
      <c r="V17" t="s">
        <v>98</v>
      </c>
      <c r="W17" s="241">
        <v>0.72333631980764901</v>
      </c>
      <c r="X17" t="s">
        <v>99</v>
      </c>
      <c r="Y17" s="120">
        <v>0.71235760233969903</v>
      </c>
      <c r="AI17" t="s">
        <v>96</v>
      </c>
      <c r="AJ17">
        <v>19808010663973</v>
      </c>
      <c r="AK17" t="s">
        <v>97</v>
      </c>
      <c r="AL17">
        <v>398075.47690329299</v>
      </c>
    </row>
    <row r="18" spans="1:38">
      <c r="A18" s="245">
        <v>41395</v>
      </c>
      <c r="B18">
        <f t="shared" si="0"/>
        <v>5</v>
      </c>
      <c r="C18">
        <f t="shared" si="1"/>
        <v>2013</v>
      </c>
      <c r="D18" s="6">
        <v>11574069.827622529</v>
      </c>
      <c r="E18">
        <v>58.900000000000006</v>
      </c>
      <c r="F18">
        <v>31</v>
      </c>
      <c r="G18">
        <f>'Monthly Data'!BN18</f>
        <v>17</v>
      </c>
      <c r="H18">
        <v>0</v>
      </c>
      <c r="I18">
        <f>'Monthly Data'!CJ18</f>
        <v>0</v>
      </c>
      <c r="K18" s="6">
        <f t="shared" si="2"/>
        <v>475930.57328307</v>
      </c>
      <c r="L18" s="6">
        <f t="shared" si="3"/>
        <v>201599.57200061748</v>
      </c>
      <c r="M18" s="6">
        <f t="shared" si="4"/>
        <v>10445590.485508041</v>
      </c>
      <c r="N18" s="6">
        <f t="shared" si="5"/>
        <v>-84484.040701795253</v>
      </c>
      <c r="O18" s="6">
        <f t="shared" si="6"/>
        <v>0</v>
      </c>
      <c r="P18" s="6">
        <f t="shared" si="10"/>
        <v>0</v>
      </c>
      <c r="Q18" s="6">
        <f t="shared" si="7"/>
        <v>11038636.590089934</v>
      </c>
      <c r="R18" s="6">
        <f t="shared" si="8"/>
        <v>-535433.23753259517</v>
      </c>
      <c r="S18" s="15">
        <f t="shared" si="9"/>
        <v>4.6261448695837044E-2</v>
      </c>
      <c r="V18" t="s">
        <v>383</v>
      </c>
      <c r="W18" s="242">
        <v>56.622474247173599</v>
      </c>
      <c r="X18" t="s">
        <v>100</v>
      </c>
      <c r="Y18" s="120">
        <v>1.3493397666466899E-30</v>
      </c>
      <c r="AI18" t="s">
        <v>98</v>
      </c>
      <c r="AJ18">
        <v>0.72750713598841499</v>
      </c>
      <c r="AK18" t="s">
        <v>99</v>
      </c>
      <c r="AL18">
        <v>0.71442747851585897</v>
      </c>
    </row>
    <row r="19" spans="1:38">
      <c r="A19" s="245">
        <v>41426</v>
      </c>
      <c r="B19">
        <f t="shared" si="0"/>
        <v>6</v>
      </c>
      <c r="C19">
        <f t="shared" si="1"/>
        <v>2013</v>
      </c>
      <c r="D19" s="6">
        <v>11274619.735822527</v>
      </c>
      <c r="E19">
        <v>89.3</v>
      </c>
      <c r="F19">
        <v>30</v>
      </c>
      <c r="G19">
        <f>'Monthly Data'!BN19</f>
        <v>18</v>
      </c>
      <c r="H19">
        <v>0</v>
      </c>
      <c r="I19">
        <f>'Monthly Data'!CJ19</f>
        <v>0</v>
      </c>
      <c r="K19" s="6">
        <f t="shared" si="2"/>
        <v>475930.57328307</v>
      </c>
      <c r="L19" s="6">
        <f t="shared" si="3"/>
        <v>305650.96400093613</v>
      </c>
      <c r="M19" s="6">
        <f t="shared" si="4"/>
        <v>10108635.953717459</v>
      </c>
      <c r="N19" s="6">
        <f t="shared" si="5"/>
        <v>-89453.690154842043</v>
      </c>
      <c r="O19" s="6">
        <f t="shared" si="6"/>
        <v>0</v>
      </c>
      <c r="P19" s="6">
        <f t="shared" si="10"/>
        <v>0</v>
      </c>
      <c r="Q19" s="6">
        <f t="shared" si="7"/>
        <v>10800763.800846623</v>
      </c>
      <c r="R19" s="6">
        <f t="shared" si="8"/>
        <v>-473855.93497590348</v>
      </c>
      <c r="S19" s="15">
        <f t="shared" si="9"/>
        <v>4.2028551390547973E-2</v>
      </c>
      <c r="V19" t="s">
        <v>101</v>
      </c>
      <c r="W19" s="244">
        <v>-4.3516735089859801E-2</v>
      </c>
      <c r="X19" t="s">
        <v>102</v>
      </c>
      <c r="Y19" s="120">
        <v>2.0635164146162901</v>
      </c>
      <c r="AE19" s="21"/>
      <c r="AF19" s="21"/>
      <c r="AI19" t="s">
        <v>374</v>
      </c>
      <c r="AJ19">
        <v>47.259147328856002</v>
      </c>
      <c r="AK19" t="s">
        <v>100</v>
      </c>
      <c r="AL19" s="21">
        <v>7.14219024809449E-30</v>
      </c>
    </row>
    <row r="20" spans="1:38">
      <c r="A20" s="245">
        <v>41456</v>
      </c>
      <c r="B20">
        <f t="shared" si="0"/>
        <v>7</v>
      </c>
      <c r="C20">
        <f t="shared" si="1"/>
        <v>2013</v>
      </c>
      <c r="D20" s="6">
        <v>11333724.078622531</v>
      </c>
      <c r="E20">
        <v>173.5</v>
      </c>
      <c r="F20">
        <v>31</v>
      </c>
      <c r="G20">
        <f>'Monthly Data'!BN20</f>
        <v>19</v>
      </c>
      <c r="H20">
        <v>0</v>
      </c>
      <c r="I20">
        <f>'Monthly Data'!CJ20</f>
        <v>0</v>
      </c>
      <c r="K20" s="6">
        <f t="shared" si="2"/>
        <v>475930.57328307</v>
      </c>
      <c r="L20" s="6">
        <f t="shared" si="3"/>
        <v>593845.93789655564</v>
      </c>
      <c r="M20" s="6">
        <f t="shared" si="4"/>
        <v>10445590.485508041</v>
      </c>
      <c r="N20" s="6">
        <f t="shared" si="5"/>
        <v>-94423.339607888818</v>
      </c>
      <c r="O20" s="6">
        <f t="shared" si="6"/>
        <v>0</v>
      </c>
      <c r="P20" s="6">
        <f t="shared" si="10"/>
        <v>0</v>
      </c>
      <c r="Q20" s="6">
        <f t="shared" si="7"/>
        <v>11420943.657079779</v>
      </c>
      <c r="R20" s="6">
        <f t="shared" si="8"/>
        <v>87219.578457247466</v>
      </c>
      <c r="S20" s="15">
        <f t="shared" si="9"/>
        <v>7.6955798334423439E-3</v>
      </c>
      <c r="W20" s="243"/>
      <c r="Y20" s="120"/>
      <c r="AI20" t="s">
        <v>101</v>
      </c>
      <c r="AJ20">
        <v>-2.90470159128981E-2</v>
      </c>
      <c r="AK20" t="s">
        <v>102</v>
      </c>
      <c r="AL20">
        <v>2.0384447360754101</v>
      </c>
    </row>
    <row r="21" spans="1:38">
      <c r="A21" s="245">
        <v>41487</v>
      </c>
      <c r="B21">
        <f t="shared" si="0"/>
        <v>8</v>
      </c>
      <c r="C21">
        <f t="shared" si="1"/>
        <v>2013</v>
      </c>
      <c r="D21" s="6">
        <v>11733541.47082253</v>
      </c>
      <c r="E21">
        <v>126.10000000000002</v>
      </c>
      <c r="F21">
        <v>31</v>
      </c>
      <c r="G21">
        <f>'Monthly Data'!BN21</f>
        <v>20</v>
      </c>
      <c r="H21">
        <v>0</v>
      </c>
      <c r="I21">
        <f>'Monthly Data'!CJ21</f>
        <v>0</v>
      </c>
      <c r="K21" s="6">
        <f t="shared" si="2"/>
        <v>475930.57328307</v>
      </c>
      <c r="L21" s="6">
        <f t="shared" si="3"/>
        <v>431607.91221184831</v>
      </c>
      <c r="M21" s="6">
        <f t="shared" si="4"/>
        <v>10445590.485508041</v>
      </c>
      <c r="N21" s="6">
        <f t="shared" si="5"/>
        <v>-99392.989060935593</v>
      </c>
      <c r="O21" s="6">
        <f t="shared" si="6"/>
        <v>0</v>
      </c>
      <c r="P21" s="6">
        <f t="shared" si="10"/>
        <v>0</v>
      </c>
      <c r="Q21" s="6">
        <f t="shared" si="7"/>
        <v>11253735.981942024</v>
      </c>
      <c r="R21" s="6">
        <f t="shared" si="8"/>
        <v>-479805.48888050579</v>
      </c>
      <c r="S21" s="15">
        <f t="shared" si="9"/>
        <v>4.0891787877822286E-2</v>
      </c>
    </row>
    <row r="22" spans="1:38">
      <c r="A22" s="245">
        <v>41518</v>
      </c>
      <c r="B22">
        <f t="shared" ref="B22:B85" si="11">MONTH(A22)</f>
        <v>9</v>
      </c>
      <c r="C22">
        <f t="shared" ref="C22:C85" si="12">YEAR(A22)</f>
        <v>2013</v>
      </c>
      <c r="D22" s="6">
        <v>11218735.507822527</v>
      </c>
      <c r="E22">
        <v>58.499999999999993</v>
      </c>
      <c r="F22">
        <v>30</v>
      </c>
      <c r="G22">
        <f>'Monthly Data'!BN22</f>
        <v>21</v>
      </c>
      <c r="H22">
        <v>0</v>
      </c>
      <c r="I22">
        <f>'Monthly Data'!CJ22</f>
        <v>0</v>
      </c>
      <c r="K22" s="6">
        <f t="shared" si="2"/>
        <v>475930.57328307</v>
      </c>
      <c r="L22" s="6">
        <f t="shared" si="3"/>
        <v>200230.47473745534</v>
      </c>
      <c r="M22" s="6">
        <f t="shared" si="4"/>
        <v>10108635.953717459</v>
      </c>
      <c r="N22" s="6">
        <f t="shared" si="5"/>
        <v>-104362.63851398238</v>
      </c>
      <c r="O22" s="6">
        <f t="shared" si="6"/>
        <v>0</v>
      </c>
      <c r="P22" s="6">
        <f t="shared" si="10"/>
        <v>0</v>
      </c>
      <c r="Q22" s="6">
        <f t="shared" si="7"/>
        <v>10680434.363224002</v>
      </c>
      <c r="R22" s="6">
        <f t="shared" si="8"/>
        <v>-538301.14459852502</v>
      </c>
      <c r="S22" s="15">
        <f t="shared" si="9"/>
        <v>4.7982336710156143E-2</v>
      </c>
    </row>
    <row r="23" spans="1:38">
      <c r="A23" s="245">
        <v>41548</v>
      </c>
      <c r="B23">
        <f t="shared" si="11"/>
        <v>10</v>
      </c>
      <c r="C23">
        <f t="shared" si="12"/>
        <v>2013</v>
      </c>
      <c r="D23" s="6">
        <v>11555512.27422253</v>
      </c>
      <c r="E23">
        <v>14.300000000000004</v>
      </c>
      <c r="F23">
        <v>31</v>
      </c>
      <c r="G23">
        <f>'Monthly Data'!BN23</f>
        <v>22</v>
      </c>
      <c r="H23">
        <v>0</v>
      </c>
      <c r="I23">
        <f>'Monthly Data'!CJ23</f>
        <v>0</v>
      </c>
      <c r="K23" s="6">
        <f t="shared" si="2"/>
        <v>475930.57328307</v>
      </c>
      <c r="L23" s="6">
        <f t="shared" si="3"/>
        <v>48945.227158044661</v>
      </c>
      <c r="M23" s="6">
        <f t="shared" si="4"/>
        <v>10445590.485508041</v>
      </c>
      <c r="N23" s="6">
        <f t="shared" si="5"/>
        <v>-109332.28796702916</v>
      </c>
      <c r="O23" s="6">
        <f t="shared" si="6"/>
        <v>0</v>
      </c>
      <c r="P23" s="6">
        <f t="shared" si="10"/>
        <v>0</v>
      </c>
      <c r="Q23" s="6">
        <f t="shared" si="7"/>
        <v>10861133.997982126</v>
      </c>
      <c r="R23" s="6">
        <f t="shared" si="8"/>
        <v>-694378.2762404047</v>
      </c>
      <c r="S23" s="15">
        <f t="shared" si="9"/>
        <v>6.009065282111202E-2</v>
      </c>
    </row>
    <row r="24" spans="1:38">
      <c r="A24" s="245">
        <v>41579</v>
      </c>
      <c r="B24">
        <f t="shared" si="11"/>
        <v>11</v>
      </c>
      <c r="C24">
        <f t="shared" si="12"/>
        <v>2013</v>
      </c>
      <c r="D24" s="6">
        <v>10890286.446022533</v>
      </c>
      <c r="E24">
        <v>0</v>
      </c>
      <c r="F24">
        <v>30</v>
      </c>
      <c r="G24">
        <f>'Monthly Data'!BN24</f>
        <v>23</v>
      </c>
      <c r="H24">
        <v>0</v>
      </c>
      <c r="I24">
        <f>'Monthly Data'!CJ24</f>
        <v>0</v>
      </c>
      <c r="K24" s="6">
        <f t="shared" si="2"/>
        <v>475930.57328307</v>
      </c>
      <c r="L24" s="6">
        <f t="shared" si="3"/>
        <v>0</v>
      </c>
      <c r="M24" s="6">
        <f t="shared" si="4"/>
        <v>10108635.953717459</v>
      </c>
      <c r="N24" s="6">
        <f t="shared" si="5"/>
        <v>-114301.93742007593</v>
      </c>
      <c r="O24" s="6">
        <f t="shared" si="6"/>
        <v>0</v>
      </c>
      <c r="P24" s="6">
        <f t="shared" si="10"/>
        <v>0</v>
      </c>
      <c r="Q24" s="6">
        <f t="shared" si="7"/>
        <v>10470264.589580454</v>
      </c>
      <c r="R24" s="6">
        <f t="shared" si="8"/>
        <v>-420021.85644207895</v>
      </c>
      <c r="S24" s="15">
        <f t="shared" si="9"/>
        <v>3.856848564304604E-2</v>
      </c>
    </row>
    <row r="25" spans="1:38">
      <c r="A25" s="245">
        <v>41609</v>
      </c>
      <c r="B25">
        <f t="shared" si="11"/>
        <v>12</v>
      </c>
      <c r="C25">
        <f t="shared" si="12"/>
        <v>2013</v>
      </c>
      <c r="D25" s="6">
        <v>10629100.71942253</v>
      </c>
      <c r="E25">
        <v>0</v>
      </c>
      <c r="F25">
        <v>31</v>
      </c>
      <c r="G25">
        <f>'Monthly Data'!BN25</f>
        <v>24</v>
      </c>
      <c r="H25">
        <v>1</v>
      </c>
      <c r="I25">
        <f>'Monthly Data'!CJ25</f>
        <v>0</v>
      </c>
      <c r="K25" s="6">
        <f t="shared" si="2"/>
        <v>475930.57328307</v>
      </c>
      <c r="L25" s="6">
        <f t="shared" si="3"/>
        <v>0</v>
      </c>
      <c r="M25" s="6">
        <f t="shared" si="4"/>
        <v>10445590.485508041</v>
      </c>
      <c r="N25" s="6">
        <f t="shared" si="5"/>
        <v>-119271.58687312272</v>
      </c>
      <c r="O25" s="6">
        <f t="shared" si="6"/>
        <v>-634211.854533192</v>
      </c>
      <c r="P25" s="6">
        <f t="shared" si="10"/>
        <v>0</v>
      </c>
      <c r="Q25" s="6">
        <f t="shared" si="7"/>
        <v>10168037.617384797</v>
      </c>
      <c r="R25" s="6">
        <f t="shared" si="8"/>
        <v>-461063.10203773342</v>
      </c>
      <c r="S25" s="15">
        <f t="shared" si="9"/>
        <v>4.3377432786504119E-2</v>
      </c>
    </row>
    <row r="26" spans="1:38">
      <c r="A26" s="245">
        <v>41640</v>
      </c>
      <c r="B26">
        <f t="shared" si="11"/>
        <v>1</v>
      </c>
      <c r="C26">
        <f t="shared" si="12"/>
        <v>2014</v>
      </c>
      <c r="D26" s="6">
        <v>11182793.537966551</v>
      </c>
      <c r="E26">
        <v>0</v>
      </c>
      <c r="F26">
        <v>31</v>
      </c>
      <c r="G26">
        <f>'Monthly Data'!BN26</f>
        <v>25</v>
      </c>
      <c r="H26">
        <v>0</v>
      </c>
      <c r="I26">
        <f>'Monthly Data'!CJ26</f>
        <v>0</v>
      </c>
      <c r="K26" s="6">
        <f t="shared" si="2"/>
        <v>475930.57328307</v>
      </c>
      <c r="L26" s="6">
        <f t="shared" si="3"/>
        <v>0</v>
      </c>
      <c r="M26" s="6">
        <f t="shared" si="4"/>
        <v>10445590.485508041</v>
      </c>
      <c r="N26" s="6">
        <f t="shared" si="5"/>
        <v>-124241.2363261695</v>
      </c>
      <c r="O26" s="6">
        <f t="shared" si="6"/>
        <v>0</v>
      </c>
      <c r="P26" s="6">
        <f t="shared" si="10"/>
        <v>0</v>
      </c>
      <c r="Q26" s="6">
        <f t="shared" si="7"/>
        <v>10797279.822464943</v>
      </c>
      <c r="R26" s="6">
        <f t="shared" si="8"/>
        <v>-385513.71550160833</v>
      </c>
      <c r="S26" s="15">
        <f t="shared" si="9"/>
        <v>3.4473829297908071E-2</v>
      </c>
    </row>
    <row r="27" spans="1:38">
      <c r="A27" s="245">
        <v>41671</v>
      </c>
      <c r="B27">
        <f t="shared" si="11"/>
        <v>2</v>
      </c>
      <c r="C27">
        <f t="shared" si="12"/>
        <v>2014</v>
      </c>
      <c r="D27" s="6">
        <v>9859698.2725665476</v>
      </c>
      <c r="E27">
        <v>0</v>
      </c>
      <c r="F27">
        <v>28</v>
      </c>
      <c r="G27">
        <f>'Monthly Data'!BN27</f>
        <v>26</v>
      </c>
      <c r="H27">
        <v>0</v>
      </c>
      <c r="I27">
        <f>'Monthly Data'!CJ27</f>
        <v>0</v>
      </c>
      <c r="K27" s="6">
        <f t="shared" si="2"/>
        <v>475930.57328307</v>
      </c>
      <c r="L27" s="6">
        <f t="shared" si="3"/>
        <v>0</v>
      </c>
      <c r="M27" s="6">
        <f t="shared" si="4"/>
        <v>9434726.8901362959</v>
      </c>
      <c r="N27" s="6">
        <f t="shared" si="5"/>
        <v>-129210.88577921627</v>
      </c>
      <c r="O27" s="6">
        <f t="shared" si="6"/>
        <v>0</v>
      </c>
      <c r="P27" s="6">
        <f t="shared" si="10"/>
        <v>0</v>
      </c>
      <c r="Q27" s="6">
        <f t="shared" si="7"/>
        <v>9781446.5776401497</v>
      </c>
      <c r="R27" s="6">
        <f t="shared" si="8"/>
        <v>-78251.694926397875</v>
      </c>
      <c r="S27" s="15">
        <f t="shared" si="9"/>
        <v>7.9365202426248706E-3</v>
      </c>
    </row>
    <row r="28" spans="1:38">
      <c r="A28" s="245">
        <v>41699</v>
      </c>
      <c r="B28">
        <f t="shared" si="11"/>
        <v>3</v>
      </c>
      <c r="C28">
        <f t="shared" si="12"/>
        <v>2014</v>
      </c>
      <c r="D28" s="6">
        <v>11209646.791566549</v>
      </c>
      <c r="E28">
        <v>0</v>
      </c>
      <c r="F28">
        <v>31</v>
      </c>
      <c r="G28">
        <f>'Monthly Data'!BN28</f>
        <v>27</v>
      </c>
      <c r="H28">
        <v>0</v>
      </c>
      <c r="I28">
        <f>'Monthly Data'!CJ28</f>
        <v>0</v>
      </c>
      <c r="K28" s="6">
        <f t="shared" si="2"/>
        <v>475930.57328307</v>
      </c>
      <c r="L28" s="6">
        <f t="shared" si="3"/>
        <v>0</v>
      </c>
      <c r="M28" s="6">
        <f t="shared" si="4"/>
        <v>10445590.485508041</v>
      </c>
      <c r="N28" s="6">
        <f t="shared" si="5"/>
        <v>-134180.53523226306</v>
      </c>
      <c r="O28" s="6">
        <f t="shared" si="6"/>
        <v>0</v>
      </c>
      <c r="P28" s="6">
        <f t="shared" si="10"/>
        <v>0</v>
      </c>
      <c r="Q28" s="6">
        <f t="shared" si="7"/>
        <v>10787340.523558849</v>
      </c>
      <c r="R28" s="6">
        <f t="shared" si="8"/>
        <v>-422306.2680076994</v>
      </c>
      <c r="S28" s="15">
        <f t="shared" si="9"/>
        <v>3.7673467849621875E-2</v>
      </c>
    </row>
    <row r="29" spans="1:38">
      <c r="A29" s="245">
        <v>41730</v>
      </c>
      <c r="B29">
        <f t="shared" si="11"/>
        <v>4</v>
      </c>
      <c r="C29">
        <f t="shared" si="12"/>
        <v>2014</v>
      </c>
      <c r="D29" s="6">
        <v>11172479.579766547</v>
      </c>
      <c r="E29">
        <v>0</v>
      </c>
      <c r="F29">
        <v>30</v>
      </c>
      <c r="G29">
        <f>'Monthly Data'!BN29</f>
        <v>28</v>
      </c>
      <c r="H29">
        <v>0</v>
      </c>
      <c r="I29">
        <f>'Monthly Data'!CJ29</f>
        <v>0</v>
      </c>
      <c r="K29" s="6">
        <f t="shared" si="2"/>
        <v>475930.57328307</v>
      </c>
      <c r="L29" s="6">
        <f t="shared" si="3"/>
        <v>0</v>
      </c>
      <c r="M29" s="6">
        <f t="shared" si="4"/>
        <v>10108635.953717459</v>
      </c>
      <c r="N29" s="6">
        <f t="shared" si="5"/>
        <v>-139150.18468530982</v>
      </c>
      <c r="O29" s="6">
        <f t="shared" si="6"/>
        <v>0</v>
      </c>
      <c r="P29" s="6">
        <f t="shared" si="10"/>
        <v>0</v>
      </c>
      <c r="Q29" s="6">
        <f t="shared" si="7"/>
        <v>10445416.342315219</v>
      </c>
      <c r="R29" s="6">
        <f t="shared" si="8"/>
        <v>-727063.23745132796</v>
      </c>
      <c r="S29" s="15">
        <f t="shared" si="9"/>
        <v>6.5076264607191181E-2</v>
      </c>
    </row>
    <row r="30" spans="1:38">
      <c r="A30" s="245">
        <v>41760</v>
      </c>
      <c r="B30">
        <f t="shared" si="11"/>
        <v>5</v>
      </c>
      <c r="C30">
        <f t="shared" si="12"/>
        <v>2014</v>
      </c>
      <c r="D30" s="6">
        <v>11807657.007166548</v>
      </c>
      <c r="E30">
        <v>27.500000000000004</v>
      </c>
      <c r="F30">
        <v>31</v>
      </c>
      <c r="G30">
        <f>'Monthly Data'!BN30</f>
        <v>29</v>
      </c>
      <c r="H30">
        <v>0</v>
      </c>
      <c r="I30">
        <f>'Monthly Data'!CJ30</f>
        <v>0</v>
      </c>
      <c r="K30" s="6">
        <f t="shared" si="2"/>
        <v>475930.57328307</v>
      </c>
      <c r="L30" s="6">
        <f t="shared" si="3"/>
        <v>94125.436842393567</v>
      </c>
      <c r="M30" s="6">
        <f t="shared" si="4"/>
        <v>10445590.485508041</v>
      </c>
      <c r="N30" s="6">
        <f t="shared" si="5"/>
        <v>-144119.83413835661</v>
      </c>
      <c r="O30" s="6">
        <f t="shared" si="6"/>
        <v>0</v>
      </c>
      <c r="P30" s="6">
        <f t="shared" si="10"/>
        <v>0</v>
      </c>
      <c r="Q30" s="6">
        <f t="shared" si="7"/>
        <v>10871526.661495149</v>
      </c>
      <c r="R30" s="6">
        <f t="shared" si="8"/>
        <v>-936130.34567139857</v>
      </c>
      <c r="S30" s="15">
        <f t="shared" si="9"/>
        <v>7.9281634375322971E-2</v>
      </c>
    </row>
    <row r="31" spans="1:38">
      <c r="A31" s="245">
        <v>41791</v>
      </c>
      <c r="B31">
        <f t="shared" si="11"/>
        <v>6</v>
      </c>
      <c r="C31">
        <f t="shared" si="12"/>
        <v>2014</v>
      </c>
      <c r="D31" s="6">
        <v>11080846.702366551</v>
      </c>
      <c r="E31">
        <v>96.499999999999986</v>
      </c>
      <c r="F31">
        <v>30</v>
      </c>
      <c r="G31">
        <f>'Monthly Data'!BN31</f>
        <v>30</v>
      </c>
      <c r="H31">
        <v>0</v>
      </c>
      <c r="I31">
        <f>'Monthly Data'!CJ31</f>
        <v>0</v>
      </c>
      <c r="K31" s="6">
        <f t="shared" si="2"/>
        <v>475930.57328307</v>
      </c>
      <c r="L31" s="6">
        <f t="shared" si="3"/>
        <v>330294.71473785368</v>
      </c>
      <c r="M31" s="6">
        <f t="shared" si="4"/>
        <v>10108635.953717459</v>
      </c>
      <c r="N31" s="6">
        <f t="shared" si="5"/>
        <v>-149089.4835914034</v>
      </c>
      <c r="O31" s="6">
        <f t="shared" si="6"/>
        <v>0</v>
      </c>
      <c r="P31" s="6">
        <f t="shared" si="10"/>
        <v>0</v>
      </c>
      <c r="Q31" s="6">
        <f t="shared" si="7"/>
        <v>10765771.758146979</v>
      </c>
      <c r="R31" s="6">
        <f t="shared" si="8"/>
        <v>-315074.94421957247</v>
      </c>
      <c r="S31" s="15">
        <f t="shared" si="9"/>
        <v>2.8434193945872519E-2</v>
      </c>
    </row>
    <row r="32" spans="1:38">
      <c r="A32" s="245">
        <v>41821</v>
      </c>
      <c r="B32">
        <f t="shared" si="11"/>
        <v>7</v>
      </c>
      <c r="C32">
        <f t="shared" si="12"/>
        <v>2014</v>
      </c>
      <c r="D32" s="6">
        <v>11728475.210166547</v>
      </c>
      <c r="E32">
        <v>109.60000000000002</v>
      </c>
      <c r="F32">
        <v>31</v>
      </c>
      <c r="G32">
        <f>'Monthly Data'!BN32</f>
        <v>31</v>
      </c>
      <c r="H32">
        <v>0</v>
      </c>
      <c r="I32">
        <f>'Monthly Data'!CJ32</f>
        <v>0</v>
      </c>
      <c r="K32" s="6">
        <f t="shared" si="2"/>
        <v>475930.57328307</v>
      </c>
      <c r="L32" s="6">
        <f t="shared" si="3"/>
        <v>375132.65010641218</v>
      </c>
      <c r="M32" s="6">
        <f t="shared" si="4"/>
        <v>10445590.485508041</v>
      </c>
      <c r="N32" s="6">
        <f t="shared" si="5"/>
        <v>-154059.13304445017</v>
      </c>
      <c r="O32" s="6">
        <f t="shared" si="6"/>
        <v>0</v>
      </c>
      <c r="P32" s="6">
        <f t="shared" si="10"/>
        <v>0</v>
      </c>
      <c r="Q32" s="6">
        <f t="shared" si="7"/>
        <v>11142594.575853074</v>
      </c>
      <c r="R32" s="6">
        <f t="shared" si="8"/>
        <v>-585880.63431347348</v>
      </c>
      <c r="S32" s="15">
        <f t="shared" si="9"/>
        <v>4.9953691661949108E-2</v>
      </c>
    </row>
    <row r="33" spans="1:19">
      <c r="A33" s="245">
        <v>41852</v>
      </c>
      <c r="B33">
        <f t="shared" si="11"/>
        <v>8</v>
      </c>
      <c r="C33">
        <f t="shared" si="12"/>
        <v>2014</v>
      </c>
      <c r="D33" s="6">
        <v>12014326.82156655</v>
      </c>
      <c r="E33">
        <v>113.39999999999999</v>
      </c>
      <c r="F33">
        <v>31</v>
      </c>
      <c r="G33">
        <f>'Monthly Data'!BN33</f>
        <v>32</v>
      </c>
      <c r="H33">
        <v>0</v>
      </c>
      <c r="I33">
        <f>'Monthly Data'!CJ33</f>
        <v>0</v>
      </c>
      <c r="K33" s="6">
        <f t="shared" si="2"/>
        <v>475930.57328307</v>
      </c>
      <c r="L33" s="6">
        <f t="shared" si="3"/>
        <v>388139.07410645194</v>
      </c>
      <c r="M33" s="6">
        <f t="shared" si="4"/>
        <v>10445590.485508041</v>
      </c>
      <c r="N33" s="6">
        <f t="shared" si="5"/>
        <v>-159028.78249749696</v>
      </c>
      <c r="O33" s="6">
        <f t="shared" si="6"/>
        <v>0</v>
      </c>
      <c r="P33" s="6">
        <f t="shared" si="10"/>
        <v>0</v>
      </c>
      <c r="Q33" s="6">
        <f t="shared" si="7"/>
        <v>11150631.350400066</v>
      </c>
      <c r="R33" s="6">
        <f t="shared" si="8"/>
        <v>-863695.47116648406</v>
      </c>
      <c r="S33" s="15">
        <f t="shared" si="9"/>
        <v>7.1888794436330034E-2</v>
      </c>
    </row>
    <row r="34" spans="1:19">
      <c r="A34" s="245">
        <v>41883</v>
      </c>
      <c r="B34">
        <f t="shared" si="11"/>
        <v>9</v>
      </c>
      <c r="C34">
        <f t="shared" si="12"/>
        <v>2014</v>
      </c>
      <c r="D34" s="6">
        <v>10309914.79776655</v>
      </c>
      <c r="E34">
        <v>47.5</v>
      </c>
      <c r="F34">
        <v>30</v>
      </c>
      <c r="G34">
        <f>'Monthly Data'!BN34</f>
        <v>33</v>
      </c>
      <c r="H34">
        <v>0</v>
      </c>
      <c r="I34">
        <f>'Monthly Data'!CJ34</f>
        <v>0</v>
      </c>
      <c r="K34" s="6">
        <f t="shared" ref="K34:K65" si="13">$W$7</f>
        <v>475930.57328307</v>
      </c>
      <c r="L34" s="6">
        <f t="shared" ref="L34:L65" si="14">E34*$W$8</f>
        <v>162580.30000049795</v>
      </c>
      <c r="M34" s="6">
        <f t="shared" ref="M34:M65" si="15">F34*$W$9</f>
        <v>10108635.953717459</v>
      </c>
      <c r="N34" s="6">
        <f t="shared" ref="N34:N65" si="16">G34*$W$10</f>
        <v>-163998.43195054375</v>
      </c>
      <c r="O34" s="6">
        <f t="shared" ref="O34:O65" si="17">H34*$W$11</f>
        <v>0</v>
      </c>
      <c r="P34" s="6">
        <f t="shared" si="10"/>
        <v>0</v>
      </c>
      <c r="Q34" s="6">
        <f t="shared" ref="Q34:Q65" si="18">SUM(K34:P34)</f>
        <v>10583148.395050485</v>
      </c>
      <c r="R34" s="6">
        <f t="shared" ref="R34:R65" si="19">Q34-D34</f>
        <v>273233.59728393517</v>
      </c>
      <c r="S34" s="15">
        <f t="shared" ref="S34:S65" si="20">ABS(Q34-D34)/D34</f>
        <v>2.6502022824002981E-2</v>
      </c>
    </row>
    <row r="35" spans="1:19">
      <c r="A35" s="245">
        <v>41913</v>
      </c>
      <c r="B35">
        <f t="shared" si="11"/>
        <v>10</v>
      </c>
      <c r="C35">
        <f t="shared" si="12"/>
        <v>2014</v>
      </c>
      <c r="D35" s="6">
        <v>10615057.772566551</v>
      </c>
      <c r="E35">
        <v>4.1999999999999993</v>
      </c>
      <c r="F35">
        <v>31</v>
      </c>
      <c r="G35">
        <f>'Monthly Data'!BN35</f>
        <v>34</v>
      </c>
      <c r="H35">
        <v>0</v>
      </c>
      <c r="I35">
        <f>'Monthly Data'!CJ35</f>
        <v>0</v>
      </c>
      <c r="K35" s="6">
        <f t="shared" si="13"/>
        <v>475930.57328307</v>
      </c>
      <c r="L35" s="6">
        <f t="shared" si="14"/>
        <v>14375.521263201921</v>
      </c>
      <c r="M35" s="6">
        <f t="shared" si="15"/>
        <v>10445590.485508041</v>
      </c>
      <c r="N35" s="6">
        <f t="shared" si="16"/>
        <v>-168968.08140359051</v>
      </c>
      <c r="O35" s="6">
        <f t="shared" si="17"/>
        <v>0</v>
      </c>
      <c r="P35" s="6">
        <f t="shared" si="10"/>
        <v>0</v>
      </c>
      <c r="Q35" s="6">
        <f t="shared" si="18"/>
        <v>10766928.498650722</v>
      </c>
      <c r="R35" s="6">
        <f t="shared" si="19"/>
        <v>151870.72608417086</v>
      </c>
      <c r="S35" s="15">
        <f t="shared" si="20"/>
        <v>1.4307103111267471E-2</v>
      </c>
    </row>
    <row r="36" spans="1:19">
      <c r="A36" s="245">
        <v>41944</v>
      </c>
      <c r="B36">
        <f t="shared" si="11"/>
        <v>11</v>
      </c>
      <c r="C36">
        <f t="shared" si="12"/>
        <v>2014</v>
      </c>
      <c r="D36" s="6">
        <v>9875569.5067665484</v>
      </c>
      <c r="E36">
        <v>0</v>
      </c>
      <c r="F36">
        <v>30</v>
      </c>
      <c r="G36">
        <f>'Monthly Data'!BN36</f>
        <v>35</v>
      </c>
      <c r="H36">
        <v>0</v>
      </c>
      <c r="I36">
        <f>'Monthly Data'!CJ36</f>
        <v>0</v>
      </c>
      <c r="K36" s="6">
        <f t="shared" si="13"/>
        <v>475930.57328307</v>
      </c>
      <c r="L36" s="6">
        <f t="shared" si="14"/>
        <v>0</v>
      </c>
      <c r="M36" s="6">
        <f t="shared" si="15"/>
        <v>10108635.953717459</v>
      </c>
      <c r="N36" s="6">
        <f t="shared" si="16"/>
        <v>-173937.7308566373</v>
      </c>
      <c r="O36" s="6">
        <f t="shared" si="17"/>
        <v>0</v>
      </c>
      <c r="P36" s="6">
        <f t="shared" si="10"/>
        <v>0</v>
      </c>
      <c r="Q36" s="6">
        <f t="shared" si="18"/>
        <v>10410628.796143893</v>
      </c>
      <c r="R36" s="6">
        <f t="shared" si="19"/>
        <v>535059.28937734477</v>
      </c>
      <c r="S36" s="15">
        <f t="shared" si="20"/>
        <v>5.4180094526268339E-2</v>
      </c>
    </row>
    <row r="37" spans="1:19">
      <c r="A37" s="245">
        <v>41974</v>
      </c>
      <c r="B37">
        <f t="shared" si="11"/>
        <v>12</v>
      </c>
      <c r="C37">
        <f t="shared" si="12"/>
        <v>2014</v>
      </c>
      <c r="D37" s="6">
        <v>10271841.185166551</v>
      </c>
      <c r="E37">
        <v>0</v>
      </c>
      <c r="F37">
        <v>31</v>
      </c>
      <c r="G37">
        <f>'Monthly Data'!BN37</f>
        <v>36</v>
      </c>
      <c r="H37">
        <v>1</v>
      </c>
      <c r="I37">
        <f>'Monthly Data'!CJ37</f>
        <v>0</v>
      </c>
      <c r="K37" s="6">
        <f t="shared" si="13"/>
        <v>475930.57328307</v>
      </c>
      <c r="L37" s="6">
        <f t="shared" si="14"/>
        <v>0</v>
      </c>
      <c r="M37" s="6">
        <f t="shared" si="15"/>
        <v>10445590.485508041</v>
      </c>
      <c r="N37" s="6">
        <f t="shared" si="16"/>
        <v>-178907.38030968409</v>
      </c>
      <c r="O37" s="6">
        <f t="shared" si="17"/>
        <v>-634211.854533192</v>
      </c>
      <c r="P37" s="6">
        <f t="shared" si="10"/>
        <v>0</v>
      </c>
      <c r="Q37" s="6">
        <f t="shared" si="18"/>
        <v>10108401.823948236</v>
      </c>
      <c r="R37" s="6">
        <f t="shared" si="19"/>
        <v>-163439.36121831462</v>
      </c>
      <c r="S37" s="15">
        <f t="shared" si="20"/>
        <v>1.5911398771851687E-2</v>
      </c>
    </row>
    <row r="38" spans="1:19">
      <c r="A38" s="245">
        <v>42005</v>
      </c>
      <c r="B38">
        <f t="shared" si="11"/>
        <v>1</v>
      </c>
      <c r="C38">
        <f t="shared" si="12"/>
        <v>2015</v>
      </c>
      <c r="D38" s="6">
        <v>10704976.653154369</v>
      </c>
      <c r="E38">
        <v>0</v>
      </c>
      <c r="F38">
        <v>31</v>
      </c>
      <c r="G38">
        <f>'Monthly Data'!BN38</f>
        <v>37</v>
      </c>
      <c r="H38">
        <v>0</v>
      </c>
      <c r="I38">
        <f>'Monthly Data'!CJ38</f>
        <v>0</v>
      </c>
      <c r="K38" s="6">
        <f t="shared" si="13"/>
        <v>475930.57328307</v>
      </c>
      <c r="L38" s="6">
        <f t="shared" si="14"/>
        <v>0</v>
      </c>
      <c r="M38" s="6">
        <f t="shared" si="15"/>
        <v>10445590.485508041</v>
      </c>
      <c r="N38" s="6">
        <f t="shared" si="16"/>
        <v>-183877.02976273085</v>
      </c>
      <c r="O38" s="6">
        <f t="shared" si="17"/>
        <v>0</v>
      </c>
      <c r="P38" s="6">
        <f t="shared" si="10"/>
        <v>0</v>
      </c>
      <c r="Q38" s="6">
        <f t="shared" si="18"/>
        <v>10737644.029028382</v>
      </c>
      <c r="R38" s="6">
        <f t="shared" si="19"/>
        <v>32667.375874012709</v>
      </c>
      <c r="S38" s="15">
        <f t="shared" si="20"/>
        <v>3.051606456739615E-3</v>
      </c>
    </row>
    <row r="39" spans="1:19">
      <c r="A39" s="245">
        <v>42036</v>
      </c>
      <c r="B39">
        <f t="shared" si="11"/>
        <v>2</v>
      </c>
      <c r="C39">
        <f t="shared" si="12"/>
        <v>2015</v>
      </c>
      <c r="D39" s="6">
        <v>9935858.6243543699</v>
      </c>
      <c r="E39">
        <v>0</v>
      </c>
      <c r="F39">
        <v>28</v>
      </c>
      <c r="G39">
        <f>'Monthly Data'!BN39</f>
        <v>38</v>
      </c>
      <c r="H39">
        <v>0</v>
      </c>
      <c r="I39">
        <f>'Monthly Data'!CJ39</f>
        <v>0</v>
      </c>
      <c r="K39" s="6">
        <f t="shared" si="13"/>
        <v>475930.57328307</v>
      </c>
      <c r="L39" s="6">
        <f t="shared" si="14"/>
        <v>0</v>
      </c>
      <c r="M39" s="6">
        <f t="shared" si="15"/>
        <v>9434726.8901362959</v>
      </c>
      <c r="N39" s="6">
        <f t="shared" si="16"/>
        <v>-188846.67921577764</v>
      </c>
      <c r="O39" s="6">
        <f t="shared" si="17"/>
        <v>0</v>
      </c>
      <c r="P39" s="6">
        <f t="shared" si="10"/>
        <v>0</v>
      </c>
      <c r="Q39" s="6">
        <f t="shared" si="18"/>
        <v>9721810.784203589</v>
      </c>
      <c r="R39" s="6">
        <f t="shared" si="19"/>
        <v>-214047.84015078098</v>
      </c>
      <c r="S39" s="15">
        <f t="shared" si="20"/>
        <v>2.154296354681574E-2</v>
      </c>
    </row>
    <row r="40" spans="1:19">
      <c r="A40" s="245">
        <v>42064</v>
      </c>
      <c r="B40">
        <f t="shared" si="11"/>
        <v>3</v>
      </c>
      <c r="C40">
        <f t="shared" si="12"/>
        <v>2015</v>
      </c>
      <c r="D40" s="6">
        <v>10565709.311554372</v>
      </c>
      <c r="E40">
        <v>0</v>
      </c>
      <c r="F40">
        <v>31</v>
      </c>
      <c r="G40">
        <f>'Monthly Data'!BN40</f>
        <v>39</v>
      </c>
      <c r="H40">
        <v>0</v>
      </c>
      <c r="I40">
        <f>'Monthly Data'!CJ40</f>
        <v>0</v>
      </c>
      <c r="K40" s="6">
        <f t="shared" si="13"/>
        <v>475930.57328307</v>
      </c>
      <c r="L40" s="6">
        <f t="shared" si="14"/>
        <v>0</v>
      </c>
      <c r="M40" s="6">
        <f t="shared" si="15"/>
        <v>10445590.485508041</v>
      </c>
      <c r="N40" s="6">
        <f t="shared" si="16"/>
        <v>-193816.32866882443</v>
      </c>
      <c r="O40" s="6">
        <f t="shared" si="17"/>
        <v>0</v>
      </c>
      <c r="P40" s="6">
        <f t="shared" si="10"/>
        <v>0</v>
      </c>
      <c r="Q40" s="6">
        <f t="shared" si="18"/>
        <v>10727704.730122287</v>
      </c>
      <c r="R40" s="6">
        <f t="shared" si="19"/>
        <v>161995.41856791452</v>
      </c>
      <c r="S40" s="15">
        <f t="shared" si="20"/>
        <v>1.5332185827861148E-2</v>
      </c>
    </row>
    <row r="41" spans="1:19">
      <c r="A41" s="245">
        <v>42095</v>
      </c>
      <c r="B41">
        <f t="shared" si="11"/>
        <v>4</v>
      </c>
      <c r="C41">
        <f t="shared" si="12"/>
        <v>2015</v>
      </c>
      <c r="D41" s="6">
        <v>10251328.65735437</v>
      </c>
      <c r="E41">
        <v>0</v>
      </c>
      <c r="F41">
        <v>30</v>
      </c>
      <c r="G41">
        <f>'Monthly Data'!BN41</f>
        <v>40</v>
      </c>
      <c r="H41">
        <v>0</v>
      </c>
      <c r="I41">
        <f>'Monthly Data'!CJ41</f>
        <v>0</v>
      </c>
      <c r="K41" s="6">
        <f t="shared" si="13"/>
        <v>475930.57328307</v>
      </c>
      <c r="L41" s="6">
        <f t="shared" si="14"/>
        <v>0</v>
      </c>
      <c r="M41" s="6">
        <f t="shared" si="15"/>
        <v>10108635.953717459</v>
      </c>
      <c r="N41" s="6">
        <f t="shared" si="16"/>
        <v>-198785.97812187119</v>
      </c>
      <c r="O41" s="6">
        <f t="shared" si="17"/>
        <v>0</v>
      </c>
      <c r="P41" s="6">
        <f t="shared" si="10"/>
        <v>0</v>
      </c>
      <c r="Q41" s="6">
        <f t="shared" si="18"/>
        <v>10385780.548878659</v>
      </c>
      <c r="R41" s="6">
        <f t="shared" si="19"/>
        <v>134451.8915242888</v>
      </c>
      <c r="S41" s="15">
        <f t="shared" si="20"/>
        <v>1.3115557604119164E-2</v>
      </c>
    </row>
    <row r="42" spans="1:19">
      <c r="A42" s="245">
        <v>42125</v>
      </c>
      <c r="B42">
        <f t="shared" si="11"/>
        <v>5</v>
      </c>
      <c r="C42">
        <f t="shared" si="12"/>
        <v>2015</v>
      </c>
      <c r="D42" s="6">
        <v>11333772.902954372</v>
      </c>
      <c r="E42">
        <v>53.500000000000007</v>
      </c>
      <c r="F42">
        <v>31</v>
      </c>
      <c r="G42">
        <f>'Monthly Data'!BN42</f>
        <v>41</v>
      </c>
      <c r="H42">
        <v>0</v>
      </c>
      <c r="I42">
        <f>'Monthly Data'!CJ42</f>
        <v>0</v>
      </c>
      <c r="K42" s="6">
        <f t="shared" si="13"/>
        <v>475930.57328307</v>
      </c>
      <c r="L42" s="6">
        <f t="shared" si="14"/>
        <v>183116.75894792928</v>
      </c>
      <c r="M42" s="6">
        <f t="shared" si="15"/>
        <v>10445590.485508041</v>
      </c>
      <c r="N42" s="6">
        <f t="shared" si="16"/>
        <v>-203755.62757491798</v>
      </c>
      <c r="O42" s="6">
        <f t="shared" si="17"/>
        <v>0</v>
      </c>
      <c r="P42" s="6">
        <f t="shared" si="10"/>
        <v>0</v>
      </c>
      <c r="Q42" s="6">
        <f t="shared" si="18"/>
        <v>10900882.190164123</v>
      </c>
      <c r="R42" s="6">
        <f t="shared" si="19"/>
        <v>-432890.71279024892</v>
      </c>
      <c r="S42" s="15">
        <f t="shared" si="20"/>
        <v>3.81947579589677E-2</v>
      </c>
    </row>
    <row r="43" spans="1:19">
      <c r="A43" s="245">
        <v>42156</v>
      </c>
      <c r="B43">
        <f t="shared" si="11"/>
        <v>6</v>
      </c>
      <c r="C43">
        <f t="shared" si="12"/>
        <v>2015</v>
      </c>
      <c r="D43" s="6">
        <v>10406855.666754371</v>
      </c>
      <c r="E43">
        <v>64.5</v>
      </c>
      <c r="F43">
        <v>30</v>
      </c>
      <c r="G43">
        <f>'Monthly Data'!BN43</f>
        <v>42</v>
      </c>
      <c r="H43">
        <v>0</v>
      </c>
      <c r="I43">
        <f>'Monthly Data'!CJ43</f>
        <v>0</v>
      </c>
      <c r="K43" s="6">
        <f t="shared" si="13"/>
        <v>475930.57328307</v>
      </c>
      <c r="L43" s="6">
        <f t="shared" si="14"/>
        <v>220766.9336848867</v>
      </c>
      <c r="M43" s="6">
        <f t="shared" si="15"/>
        <v>10108635.953717459</v>
      </c>
      <c r="N43" s="6">
        <f t="shared" si="16"/>
        <v>-208725.27702796477</v>
      </c>
      <c r="O43" s="6">
        <f t="shared" si="17"/>
        <v>0</v>
      </c>
      <c r="P43" s="6">
        <f t="shared" si="10"/>
        <v>0</v>
      </c>
      <c r="Q43" s="6">
        <f t="shared" si="18"/>
        <v>10596608.183657451</v>
      </c>
      <c r="R43" s="6">
        <f t="shared" si="19"/>
        <v>189752.51690308005</v>
      </c>
      <c r="S43" s="15">
        <f t="shared" si="20"/>
        <v>1.8233414873741489E-2</v>
      </c>
    </row>
    <row r="44" spans="1:19">
      <c r="A44" s="245">
        <v>42186</v>
      </c>
      <c r="B44">
        <f t="shared" si="11"/>
        <v>7</v>
      </c>
      <c r="C44">
        <f t="shared" si="12"/>
        <v>2015</v>
      </c>
      <c r="D44" s="6">
        <v>10671441.982354369</v>
      </c>
      <c r="E44">
        <v>138.1</v>
      </c>
      <c r="F44">
        <v>31</v>
      </c>
      <c r="G44">
        <f>'Monthly Data'!BN44</f>
        <v>43</v>
      </c>
      <c r="H44">
        <v>0</v>
      </c>
      <c r="I44">
        <f>'Monthly Data'!CJ44</f>
        <v>0</v>
      </c>
      <c r="K44" s="6">
        <f t="shared" si="13"/>
        <v>475930.57328307</v>
      </c>
      <c r="L44" s="6">
        <f t="shared" si="14"/>
        <v>472680.83010671084</v>
      </c>
      <c r="M44" s="6">
        <f t="shared" si="15"/>
        <v>10445590.485508041</v>
      </c>
      <c r="N44" s="6">
        <f t="shared" si="16"/>
        <v>-213694.92648101153</v>
      </c>
      <c r="O44" s="6">
        <f t="shared" si="17"/>
        <v>0</v>
      </c>
      <c r="P44" s="6">
        <f t="shared" si="10"/>
        <v>0</v>
      </c>
      <c r="Q44" s="6">
        <f t="shared" si="18"/>
        <v>11180506.962416809</v>
      </c>
      <c r="R44" s="6">
        <f t="shared" si="19"/>
        <v>509064.98006244004</v>
      </c>
      <c r="S44" s="15">
        <f t="shared" si="20"/>
        <v>4.7703485705511792E-2</v>
      </c>
    </row>
    <row r="45" spans="1:19">
      <c r="A45" s="245">
        <v>42217</v>
      </c>
      <c r="B45">
        <f t="shared" si="11"/>
        <v>8</v>
      </c>
      <c r="C45">
        <f t="shared" si="12"/>
        <v>2015</v>
      </c>
      <c r="D45" s="6">
        <v>11178723.87235437</v>
      </c>
      <c r="E45">
        <v>132.59999999999997</v>
      </c>
      <c r="F45">
        <v>31</v>
      </c>
      <c r="G45">
        <f>'Monthly Data'!BN45</f>
        <v>44</v>
      </c>
      <c r="H45">
        <v>0</v>
      </c>
      <c r="I45">
        <f>'Monthly Data'!CJ45</f>
        <v>0</v>
      </c>
      <c r="K45" s="6">
        <f t="shared" si="13"/>
        <v>475930.57328307</v>
      </c>
      <c r="L45" s="6">
        <f t="shared" si="14"/>
        <v>453855.74273823207</v>
      </c>
      <c r="M45" s="6">
        <f t="shared" si="15"/>
        <v>10445590.485508041</v>
      </c>
      <c r="N45" s="6">
        <f t="shared" si="16"/>
        <v>-218664.57593405832</v>
      </c>
      <c r="O45" s="6">
        <f t="shared" si="17"/>
        <v>0</v>
      </c>
      <c r="P45" s="6">
        <f t="shared" si="10"/>
        <v>0</v>
      </c>
      <c r="Q45" s="6">
        <f t="shared" si="18"/>
        <v>11156712.225595286</v>
      </c>
      <c r="R45" s="6">
        <f t="shared" si="19"/>
        <v>-22011.646759083495</v>
      </c>
      <c r="S45" s="15">
        <f t="shared" si="20"/>
        <v>1.9690661483749115E-3</v>
      </c>
    </row>
    <row r="46" spans="1:19">
      <c r="A46" s="245">
        <v>42248</v>
      </c>
      <c r="B46">
        <f t="shared" si="11"/>
        <v>9</v>
      </c>
      <c r="C46">
        <f t="shared" si="12"/>
        <v>2015</v>
      </c>
      <c r="D46" s="6">
        <v>11305837.396154372</v>
      </c>
      <c r="E46">
        <v>117.69999999999999</v>
      </c>
      <c r="F46">
        <v>30</v>
      </c>
      <c r="G46">
        <f>'Monthly Data'!BN46</f>
        <v>45</v>
      </c>
      <c r="H46">
        <v>0</v>
      </c>
      <c r="I46">
        <f>'Monthly Data'!CJ46</f>
        <v>0</v>
      </c>
      <c r="K46" s="6">
        <f t="shared" si="13"/>
        <v>475930.57328307</v>
      </c>
      <c r="L46" s="6">
        <f t="shared" si="14"/>
        <v>402856.86968544434</v>
      </c>
      <c r="M46" s="6">
        <f t="shared" si="15"/>
        <v>10108635.953717459</v>
      </c>
      <c r="N46" s="6">
        <f t="shared" si="16"/>
        <v>-223634.22538710511</v>
      </c>
      <c r="O46" s="6">
        <f t="shared" si="17"/>
        <v>0</v>
      </c>
      <c r="P46" s="6">
        <f t="shared" si="10"/>
        <v>0</v>
      </c>
      <c r="Q46" s="6">
        <f t="shared" si="18"/>
        <v>10763789.171298867</v>
      </c>
      <c r="R46" s="6">
        <f t="shared" si="19"/>
        <v>-542048.22485550493</v>
      </c>
      <c r="S46" s="15">
        <f t="shared" si="20"/>
        <v>4.7944102313012223E-2</v>
      </c>
    </row>
    <row r="47" spans="1:19">
      <c r="A47" s="245">
        <v>42278</v>
      </c>
      <c r="B47">
        <f t="shared" si="11"/>
        <v>10</v>
      </c>
      <c r="C47">
        <f t="shared" si="12"/>
        <v>2015</v>
      </c>
      <c r="D47" s="6">
        <v>10944896.528354369</v>
      </c>
      <c r="E47">
        <v>1.6999999999999993</v>
      </c>
      <c r="F47">
        <v>31</v>
      </c>
      <c r="G47">
        <f>'Monthly Data'!BN47</f>
        <v>46</v>
      </c>
      <c r="H47">
        <v>0</v>
      </c>
      <c r="I47">
        <f>'Monthly Data'!CJ47</f>
        <v>0</v>
      </c>
      <c r="K47" s="6">
        <f t="shared" si="13"/>
        <v>475930.57328307</v>
      </c>
      <c r="L47" s="6">
        <f t="shared" si="14"/>
        <v>5818.6633684388717</v>
      </c>
      <c r="M47" s="6">
        <f t="shared" si="15"/>
        <v>10445590.485508041</v>
      </c>
      <c r="N47" s="6">
        <f t="shared" si="16"/>
        <v>-228603.87484015187</v>
      </c>
      <c r="O47" s="6">
        <f t="shared" si="17"/>
        <v>0</v>
      </c>
      <c r="P47" s="6">
        <f t="shared" si="10"/>
        <v>0</v>
      </c>
      <c r="Q47" s="6">
        <f t="shared" si="18"/>
        <v>10698735.847319398</v>
      </c>
      <c r="R47" s="6">
        <f t="shared" si="19"/>
        <v>-246160.68103497103</v>
      </c>
      <c r="S47" s="15">
        <f t="shared" si="20"/>
        <v>2.2490909840696571E-2</v>
      </c>
    </row>
    <row r="48" spans="1:19">
      <c r="A48" s="245">
        <v>42309</v>
      </c>
      <c r="B48">
        <f t="shared" si="11"/>
        <v>11</v>
      </c>
      <c r="C48">
        <f t="shared" si="12"/>
        <v>2015</v>
      </c>
      <c r="D48" s="6">
        <v>11057189.553554371</v>
      </c>
      <c r="E48">
        <v>1.3000000000000007</v>
      </c>
      <c r="F48">
        <v>30</v>
      </c>
      <c r="G48">
        <f>'Monthly Data'!BN48</f>
        <v>47</v>
      </c>
      <c r="H48">
        <v>0</v>
      </c>
      <c r="I48">
        <f>'Monthly Data'!CJ48</f>
        <v>0</v>
      </c>
      <c r="K48" s="6">
        <f t="shared" si="13"/>
        <v>475930.57328307</v>
      </c>
      <c r="L48" s="6">
        <f t="shared" si="14"/>
        <v>4449.5661052767882</v>
      </c>
      <c r="M48" s="6">
        <f t="shared" si="15"/>
        <v>10108635.953717459</v>
      </c>
      <c r="N48" s="6">
        <f t="shared" si="16"/>
        <v>-233573.52429319866</v>
      </c>
      <c r="O48" s="6">
        <f t="shared" si="17"/>
        <v>0</v>
      </c>
      <c r="P48" s="6">
        <f t="shared" si="10"/>
        <v>0</v>
      </c>
      <c r="Q48" s="6">
        <f t="shared" si="18"/>
        <v>10355442.568812607</v>
      </c>
      <c r="R48" s="6">
        <f t="shared" si="19"/>
        <v>-701746.98474176414</v>
      </c>
      <c r="S48" s="15">
        <f t="shared" si="20"/>
        <v>6.3465221550460374E-2</v>
      </c>
    </row>
    <row r="49" spans="1:19">
      <c r="A49" s="245">
        <v>42339</v>
      </c>
      <c r="B49">
        <f t="shared" si="11"/>
        <v>12</v>
      </c>
      <c r="C49">
        <f t="shared" si="12"/>
        <v>2015</v>
      </c>
      <c r="D49" s="6">
        <v>10387837.229354372</v>
      </c>
      <c r="E49">
        <v>0</v>
      </c>
      <c r="F49">
        <v>31</v>
      </c>
      <c r="G49">
        <f>'Monthly Data'!BN49</f>
        <v>48</v>
      </c>
      <c r="H49">
        <v>1</v>
      </c>
      <c r="I49">
        <f>'Monthly Data'!CJ49</f>
        <v>0</v>
      </c>
      <c r="K49" s="6">
        <f t="shared" si="13"/>
        <v>475930.57328307</v>
      </c>
      <c r="L49" s="6">
        <f t="shared" si="14"/>
        <v>0</v>
      </c>
      <c r="M49" s="6">
        <f t="shared" si="15"/>
        <v>10445590.485508041</v>
      </c>
      <c r="N49" s="6">
        <f t="shared" si="16"/>
        <v>-238543.17374624545</v>
      </c>
      <c r="O49" s="6">
        <f t="shared" si="17"/>
        <v>-634211.854533192</v>
      </c>
      <c r="P49" s="6">
        <f t="shared" si="10"/>
        <v>0</v>
      </c>
      <c r="Q49" s="6">
        <f t="shared" si="18"/>
        <v>10048766.030511675</v>
      </c>
      <c r="R49" s="6">
        <f t="shared" si="19"/>
        <v>-339071.19884269685</v>
      </c>
      <c r="S49" s="15">
        <f t="shared" si="20"/>
        <v>3.2641173649172676E-2</v>
      </c>
    </row>
    <row r="50" spans="1:19">
      <c r="A50" s="245">
        <v>42370</v>
      </c>
      <c r="B50">
        <f t="shared" si="11"/>
        <v>1</v>
      </c>
      <c r="C50">
        <f t="shared" si="12"/>
        <v>2016</v>
      </c>
      <c r="D50" s="6">
        <v>10925604.933639886</v>
      </c>
      <c r="E50">
        <v>0</v>
      </c>
      <c r="F50">
        <v>31</v>
      </c>
      <c r="G50">
        <f>'Monthly Data'!BN50</f>
        <v>49</v>
      </c>
      <c r="H50">
        <v>0</v>
      </c>
      <c r="I50">
        <f>'Monthly Data'!CJ50</f>
        <v>0</v>
      </c>
      <c r="K50" s="6">
        <f t="shared" si="13"/>
        <v>475930.57328307</v>
      </c>
      <c r="L50" s="6">
        <f t="shared" si="14"/>
        <v>0</v>
      </c>
      <c r="M50" s="6">
        <f t="shared" si="15"/>
        <v>10445590.485508041</v>
      </c>
      <c r="N50" s="6">
        <f t="shared" si="16"/>
        <v>-243512.82319929221</v>
      </c>
      <c r="O50" s="6">
        <f t="shared" si="17"/>
        <v>0</v>
      </c>
      <c r="P50" s="6">
        <f t="shared" si="10"/>
        <v>0</v>
      </c>
      <c r="Q50" s="6">
        <f t="shared" si="18"/>
        <v>10678008.23559182</v>
      </c>
      <c r="R50" s="6">
        <f t="shared" si="19"/>
        <v>-247596.69804806635</v>
      </c>
      <c r="S50" s="15">
        <f t="shared" si="20"/>
        <v>2.2662058490300823E-2</v>
      </c>
    </row>
    <row r="51" spans="1:19">
      <c r="A51" s="245">
        <v>42401</v>
      </c>
      <c r="B51">
        <f t="shared" si="11"/>
        <v>2</v>
      </c>
      <c r="C51">
        <f t="shared" si="12"/>
        <v>2016</v>
      </c>
      <c r="D51" s="6">
        <v>10206009.291839886</v>
      </c>
      <c r="E51">
        <v>0</v>
      </c>
      <c r="F51">
        <v>29</v>
      </c>
      <c r="G51">
        <f>'Monthly Data'!BN51</f>
        <v>50</v>
      </c>
      <c r="H51">
        <v>0</v>
      </c>
      <c r="I51">
        <f>'Monthly Data'!CJ51</f>
        <v>0</v>
      </c>
      <c r="K51" s="6">
        <f t="shared" si="13"/>
        <v>475930.57328307</v>
      </c>
      <c r="L51" s="6">
        <f t="shared" si="14"/>
        <v>0</v>
      </c>
      <c r="M51" s="6">
        <f t="shared" si="15"/>
        <v>9771681.4219268784</v>
      </c>
      <c r="N51" s="6">
        <f t="shared" si="16"/>
        <v>-248482.472652339</v>
      </c>
      <c r="O51" s="6">
        <f t="shared" si="17"/>
        <v>0</v>
      </c>
      <c r="P51" s="6">
        <f t="shared" si="10"/>
        <v>0</v>
      </c>
      <c r="Q51" s="6">
        <f t="shared" si="18"/>
        <v>9999129.5225576106</v>
      </c>
      <c r="R51" s="6">
        <f t="shared" si="19"/>
        <v>-206879.76928227581</v>
      </c>
      <c r="S51" s="15">
        <f t="shared" si="20"/>
        <v>2.027038809847885E-2</v>
      </c>
    </row>
    <row r="52" spans="1:19">
      <c r="A52" s="245">
        <v>42430</v>
      </c>
      <c r="B52">
        <f t="shared" si="11"/>
        <v>3</v>
      </c>
      <c r="C52">
        <f t="shared" si="12"/>
        <v>2016</v>
      </c>
      <c r="D52" s="6">
        <v>11010117.628039887</v>
      </c>
      <c r="E52">
        <v>0</v>
      </c>
      <c r="F52">
        <v>31</v>
      </c>
      <c r="G52">
        <f>'Monthly Data'!BN52</f>
        <v>51</v>
      </c>
      <c r="H52">
        <v>0</v>
      </c>
      <c r="I52">
        <f>'Monthly Data'!CJ52</f>
        <v>0</v>
      </c>
      <c r="K52" s="6">
        <f t="shared" si="13"/>
        <v>475930.57328307</v>
      </c>
      <c r="L52" s="6">
        <f t="shared" si="14"/>
        <v>0</v>
      </c>
      <c r="M52" s="6">
        <f t="shared" si="15"/>
        <v>10445590.485508041</v>
      </c>
      <c r="N52" s="6">
        <f t="shared" si="16"/>
        <v>-253452.12210538576</v>
      </c>
      <c r="O52" s="6">
        <f t="shared" si="17"/>
        <v>0</v>
      </c>
      <c r="P52" s="6">
        <f t="shared" si="10"/>
        <v>0</v>
      </c>
      <c r="Q52" s="6">
        <f t="shared" si="18"/>
        <v>10668068.936685726</v>
      </c>
      <c r="R52" s="6">
        <f t="shared" si="19"/>
        <v>-342048.69135416113</v>
      </c>
      <c r="S52" s="15">
        <f t="shared" si="20"/>
        <v>3.1066760856673561E-2</v>
      </c>
    </row>
    <row r="53" spans="1:19">
      <c r="A53" s="245">
        <v>42461</v>
      </c>
      <c r="B53">
        <f t="shared" si="11"/>
        <v>4</v>
      </c>
      <c r="C53">
        <f t="shared" si="12"/>
        <v>2016</v>
      </c>
      <c r="D53" s="6">
        <v>10380854.450439885</v>
      </c>
      <c r="E53">
        <v>0</v>
      </c>
      <c r="F53">
        <v>30</v>
      </c>
      <c r="G53">
        <f>'Monthly Data'!BN53</f>
        <v>52</v>
      </c>
      <c r="H53">
        <v>0</v>
      </c>
      <c r="I53">
        <f>'Monthly Data'!CJ53</f>
        <v>0</v>
      </c>
      <c r="K53" s="6">
        <f t="shared" si="13"/>
        <v>475930.57328307</v>
      </c>
      <c r="L53" s="6">
        <f t="shared" si="14"/>
        <v>0</v>
      </c>
      <c r="M53" s="6">
        <f t="shared" si="15"/>
        <v>10108635.953717459</v>
      </c>
      <c r="N53" s="6">
        <f t="shared" si="16"/>
        <v>-258421.77155843255</v>
      </c>
      <c r="O53" s="6">
        <f t="shared" si="17"/>
        <v>0</v>
      </c>
      <c r="P53" s="6">
        <f t="shared" si="10"/>
        <v>0</v>
      </c>
      <c r="Q53" s="6">
        <f t="shared" si="18"/>
        <v>10326144.755442098</v>
      </c>
      <c r="R53" s="6">
        <f t="shared" si="19"/>
        <v>-54709.694997787476</v>
      </c>
      <c r="S53" s="15">
        <f t="shared" si="20"/>
        <v>5.270249694664505E-3</v>
      </c>
    </row>
    <row r="54" spans="1:19">
      <c r="A54" s="245">
        <v>42491</v>
      </c>
      <c r="B54">
        <f t="shared" si="11"/>
        <v>5</v>
      </c>
      <c r="C54">
        <f t="shared" si="12"/>
        <v>2016</v>
      </c>
      <c r="D54" s="6">
        <v>11120378.436439889</v>
      </c>
      <c r="E54">
        <v>47.8</v>
      </c>
      <c r="F54">
        <v>31</v>
      </c>
      <c r="G54">
        <f>'Monthly Data'!BN54</f>
        <v>53</v>
      </c>
      <c r="H54">
        <v>0</v>
      </c>
      <c r="I54">
        <f>'Monthly Data'!CJ54</f>
        <v>0</v>
      </c>
      <c r="K54" s="6">
        <f t="shared" si="13"/>
        <v>475930.57328307</v>
      </c>
      <c r="L54" s="6">
        <f t="shared" si="14"/>
        <v>163607.1229478695</v>
      </c>
      <c r="M54" s="6">
        <f t="shared" si="15"/>
        <v>10445590.485508041</v>
      </c>
      <c r="N54" s="6">
        <f t="shared" si="16"/>
        <v>-263391.42101147934</v>
      </c>
      <c r="O54" s="6">
        <f t="shared" si="17"/>
        <v>0</v>
      </c>
      <c r="P54" s="6">
        <f t="shared" si="10"/>
        <v>0</v>
      </c>
      <c r="Q54" s="6">
        <f t="shared" si="18"/>
        <v>10821736.760727501</v>
      </c>
      <c r="R54" s="6">
        <f t="shared" si="19"/>
        <v>-298641.67571238801</v>
      </c>
      <c r="S54" s="15">
        <f t="shared" si="20"/>
        <v>2.6855351858690528E-2</v>
      </c>
    </row>
    <row r="55" spans="1:19">
      <c r="A55" s="245">
        <v>42522</v>
      </c>
      <c r="B55">
        <f t="shared" si="11"/>
        <v>6</v>
      </c>
      <c r="C55">
        <f t="shared" si="12"/>
        <v>2016</v>
      </c>
      <c r="D55" s="6">
        <v>9789072.623239886</v>
      </c>
      <c r="E55">
        <v>87</v>
      </c>
      <c r="F55">
        <v>30</v>
      </c>
      <c r="G55">
        <f>'Monthly Data'!BN55</f>
        <v>54</v>
      </c>
      <c r="H55">
        <v>0</v>
      </c>
      <c r="I55">
        <f>'Monthly Data'!CJ55</f>
        <v>0</v>
      </c>
      <c r="K55" s="6">
        <f t="shared" si="13"/>
        <v>475930.57328307</v>
      </c>
      <c r="L55" s="6">
        <f t="shared" si="14"/>
        <v>297778.65473775414</v>
      </c>
      <c r="M55" s="6">
        <f t="shared" si="15"/>
        <v>10108635.953717459</v>
      </c>
      <c r="N55" s="6">
        <f t="shared" si="16"/>
        <v>-268361.07046452613</v>
      </c>
      <c r="O55" s="6">
        <f t="shared" si="17"/>
        <v>0</v>
      </c>
      <c r="P55" s="6">
        <f t="shared" si="10"/>
        <v>0</v>
      </c>
      <c r="Q55" s="6">
        <f t="shared" si="18"/>
        <v>10613984.111273758</v>
      </c>
      <c r="R55" s="6">
        <f t="shared" si="19"/>
        <v>824911.4880338721</v>
      </c>
      <c r="S55" s="15">
        <f t="shared" si="20"/>
        <v>8.4268604369680464E-2</v>
      </c>
    </row>
    <row r="56" spans="1:19">
      <c r="A56" s="245">
        <v>42552</v>
      </c>
      <c r="B56">
        <f t="shared" si="11"/>
        <v>7</v>
      </c>
      <c r="C56">
        <f t="shared" si="12"/>
        <v>2016</v>
      </c>
      <c r="D56" s="6">
        <v>10794223.516439887</v>
      </c>
      <c r="E56">
        <v>196.80000000000004</v>
      </c>
      <c r="F56">
        <v>31</v>
      </c>
      <c r="G56">
        <f>'Monthly Data'!BN56</f>
        <v>55</v>
      </c>
      <c r="H56">
        <v>0</v>
      </c>
      <c r="I56">
        <f>'Monthly Data'!CJ56</f>
        <v>0</v>
      </c>
      <c r="K56" s="6">
        <f t="shared" si="13"/>
        <v>475930.57328307</v>
      </c>
      <c r="L56" s="6">
        <f t="shared" si="14"/>
        <v>673595.8534757474</v>
      </c>
      <c r="M56" s="6">
        <f t="shared" si="15"/>
        <v>10445590.485508041</v>
      </c>
      <c r="N56" s="6">
        <f t="shared" si="16"/>
        <v>-273330.71991757292</v>
      </c>
      <c r="O56" s="6">
        <f t="shared" si="17"/>
        <v>0</v>
      </c>
      <c r="P56" s="6">
        <f t="shared" si="10"/>
        <v>0</v>
      </c>
      <c r="Q56" s="6">
        <f t="shared" si="18"/>
        <v>11321786.192349285</v>
      </c>
      <c r="R56" s="6">
        <f t="shared" si="19"/>
        <v>527562.67590939812</v>
      </c>
      <c r="S56" s="15">
        <f t="shared" si="20"/>
        <v>4.8874536932268106E-2</v>
      </c>
    </row>
    <row r="57" spans="1:19">
      <c r="A57" s="245">
        <v>42583</v>
      </c>
      <c r="B57">
        <f t="shared" si="11"/>
        <v>8</v>
      </c>
      <c r="C57">
        <f t="shared" si="12"/>
        <v>2016</v>
      </c>
      <c r="D57" s="6">
        <v>10971135.573839888</v>
      </c>
      <c r="E57">
        <v>222.59999999999997</v>
      </c>
      <c r="F57">
        <v>31</v>
      </c>
      <c r="G57">
        <f>'Monthly Data'!BN57</f>
        <v>56</v>
      </c>
      <c r="H57">
        <v>0</v>
      </c>
      <c r="I57">
        <f>'Monthly Data'!CJ57</f>
        <v>0</v>
      </c>
      <c r="K57" s="6">
        <f t="shared" si="13"/>
        <v>475930.57328307</v>
      </c>
      <c r="L57" s="6">
        <f t="shared" si="14"/>
        <v>761902.62694970181</v>
      </c>
      <c r="M57" s="6">
        <f t="shared" si="15"/>
        <v>10445590.485508041</v>
      </c>
      <c r="N57" s="6">
        <f t="shared" si="16"/>
        <v>-278300.36937061965</v>
      </c>
      <c r="O57" s="6">
        <f t="shared" si="17"/>
        <v>0</v>
      </c>
      <c r="P57" s="6">
        <f t="shared" si="10"/>
        <v>0</v>
      </c>
      <c r="Q57" s="6">
        <f t="shared" si="18"/>
        <v>11405123.316370195</v>
      </c>
      <c r="R57" s="6">
        <f t="shared" si="19"/>
        <v>433987.7425303068</v>
      </c>
      <c r="S57" s="15">
        <f t="shared" si="20"/>
        <v>3.9557230845376518E-2</v>
      </c>
    </row>
    <row r="58" spans="1:19">
      <c r="A58" s="245">
        <v>42614</v>
      </c>
      <c r="B58">
        <f t="shared" si="11"/>
        <v>9</v>
      </c>
      <c r="C58">
        <f t="shared" si="12"/>
        <v>2016</v>
      </c>
      <c r="D58" s="6">
        <v>10283260.785639888</v>
      </c>
      <c r="E58">
        <v>88.399999999999977</v>
      </c>
      <c r="F58">
        <v>30</v>
      </c>
      <c r="G58">
        <f>'Monthly Data'!BN58</f>
        <v>57</v>
      </c>
      <c r="H58">
        <v>0</v>
      </c>
      <c r="I58">
        <f>'Monthly Data'!CJ58</f>
        <v>0</v>
      </c>
      <c r="K58" s="6">
        <f t="shared" si="13"/>
        <v>475930.57328307</v>
      </c>
      <c r="L58" s="6">
        <f t="shared" si="14"/>
        <v>302570.49515882134</v>
      </c>
      <c r="M58" s="6">
        <f t="shared" si="15"/>
        <v>10108635.953717459</v>
      </c>
      <c r="N58" s="6">
        <f t="shared" si="16"/>
        <v>-283270.01882366644</v>
      </c>
      <c r="O58" s="6">
        <f t="shared" si="17"/>
        <v>0</v>
      </c>
      <c r="P58" s="6">
        <f t="shared" si="10"/>
        <v>0</v>
      </c>
      <c r="Q58" s="6">
        <f t="shared" si="18"/>
        <v>10603867.003335685</v>
      </c>
      <c r="R58" s="6">
        <f t="shared" si="19"/>
        <v>320606.21769579686</v>
      </c>
      <c r="S58" s="15">
        <f t="shared" si="20"/>
        <v>3.117748585580063E-2</v>
      </c>
    </row>
    <row r="59" spans="1:19">
      <c r="A59" s="245">
        <v>42644</v>
      </c>
      <c r="B59">
        <f t="shared" si="11"/>
        <v>10</v>
      </c>
      <c r="C59">
        <f t="shared" si="12"/>
        <v>2016</v>
      </c>
      <c r="D59" s="6">
        <v>10351077.086439889</v>
      </c>
      <c r="E59">
        <v>23.499999999999996</v>
      </c>
      <c r="F59">
        <v>31</v>
      </c>
      <c r="G59">
        <f>'Monthly Data'!BN59</f>
        <v>58</v>
      </c>
      <c r="H59">
        <v>0</v>
      </c>
      <c r="I59">
        <f>'Monthly Data'!CJ59</f>
        <v>0</v>
      </c>
      <c r="K59" s="6">
        <f t="shared" si="13"/>
        <v>475930.57328307</v>
      </c>
      <c r="L59" s="6">
        <f t="shared" si="14"/>
        <v>80434.464210772654</v>
      </c>
      <c r="M59" s="6">
        <f t="shared" si="15"/>
        <v>10445590.485508041</v>
      </c>
      <c r="N59" s="6">
        <f t="shared" si="16"/>
        <v>-288239.66827671323</v>
      </c>
      <c r="O59" s="6">
        <f t="shared" si="17"/>
        <v>0</v>
      </c>
      <c r="P59" s="6">
        <f t="shared" si="10"/>
        <v>0</v>
      </c>
      <c r="Q59" s="6">
        <f t="shared" si="18"/>
        <v>10713715.854725171</v>
      </c>
      <c r="R59" s="6">
        <f t="shared" si="19"/>
        <v>362638.76828528196</v>
      </c>
      <c r="S59" s="15">
        <f t="shared" si="20"/>
        <v>3.5033916302328168E-2</v>
      </c>
    </row>
    <row r="60" spans="1:19">
      <c r="A60" s="245">
        <v>42675</v>
      </c>
      <c r="B60">
        <f t="shared" si="11"/>
        <v>11</v>
      </c>
      <c r="C60">
        <f t="shared" si="12"/>
        <v>2016</v>
      </c>
      <c r="D60" s="6">
        <v>10006864.287439888</v>
      </c>
      <c r="E60">
        <v>0</v>
      </c>
      <c r="F60">
        <v>30</v>
      </c>
      <c r="G60">
        <f>'Monthly Data'!BN60</f>
        <v>59</v>
      </c>
      <c r="H60">
        <v>0</v>
      </c>
      <c r="I60">
        <f>'Monthly Data'!CJ60</f>
        <v>0</v>
      </c>
      <c r="K60" s="6">
        <f t="shared" si="13"/>
        <v>475930.57328307</v>
      </c>
      <c r="L60" s="6">
        <f t="shared" si="14"/>
        <v>0</v>
      </c>
      <c r="M60" s="6">
        <f t="shared" si="15"/>
        <v>10108635.953717459</v>
      </c>
      <c r="N60" s="6">
        <f t="shared" si="16"/>
        <v>-293209.31772976002</v>
      </c>
      <c r="O60" s="6">
        <f t="shared" si="17"/>
        <v>0</v>
      </c>
      <c r="P60" s="6">
        <f t="shared" si="10"/>
        <v>0</v>
      </c>
      <c r="Q60" s="6">
        <f t="shared" si="18"/>
        <v>10291357.20927077</v>
      </c>
      <c r="R60" s="6">
        <f t="shared" si="19"/>
        <v>284492.92183088139</v>
      </c>
      <c r="S60" s="15">
        <f t="shared" si="20"/>
        <v>2.8429777166855612E-2</v>
      </c>
    </row>
    <row r="61" spans="1:19">
      <c r="A61" s="245">
        <v>42705</v>
      </c>
      <c r="B61">
        <f t="shared" si="11"/>
        <v>12</v>
      </c>
      <c r="C61">
        <f t="shared" si="12"/>
        <v>2016</v>
      </c>
      <c r="D61" s="6">
        <v>9624158.1334398892</v>
      </c>
      <c r="E61">
        <v>0</v>
      </c>
      <c r="F61">
        <v>31</v>
      </c>
      <c r="G61">
        <f>'Monthly Data'!BN61</f>
        <v>60</v>
      </c>
      <c r="H61">
        <v>1</v>
      </c>
      <c r="I61">
        <f>'Monthly Data'!CJ61</f>
        <v>0</v>
      </c>
      <c r="K61" s="6">
        <f t="shared" si="13"/>
        <v>475930.57328307</v>
      </c>
      <c r="L61" s="6">
        <f t="shared" si="14"/>
        <v>0</v>
      </c>
      <c r="M61" s="6">
        <f t="shared" si="15"/>
        <v>10445590.485508041</v>
      </c>
      <c r="N61" s="6">
        <f t="shared" si="16"/>
        <v>-298178.96718280681</v>
      </c>
      <c r="O61" s="6">
        <f t="shared" si="17"/>
        <v>-634211.854533192</v>
      </c>
      <c r="P61" s="6">
        <f t="shared" si="10"/>
        <v>0</v>
      </c>
      <c r="Q61" s="6">
        <f t="shared" si="18"/>
        <v>9989130.2370751128</v>
      </c>
      <c r="R61" s="6">
        <f t="shared" si="19"/>
        <v>364972.10363522358</v>
      </c>
      <c r="S61" s="15">
        <f t="shared" si="20"/>
        <v>3.7922496552410076E-2</v>
      </c>
    </row>
    <row r="62" spans="1:19">
      <c r="A62" s="245">
        <v>42736</v>
      </c>
      <c r="B62">
        <f t="shared" si="11"/>
        <v>1</v>
      </c>
      <c r="C62">
        <f t="shared" si="12"/>
        <v>2017</v>
      </c>
      <c r="D62" s="6">
        <v>9576889.2679497357</v>
      </c>
      <c r="E62">
        <v>0</v>
      </c>
      <c r="F62">
        <v>31</v>
      </c>
      <c r="G62">
        <f>'Monthly Data'!BN62</f>
        <v>61</v>
      </c>
      <c r="H62">
        <v>0</v>
      </c>
      <c r="I62">
        <f>'Monthly Data'!CJ62</f>
        <v>0</v>
      </c>
      <c r="K62" s="6">
        <f t="shared" si="13"/>
        <v>475930.57328307</v>
      </c>
      <c r="L62" s="6">
        <f t="shared" si="14"/>
        <v>0</v>
      </c>
      <c r="M62" s="6">
        <f t="shared" si="15"/>
        <v>10445590.485508041</v>
      </c>
      <c r="N62" s="6">
        <f t="shared" si="16"/>
        <v>-303148.6166358536</v>
      </c>
      <c r="O62" s="6">
        <f t="shared" si="17"/>
        <v>0</v>
      </c>
      <c r="P62" s="6">
        <f t="shared" si="10"/>
        <v>0</v>
      </c>
      <c r="Q62" s="6">
        <f t="shared" si="18"/>
        <v>10618372.442155259</v>
      </c>
      <c r="R62" s="6">
        <f t="shared" si="19"/>
        <v>1041483.174205523</v>
      </c>
      <c r="S62" s="15">
        <f t="shared" si="20"/>
        <v>0.10874963101964408</v>
      </c>
    </row>
    <row r="63" spans="1:19">
      <c r="A63" s="245">
        <v>42767</v>
      </c>
      <c r="B63">
        <f t="shared" si="11"/>
        <v>2</v>
      </c>
      <c r="C63">
        <f t="shared" si="12"/>
        <v>2017</v>
      </c>
      <c r="D63" s="6">
        <v>9093285.1491497345</v>
      </c>
      <c r="E63">
        <v>0</v>
      </c>
      <c r="F63">
        <v>28</v>
      </c>
      <c r="G63">
        <f>'Monthly Data'!BN63</f>
        <v>62</v>
      </c>
      <c r="H63">
        <v>0</v>
      </c>
      <c r="I63">
        <f>'Monthly Data'!CJ63</f>
        <v>0</v>
      </c>
      <c r="K63" s="6">
        <f t="shared" si="13"/>
        <v>475930.57328307</v>
      </c>
      <c r="L63" s="6">
        <f t="shared" si="14"/>
        <v>0</v>
      </c>
      <c r="M63" s="6">
        <f t="shared" si="15"/>
        <v>9434726.8901362959</v>
      </c>
      <c r="N63" s="6">
        <f t="shared" si="16"/>
        <v>-308118.26608890033</v>
      </c>
      <c r="O63" s="6">
        <f t="shared" si="17"/>
        <v>0</v>
      </c>
      <c r="P63" s="6">
        <f t="shared" si="10"/>
        <v>0</v>
      </c>
      <c r="Q63" s="6">
        <f t="shared" si="18"/>
        <v>9602539.1973304655</v>
      </c>
      <c r="R63" s="6">
        <f t="shared" si="19"/>
        <v>509254.04818073101</v>
      </c>
      <c r="S63" s="15">
        <f t="shared" si="20"/>
        <v>5.6003307916539791E-2</v>
      </c>
    </row>
    <row r="64" spans="1:19">
      <c r="A64" s="245">
        <v>42795</v>
      </c>
      <c r="B64">
        <f t="shared" si="11"/>
        <v>3</v>
      </c>
      <c r="C64">
        <f t="shared" si="12"/>
        <v>2017</v>
      </c>
      <c r="D64" s="6">
        <v>10651381.564949734</v>
      </c>
      <c r="E64">
        <v>0</v>
      </c>
      <c r="F64">
        <v>31</v>
      </c>
      <c r="G64">
        <f>'Monthly Data'!BN64</f>
        <v>63</v>
      </c>
      <c r="H64">
        <v>0</v>
      </c>
      <c r="I64">
        <f>'Monthly Data'!CJ64</f>
        <v>0</v>
      </c>
      <c r="K64" s="6">
        <f t="shared" si="13"/>
        <v>475930.57328307</v>
      </c>
      <c r="L64" s="6">
        <f t="shared" si="14"/>
        <v>0</v>
      </c>
      <c r="M64" s="6">
        <f t="shared" si="15"/>
        <v>10445590.485508041</v>
      </c>
      <c r="N64" s="6">
        <f t="shared" si="16"/>
        <v>-313087.91554194712</v>
      </c>
      <c r="O64" s="6">
        <f t="shared" si="17"/>
        <v>0</v>
      </c>
      <c r="P64" s="6">
        <f t="shared" si="10"/>
        <v>0</v>
      </c>
      <c r="Q64" s="6">
        <f t="shared" si="18"/>
        <v>10608433.143249165</v>
      </c>
      <c r="R64" s="6">
        <f t="shared" si="19"/>
        <v>-42948.42170056887</v>
      </c>
      <c r="S64" s="15">
        <f t="shared" si="20"/>
        <v>4.0321925788386259E-3</v>
      </c>
    </row>
    <row r="65" spans="1:19">
      <c r="A65" s="245">
        <v>42826</v>
      </c>
      <c r="B65">
        <f t="shared" si="11"/>
        <v>4</v>
      </c>
      <c r="C65">
        <f t="shared" si="12"/>
        <v>2017</v>
      </c>
      <c r="D65" s="6">
        <v>9863123.3871497326</v>
      </c>
      <c r="E65">
        <v>4.6000000000000014</v>
      </c>
      <c r="F65">
        <v>30</v>
      </c>
      <c r="G65">
        <f>'Monthly Data'!BN65</f>
        <v>64</v>
      </c>
      <c r="H65">
        <v>0</v>
      </c>
      <c r="I65">
        <f>'Monthly Data'!CJ65</f>
        <v>0</v>
      </c>
      <c r="K65" s="6">
        <f t="shared" si="13"/>
        <v>475930.57328307</v>
      </c>
      <c r="L65" s="6">
        <f t="shared" si="14"/>
        <v>15744.618526364016</v>
      </c>
      <c r="M65" s="6">
        <f t="shared" si="15"/>
        <v>10108635.953717459</v>
      </c>
      <c r="N65" s="6">
        <f t="shared" si="16"/>
        <v>-318057.56499499391</v>
      </c>
      <c r="O65" s="6">
        <f t="shared" si="17"/>
        <v>0</v>
      </c>
      <c r="P65" s="6">
        <f t="shared" si="10"/>
        <v>0</v>
      </c>
      <c r="Q65" s="6">
        <f t="shared" si="18"/>
        <v>10282253.580531899</v>
      </c>
      <c r="R65" s="6">
        <f t="shared" si="19"/>
        <v>419130.19338216633</v>
      </c>
      <c r="S65" s="15">
        <f t="shared" si="20"/>
        <v>4.2494672015178703E-2</v>
      </c>
    </row>
    <row r="66" spans="1:19">
      <c r="A66" s="245">
        <v>42856</v>
      </c>
      <c r="B66">
        <f t="shared" si="11"/>
        <v>5</v>
      </c>
      <c r="C66">
        <f t="shared" si="12"/>
        <v>2017</v>
      </c>
      <c r="D66" s="6">
        <v>10223320.956949735</v>
      </c>
      <c r="E66">
        <v>25.3</v>
      </c>
      <c r="F66">
        <v>31</v>
      </c>
      <c r="G66">
        <f>'Monthly Data'!BN66</f>
        <v>65</v>
      </c>
      <c r="H66">
        <v>0</v>
      </c>
      <c r="I66">
        <f>'Monthly Data'!CJ66</f>
        <v>0</v>
      </c>
      <c r="K66" s="6">
        <f t="shared" ref="K66:K97" si="21">$W$7</f>
        <v>475930.57328307</v>
      </c>
      <c r="L66" s="6">
        <f t="shared" ref="L66:L97" si="22">E66*$W$8</f>
        <v>86595.401895002069</v>
      </c>
      <c r="M66" s="6">
        <f t="shared" ref="M66:M97" si="23">F66*$W$9</f>
        <v>10445590.485508041</v>
      </c>
      <c r="N66" s="6">
        <f t="shared" ref="N66:N97" si="24">G66*$W$10</f>
        <v>-323027.2144480407</v>
      </c>
      <c r="O66" s="6">
        <f t="shared" ref="O66:O97" si="25">H66*$W$11</f>
        <v>0</v>
      </c>
      <c r="P66" s="6">
        <f t="shared" si="10"/>
        <v>0</v>
      </c>
      <c r="Q66" s="6">
        <f t="shared" ref="Q66:Q97" si="26">SUM(K66:P66)</f>
        <v>10685089.246238073</v>
      </c>
      <c r="R66" s="6">
        <f t="shared" ref="R66:R97" si="27">Q66-D66</f>
        <v>461768.28928833827</v>
      </c>
      <c r="S66" s="15">
        <f t="shared" ref="S66:S97" si="28">ABS(Q66-D66)/D66</f>
        <v>4.5168129928898668E-2</v>
      </c>
    </row>
    <row r="67" spans="1:19">
      <c r="A67" s="245">
        <v>42887</v>
      </c>
      <c r="B67">
        <f t="shared" si="11"/>
        <v>6</v>
      </c>
      <c r="C67">
        <f t="shared" si="12"/>
        <v>2017</v>
      </c>
      <c r="D67" s="6">
        <v>10517029.102949735</v>
      </c>
      <c r="E67">
        <v>122.8</v>
      </c>
      <c r="F67">
        <v>30</v>
      </c>
      <c r="G67">
        <f>'Monthly Data'!BN67</f>
        <v>66</v>
      </c>
      <c r="H67">
        <v>0</v>
      </c>
      <c r="I67">
        <f>'Monthly Data'!CJ67</f>
        <v>0</v>
      </c>
      <c r="K67" s="6">
        <f t="shared" si="21"/>
        <v>475930.57328307</v>
      </c>
      <c r="L67" s="6">
        <f t="shared" si="22"/>
        <v>420312.85979076102</v>
      </c>
      <c r="M67" s="6">
        <f t="shared" si="23"/>
        <v>10108635.953717459</v>
      </c>
      <c r="N67" s="6">
        <f t="shared" si="24"/>
        <v>-327996.86390108749</v>
      </c>
      <c r="O67" s="6">
        <f t="shared" si="25"/>
        <v>0</v>
      </c>
      <c r="P67" s="6">
        <f t="shared" ref="P67:P130" si="29">I67*$W$12</f>
        <v>0</v>
      </c>
      <c r="Q67" s="6">
        <f t="shared" si="26"/>
        <v>10676882.522890203</v>
      </c>
      <c r="R67" s="6">
        <f t="shared" si="27"/>
        <v>159853.41994046792</v>
      </c>
      <c r="S67" s="15">
        <f t="shared" si="28"/>
        <v>1.5199484414817629E-2</v>
      </c>
    </row>
    <row r="68" spans="1:19">
      <c r="A68" s="245">
        <v>42917</v>
      </c>
      <c r="B68">
        <f t="shared" si="11"/>
        <v>7</v>
      </c>
      <c r="C68">
        <f t="shared" si="12"/>
        <v>2017</v>
      </c>
      <c r="D68" s="6">
        <v>10946123.069549736</v>
      </c>
      <c r="E68">
        <v>170.5</v>
      </c>
      <c r="F68">
        <v>31</v>
      </c>
      <c r="G68">
        <f>'Monthly Data'!BN68</f>
        <v>67</v>
      </c>
      <c r="H68">
        <v>0</v>
      </c>
      <c r="I68">
        <f>'Monthly Data'!CJ68</f>
        <v>0</v>
      </c>
      <c r="K68" s="6">
        <f t="shared" si="21"/>
        <v>475930.57328307</v>
      </c>
      <c r="L68" s="6">
        <f t="shared" si="22"/>
        <v>583577.70842283999</v>
      </c>
      <c r="M68" s="6">
        <f t="shared" si="23"/>
        <v>10445590.485508041</v>
      </c>
      <c r="N68" s="6">
        <f t="shared" si="24"/>
        <v>-332966.51335413422</v>
      </c>
      <c r="O68" s="6">
        <f t="shared" si="25"/>
        <v>0</v>
      </c>
      <c r="P68" s="6">
        <f t="shared" si="29"/>
        <v>0</v>
      </c>
      <c r="Q68" s="6">
        <f t="shared" si="26"/>
        <v>11172132.253859818</v>
      </c>
      <c r="R68" s="6">
        <f t="shared" si="27"/>
        <v>226009.18431008235</v>
      </c>
      <c r="S68" s="15">
        <f t="shared" si="28"/>
        <v>2.0647418531114611E-2</v>
      </c>
    </row>
    <row r="69" spans="1:19">
      <c r="A69" s="245">
        <v>42948</v>
      </c>
      <c r="B69">
        <f t="shared" si="11"/>
        <v>8</v>
      </c>
      <c r="C69">
        <f t="shared" si="12"/>
        <v>2017</v>
      </c>
      <c r="D69" s="6">
        <v>11541945.420549735</v>
      </c>
      <c r="E69">
        <v>118.19999999999999</v>
      </c>
      <c r="F69">
        <v>31</v>
      </c>
      <c r="G69">
        <f>'Monthly Data'!BN69</f>
        <v>68</v>
      </c>
      <c r="H69">
        <v>0</v>
      </c>
      <c r="I69">
        <f>'Monthly Data'!CJ69</f>
        <v>0</v>
      </c>
      <c r="K69" s="6">
        <f t="shared" si="21"/>
        <v>475930.57328307</v>
      </c>
      <c r="L69" s="6">
        <f t="shared" si="22"/>
        <v>404568.24126439699</v>
      </c>
      <c r="M69" s="6">
        <f t="shared" si="23"/>
        <v>10445590.485508041</v>
      </c>
      <c r="N69" s="6">
        <f t="shared" si="24"/>
        <v>-337936.16280718101</v>
      </c>
      <c r="O69" s="6">
        <f t="shared" si="25"/>
        <v>0</v>
      </c>
      <c r="P69" s="6">
        <f t="shared" si="29"/>
        <v>0</v>
      </c>
      <c r="Q69" s="6">
        <f t="shared" si="26"/>
        <v>10988153.137248326</v>
      </c>
      <c r="R69" s="6">
        <f t="shared" si="27"/>
        <v>-553792.28330140933</v>
      </c>
      <c r="S69" s="15">
        <f t="shared" si="28"/>
        <v>4.7980844053846908E-2</v>
      </c>
    </row>
    <row r="70" spans="1:19">
      <c r="A70" s="245">
        <v>42979</v>
      </c>
      <c r="B70">
        <f t="shared" si="11"/>
        <v>9</v>
      </c>
      <c r="C70">
        <f t="shared" si="12"/>
        <v>2017</v>
      </c>
      <c r="D70" s="6">
        <v>10187425.175149735</v>
      </c>
      <c r="E70">
        <v>90</v>
      </c>
      <c r="F70">
        <v>30</v>
      </c>
      <c r="G70">
        <f>'Monthly Data'!BN70</f>
        <v>69</v>
      </c>
      <c r="H70">
        <v>0</v>
      </c>
      <c r="I70">
        <f>'Monthly Data'!CJ70</f>
        <v>0</v>
      </c>
      <c r="K70" s="6">
        <f t="shared" si="21"/>
        <v>475930.57328307</v>
      </c>
      <c r="L70" s="6">
        <f t="shared" si="22"/>
        <v>308046.88421146979</v>
      </c>
      <c r="M70" s="6">
        <f t="shared" si="23"/>
        <v>10108635.953717459</v>
      </c>
      <c r="N70" s="6">
        <f t="shared" si="24"/>
        <v>-342905.8122602278</v>
      </c>
      <c r="O70" s="6">
        <f t="shared" si="25"/>
        <v>0</v>
      </c>
      <c r="P70" s="6">
        <f t="shared" si="29"/>
        <v>0</v>
      </c>
      <c r="Q70" s="6">
        <f t="shared" si="26"/>
        <v>10549707.598951772</v>
      </c>
      <c r="R70" s="6">
        <f t="shared" si="27"/>
        <v>362282.42380203679</v>
      </c>
      <c r="S70" s="15">
        <f t="shared" si="28"/>
        <v>3.5561726105802979E-2</v>
      </c>
    </row>
    <row r="71" spans="1:19">
      <c r="A71" s="245">
        <v>43009</v>
      </c>
      <c r="B71">
        <f t="shared" si="11"/>
        <v>10</v>
      </c>
      <c r="C71">
        <f t="shared" si="12"/>
        <v>2017</v>
      </c>
      <c r="D71" s="6">
        <v>10920544.377549736</v>
      </c>
      <c r="E71">
        <v>24.999999999999996</v>
      </c>
      <c r="F71">
        <v>31</v>
      </c>
      <c r="G71">
        <f>'Monthly Data'!BN71</f>
        <v>70</v>
      </c>
      <c r="H71">
        <v>0</v>
      </c>
      <c r="I71">
        <f>'Monthly Data'!CJ71</f>
        <v>0</v>
      </c>
      <c r="K71" s="6">
        <f t="shared" si="21"/>
        <v>475930.57328307</v>
      </c>
      <c r="L71" s="6">
        <f t="shared" si="22"/>
        <v>85568.578947630493</v>
      </c>
      <c r="M71" s="6">
        <f t="shared" si="23"/>
        <v>10445590.485508041</v>
      </c>
      <c r="N71" s="6">
        <f t="shared" si="24"/>
        <v>-347875.46171327459</v>
      </c>
      <c r="O71" s="6">
        <f t="shared" si="25"/>
        <v>0</v>
      </c>
      <c r="P71" s="6">
        <f t="shared" si="29"/>
        <v>0</v>
      </c>
      <c r="Q71" s="6">
        <f t="shared" si="26"/>
        <v>10659214.176025467</v>
      </c>
      <c r="R71" s="6">
        <f t="shared" si="27"/>
        <v>-261330.20152426884</v>
      </c>
      <c r="S71" s="15">
        <f t="shared" si="28"/>
        <v>2.3930144184158703E-2</v>
      </c>
    </row>
    <row r="72" spans="1:19">
      <c r="A72" s="245">
        <v>43040</v>
      </c>
      <c r="B72">
        <f t="shared" si="11"/>
        <v>11</v>
      </c>
      <c r="C72">
        <f t="shared" si="12"/>
        <v>2017</v>
      </c>
      <c r="D72" s="6">
        <v>10829391.102149736</v>
      </c>
      <c r="E72">
        <v>0</v>
      </c>
      <c r="F72">
        <v>30</v>
      </c>
      <c r="G72">
        <f>'Monthly Data'!BN72</f>
        <v>71</v>
      </c>
      <c r="H72">
        <v>0</v>
      </c>
      <c r="I72">
        <f>'Monthly Data'!CJ72</f>
        <v>0</v>
      </c>
      <c r="K72" s="6">
        <f t="shared" si="21"/>
        <v>475930.57328307</v>
      </c>
      <c r="L72" s="6">
        <f t="shared" si="22"/>
        <v>0</v>
      </c>
      <c r="M72" s="6">
        <f t="shared" si="23"/>
        <v>10108635.953717459</v>
      </c>
      <c r="N72" s="6">
        <f t="shared" si="24"/>
        <v>-352845.11116632138</v>
      </c>
      <c r="O72" s="6">
        <f t="shared" si="25"/>
        <v>0</v>
      </c>
      <c r="P72" s="6">
        <f t="shared" si="29"/>
        <v>0</v>
      </c>
      <c r="Q72" s="6">
        <f t="shared" si="26"/>
        <v>10231721.415834209</v>
      </c>
      <c r="R72" s="6">
        <f t="shared" si="27"/>
        <v>-597669.68631552719</v>
      </c>
      <c r="S72" s="15">
        <f t="shared" si="28"/>
        <v>5.5189592903047348E-2</v>
      </c>
    </row>
    <row r="73" spans="1:19">
      <c r="A73" s="245">
        <v>43070</v>
      </c>
      <c r="B73">
        <f t="shared" si="11"/>
        <v>12</v>
      </c>
      <c r="C73">
        <f t="shared" si="12"/>
        <v>2017</v>
      </c>
      <c r="D73" s="6">
        <v>10229831.752549736</v>
      </c>
      <c r="E73">
        <v>0</v>
      </c>
      <c r="F73">
        <v>31</v>
      </c>
      <c r="G73">
        <f>'Monthly Data'!BN73</f>
        <v>72</v>
      </c>
      <c r="H73">
        <v>1</v>
      </c>
      <c r="I73">
        <f>'Monthly Data'!CJ73</f>
        <v>0</v>
      </c>
      <c r="K73" s="6">
        <f t="shared" si="21"/>
        <v>475930.57328307</v>
      </c>
      <c r="L73" s="6">
        <f t="shared" si="22"/>
        <v>0</v>
      </c>
      <c r="M73" s="6">
        <f t="shared" si="23"/>
        <v>10445590.485508041</v>
      </c>
      <c r="N73" s="6">
        <f t="shared" si="24"/>
        <v>-357814.76061936817</v>
      </c>
      <c r="O73" s="6">
        <f t="shared" si="25"/>
        <v>-634211.854533192</v>
      </c>
      <c r="P73" s="6">
        <f t="shared" si="29"/>
        <v>0</v>
      </c>
      <c r="Q73" s="6">
        <f t="shared" si="26"/>
        <v>9929494.443638552</v>
      </c>
      <c r="R73" s="6">
        <f t="shared" si="27"/>
        <v>-300337.30891118385</v>
      </c>
      <c r="S73" s="15">
        <f t="shared" si="28"/>
        <v>2.9358968571142553E-2</v>
      </c>
    </row>
    <row r="74" spans="1:19">
      <c r="A74" s="245">
        <v>43101</v>
      </c>
      <c r="B74">
        <f t="shared" si="11"/>
        <v>1</v>
      </c>
      <c r="C74">
        <f t="shared" si="12"/>
        <v>2018</v>
      </c>
      <c r="D74" s="6">
        <v>10196132.151791954</v>
      </c>
      <c r="E74">
        <v>0</v>
      </c>
      <c r="F74">
        <v>31</v>
      </c>
      <c r="G74">
        <f>'Monthly Data'!BN74</f>
        <v>73</v>
      </c>
      <c r="H74">
        <v>0</v>
      </c>
      <c r="I74">
        <f>'Monthly Data'!CJ74</f>
        <v>0</v>
      </c>
      <c r="K74" s="6">
        <f t="shared" si="21"/>
        <v>475930.57328307</v>
      </c>
      <c r="L74" s="6">
        <f t="shared" si="22"/>
        <v>0</v>
      </c>
      <c r="M74" s="6">
        <f t="shared" si="23"/>
        <v>10445590.485508041</v>
      </c>
      <c r="N74" s="6">
        <f t="shared" si="24"/>
        <v>-362784.4100724149</v>
      </c>
      <c r="O74" s="6">
        <f t="shared" si="25"/>
        <v>0</v>
      </c>
      <c r="P74" s="6">
        <f t="shared" si="29"/>
        <v>0</v>
      </c>
      <c r="Q74" s="6">
        <f t="shared" si="26"/>
        <v>10558736.648718698</v>
      </c>
      <c r="R74" s="6">
        <f t="shared" si="27"/>
        <v>362604.49692674354</v>
      </c>
      <c r="S74" s="15">
        <f t="shared" si="28"/>
        <v>3.5562945980747843E-2</v>
      </c>
    </row>
    <row r="75" spans="1:19">
      <c r="A75" s="245">
        <v>43132</v>
      </c>
      <c r="B75">
        <f t="shared" si="11"/>
        <v>2</v>
      </c>
      <c r="C75">
        <f t="shared" si="12"/>
        <v>2018</v>
      </c>
      <c r="D75" s="6">
        <v>9525677.4685919546</v>
      </c>
      <c r="E75">
        <v>0</v>
      </c>
      <c r="F75">
        <v>28</v>
      </c>
      <c r="G75">
        <f>'Monthly Data'!BN75</f>
        <v>74</v>
      </c>
      <c r="H75">
        <v>0</v>
      </c>
      <c r="I75">
        <f>'Monthly Data'!CJ75</f>
        <v>0</v>
      </c>
      <c r="K75" s="6">
        <f t="shared" si="21"/>
        <v>475930.57328307</v>
      </c>
      <c r="L75" s="6">
        <f t="shared" si="22"/>
        <v>0</v>
      </c>
      <c r="M75" s="6">
        <f t="shared" si="23"/>
        <v>9434726.8901362959</v>
      </c>
      <c r="N75" s="6">
        <f t="shared" si="24"/>
        <v>-367754.05952546169</v>
      </c>
      <c r="O75" s="6">
        <f t="shared" si="25"/>
        <v>0</v>
      </c>
      <c r="P75" s="6">
        <f t="shared" si="29"/>
        <v>0</v>
      </c>
      <c r="Q75" s="6">
        <f t="shared" si="26"/>
        <v>9542903.4038939048</v>
      </c>
      <c r="R75" s="6">
        <f t="shared" si="27"/>
        <v>17225.935301950201</v>
      </c>
      <c r="S75" s="15">
        <f t="shared" si="28"/>
        <v>1.8083685237871554E-3</v>
      </c>
    </row>
    <row r="76" spans="1:19">
      <c r="A76" s="245">
        <v>43160</v>
      </c>
      <c r="B76">
        <f t="shared" si="11"/>
        <v>3</v>
      </c>
      <c r="C76">
        <f t="shared" si="12"/>
        <v>2018</v>
      </c>
      <c r="D76" s="6">
        <v>10470855.557591954</v>
      </c>
      <c r="E76">
        <v>0</v>
      </c>
      <c r="F76">
        <v>31</v>
      </c>
      <c r="G76">
        <f>'Monthly Data'!BN76</f>
        <v>75</v>
      </c>
      <c r="H76">
        <v>0</v>
      </c>
      <c r="I76">
        <f>'Monthly Data'!CJ76</f>
        <v>0</v>
      </c>
      <c r="K76" s="6">
        <f t="shared" si="21"/>
        <v>475930.57328307</v>
      </c>
      <c r="L76" s="6">
        <f t="shared" si="22"/>
        <v>0</v>
      </c>
      <c r="M76" s="6">
        <f t="shared" si="23"/>
        <v>10445590.485508041</v>
      </c>
      <c r="N76" s="6">
        <f t="shared" si="24"/>
        <v>-372723.70897850848</v>
      </c>
      <c r="O76" s="6">
        <f t="shared" si="25"/>
        <v>0</v>
      </c>
      <c r="P76" s="6">
        <f t="shared" si="29"/>
        <v>0</v>
      </c>
      <c r="Q76" s="6">
        <f t="shared" si="26"/>
        <v>10548797.349812604</v>
      </c>
      <c r="R76" s="6">
        <f t="shared" si="27"/>
        <v>77941.792220650241</v>
      </c>
      <c r="S76" s="15">
        <f t="shared" si="28"/>
        <v>7.4436889891139882E-3</v>
      </c>
    </row>
    <row r="77" spans="1:19">
      <c r="A77" s="245">
        <v>43191</v>
      </c>
      <c r="B77">
        <f t="shared" si="11"/>
        <v>4</v>
      </c>
      <c r="C77">
        <f t="shared" si="12"/>
        <v>2018</v>
      </c>
      <c r="D77" s="6">
        <v>9223511.9941919558</v>
      </c>
      <c r="E77">
        <v>0</v>
      </c>
      <c r="F77">
        <v>30</v>
      </c>
      <c r="G77">
        <f>'Monthly Data'!BN77</f>
        <v>76</v>
      </c>
      <c r="H77">
        <v>0</v>
      </c>
      <c r="I77">
        <f>'Monthly Data'!CJ77</f>
        <v>0</v>
      </c>
      <c r="K77" s="6">
        <f t="shared" si="21"/>
        <v>475930.57328307</v>
      </c>
      <c r="L77" s="6">
        <f t="shared" si="22"/>
        <v>0</v>
      </c>
      <c r="M77" s="6">
        <f t="shared" si="23"/>
        <v>10108635.953717459</v>
      </c>
      <c r="N77" s="6">
        <f t="shared" si="24"/>
        <v>-377693.35843155527</v>
      </c>
      <c r="O77" s="6">
        <f t="shared" si="25"/>
        <v>0</v>
      </c>
      <c r="P77" s="6">
        <f t="shared" si="29"/>
        <v>0</v>
      </c>
      <c r="Q77" s="6">
        <f t="shared" si="26"/>
        <v>10206873.168568974</v>
      </c>
      <c r="R77" s="6">
        <f t="shared" si="27"/>
        <v>983361.17437701859</v>
      </c>
      <c r="S77" s="15">
        <f t="shared" si="28"/>
        <v>0.10661461436774203</v>
      </c>
    </row>
    <row r="78" spans="1:19">
      <c r="A78" s="245">
        <v>43221</v>
      </c>
      <c r="B78">
        <f t="shared" si="11"/>
        <v>5</v>
      </c>
      <c r="C78">
        <f t="shared" si="12"/>
        <v>2018</v>
      </c>
      <c r="D78" s="6">
        <v>9874337.8499919511</v>
      </c>
      <c r="E78">
        <v>63.900000000000006</v>
      </c>
      <c r="F78">
        <v>31</v>
      </c>
      <c r="G78">
        <f>'Monthly Data'!BN78</f>
        <v>77</v>
      </c>
      <c r="H78">
        <v>0</v>
      </c>
      <c r="I78">
        <f>'Monthly Data'!CJ78</f>
        <v>0</v>
      </c>
      <c r="K78" s="6">
        <f t="shared" si="21"/>
        <v>475930.57328307</v>
      </c>
      <c r="L78" s="6">
        <f t="shared" si="22"/>
        <v>218713.28779014357</v>
      </c>
      <c r="M78" s="6">
        <f t="shared" si="23"/>
        <v>10445590.485508041</v>
      </c>
      <c r="N78" s="6">
        <f t="shared" si="24"/>
        <v>-382663.00788460206</v>
      </c>
      <c r="O78" s="6">
        <f t="shared" si="25"/>
        <v>0</v>
      </c>
      <c r="P78" s="6">
        <f t="shared" si="29"/>
        <v>0</v>
      </c>
      <c r="Q78" s="6">
        <f t="shared" si="26"/>
        <v>10757571.338696651</v>
      </c>
      <c r="R78" s="6">
        <f t="shared" si="27"/>
        <v>883233.48870470002</v>
      </c>
      <c r="S78" s="15">
        <f t="shared" si="28"/>
        <v>8.944736367364825E-2</v>
      </c>
    </row>
    <row r="79" spans="1:19">
      <c r="A79" s="245">
        <v>43252</v>
      </c>
      <c r="B79">
        <f t="shared" si="11"/>
        <v>6</v>
      </c>
      <c r="C79">
        <f t="shared" si="12"/>
        <v>2018</v>
      </c>
      <c r="D79" s="6">
        <v>10242337.206391955</v>
      </c>
      <c r="E79">
        <v>92.40000000000002</v>
      </c>
      <c r="F79">
        <v>30</v>
      </c>
      <c r="G79">
        <f>'Monthly Data'!BN79</f>
        <v>78</v>
      </c>
      <c r="H79">
        <v>0</v>
      </c>
      <c r="I79">
        <f>'Monthly Data'!CJ79</f>
        <v>0</v>
      </c>
      <c r="K79" s="6">
        <f t="shared" si="21"/>
        <v>475930.57328307</v>
      </c>
      <c r="L79" s="6">
        <f t="shared" si="22"/>
        <v>316261.4677904424</v>
      </c>
      <c r="M79" s="6">
        <f t="shared" si="23"/>
        <v>10108635.953717459</v>
      </c>
      <c r="N79" s="6">
        <f t="shared" si="24"/>
        <v>-387632.65733764885</v>
      </c>
      <c r="O79" s="6">
        <f t="shared" si="25"/>
        <v>0</v>
      </c>
      <c r="P79" s="6">
        <f t="shared" si="29"/>
        <v>0</v>
      </c>
      <c r="Q79" s="6">
        <f t="shared" si="26"/>
        <v>10513195.337453322</v>
      </c>
      <c r="R79" s="6">
        <f t="shared" si="27"/>
        <v>270858.13106136769</v>
      </c>
      <c r="S79" s="15">
        <f t="shared" si="28"/>
        <v>2.6444953490921266E-2</v>
      </c>
    </row>
    <row r="80" spans="1:19">
      <c r="A80" s="245">
        <v>43282</v>
      </c>
      <c r="B80">
        <f t="shared" si="11"/>
        <v>7</v>
      </c>
      <c r="C80">
        <f t="shared" si="12"/>
        <v>2018</v>
      </c>
      <c r="D80" s="6">
        <v>10872784.068591954</v>
      </c>
      <c r="E80">
        <v>176.00000000000003</v>
      </c>
      <c r="F80">
        <v>31</v>
      </c>
      <c r="G80">
        <f>'Monthly Data'!BN80</f>
        <v>79</v>
      </c>
      <c r="H80">
        <v>0</v>
      </c>
      <c r="I80">
        <f>'Monthly Data'!CJ80</f>
        <v>0</v>
      </c>
      <c r="K80" s="6">
        <f t="shared" si="21"/>
        <v>475930.57328307</v>
      </c>
      <c r="L80" s="6">
        <f t="shared" si="22"/>
        <v>602402.79579131876</v>
      </c>
      <c r="M80" s="6">
        <f t="shared" si="23"/>
        <v>10445590.485508041</v>
      </c>
      <c r="N80" s="6">
        <f t="shared" si="24"/>
        <v>-392602.30679069558</v>
      </c>
      <c r="O80" s="6">
        <f t="shared" si="25"/>
        <v>0</v>
      </c>
      <c r="P80" s="6">
        <f t="shared" si="29"/>
        <v>0</v>
      </c>
      <c r="Q80" s="6">
        <f t="shared" si="26"/>
        <v>11131321.547791734</v>
      </c>
      <c r="R80" s="6">
        <f t="shared" si="27"/>
        <v>258537.47919978015</v>
      </c>
      <c r="S80" s="15">
        <f t="shared" si="28"/>
        <v>2.3778406484371691E-2</v>
      </c>
    </row>
    <row r="81" spans="1:19">
      <c r="A81" s="245">
        <v>43313</v>
      </c>
      <c r="B81">
        <f t="shared" si="11"/>
        <v>8</v>
      </c>
      <c r="C81">
        <f t="shared" si="12"/>
        <v>2018</v>
      </c>
      <c r="D81" s="6">
        <v>11376630.025791956</v>
      </c>
      <c r="E81">
        <v>188.29999999999995</v>
      </c>
      <c r="F81">
        <v>31</v>
      </c>
      <c r="G81">
        <f>'Monthly Data'!BN81</f>
        <v>80</v>
      </c>
      <c r="H81">
        <v>0</v>
      </c>
      <c r="I81">
        <f>'Monthly Data'!CJ81</f>
        <v>0</v>
      </c>
      <c r="K81" s="6">
        <f t="shared" si="21"/>
        <v>475930.57328307</v>
      </c>
      <c r="L81" s="6">
        <f t="shared" si="22"/>
        <v>644502.53663355275</v>
      </c>
      <c r="M81" s="6">
        <f t="shared" si="23"/>
        <v>10445590.485508041</v>
      </c>
      <c r="N81" s="6">
        <f t="shared" si="24"/>
        <v>-397571.95624374237</v>
      </c>
      <c r="O81" s="6">
        <f t="shared" si="25"/>
        <v>0</v>
      </c>
      <c r="P81" s="6">
        <f t="shared" si="29"/>
        <v>0</v>
      </c>
      <c r="Q81" s="6">
        <f t="shared" si="26"/>
        <v>11168451.639180921</v>
      </c>
      <c r="R81" s="6">
        <f t="shared" si="27"/>
        <v>-208178.38661103509</v>
      </c>
      <c r="S81" s="15">
        <f t="shared" si="28"/>
        <v>1.8298774429604717E-2</v>
      </c>
    </row>
    <row r="82" spans="1:19">
      <c r="A82" s="245">
        <v>43344</v>
      </c>
      <c r="B82">
        <f t="shared" si="11"/>
        <v>9</v>
      </c>
      <c r="C82">
        <f t="shared" si="12"/>
        <v>2018</v>
      </c>
      <c r="D82" s="6">
        <v>10796708.154391956</v>
      </c>
      <c r="E82">
        <v>92.7</v>
      </c>
      <c r="F82">
        <v>30</v>
      </c>
      <c r="G82">
        <f>'Monthly Data'!BN82</f>
        <v>81</v>
      </c>
      <c r="H82">
        <v>0</v>
      </c>
      <c r="I82">
        <f>'Monthly Data'!CJ82</f>
        <v>0</v>
      </c>
      <c r="K82" s="6">
        <f t="shared" si="21"/>
        <v>475930.57328307</v>
      </c>
      <c r="L82" s="6">
        <f t="shared" si="22"/>
        <v>317288.29073781392</v>
      </c>
      <c r="M82" s="6">
        <f t="shared" si="23"/>
        <v>10108635.953717459</v>
      </c>
      <c r="N82" s="6">
        <f t="shared" si="24"/>
        <v>-402541.60569678916</v>
      </c>
      <c r="O82" s="6">
        <f t="shared" si="25"/>
        <v>0</v>
      </c>
      <c r="P82" s="6">
        <f t="shared" si="29"/>
        <v>0</v>
      </c>
      <c r="Q82" s="6">
        <f t="shared" si="26"/>
        <v>10499313.212041553</v>
      </c>
      <c r="R82" s="6">
        <f t="shared" si="27"/>
        <v>-297394.94235040247</v>
      </c>
      <c r="S82" s="15">
        <f t="shared" si="28"/>
        <v>2.7544964455617542E-2</v>
      </c>
    </row>
    <row r="83" spans="1:19">
      <c r="A83" s="245">
        <v>43374</v>
      </c>
      <c r="B83">
        <f t="shared" si="11"/>
        <v>10</v>
      </c>
      <c r="C83">
        <f t="shared" si="12"/>
        <v>2018</v>
      </c>
      <c r="D83" s="6">
        <v>10440599.379991954</v>
      </c>
      <c r="E83">
        <v>24.2</v>
      </c>
      <c r="F83">
        <v>31</v>
      </c>
      <c r="G83">
        <f>'Monthly Data'!BN83</f>
        <v>82</v>
      </c>
      <c r="H83">
        <v>0</v>
      </c>
      <c r="I83">
        <f>'Monthly Data'!CJ83</f>
        <v>0</v>
      </c>
      <c r="K83" s="6">
        <f t="shared" si="21"/>
        <v>475930.57328307</v>
      </c>
      <c r="L83" s="6">
        <f t="shared" si="22"/>
        <v>82830.384421306328</v>
      </c>
      <c r="M83" s="6">
        <f t="shared" si="23"/>
        <v>10445590.485508041</v>
      </c>
      <c r="N83" s="6">
        <f t="shared" si="24"/>
        <v>-407511.25514983595</v>
      </c>
      <c r="O83" s="6">
        <f t="shared" si="25"/>
        <v>0</v>
      </c>
      <c r="P83" s="6">
        <f t="shared" si="29"/>
        <v>0</v>
      </c>
      <c r="Q83" s="6">
        <f t="shared" si="26"/>
        <v>10596840.188062582</v>
      </c>
      <c r="R83" s="6">
        <f t="shared" si="27"/>
        <v>156240.80807062797</v>
      </c>
      <c r="S83" s="15">
        <f t="shared" si="28"/>
        <v>1.496473548923284E-2</v>
      </c>
    </row>
    <row r="84" spans="1:19">
      <c r="A84" s="245">
        <v>43405</v>
      </c>
      <c r="B84">
        <f t="shared" si="11"/>
        <v>11</v>
      </c>
      <c r="C84">
        <f t="shared" si="12"/>
        <v>2018</v>
      </c>
      <c r="D84" s="6">
        <v>10444306.885991955</v>
      </c>
      <c r="E84">
        <v>0</v>
      </c>
      <c r="F84">
        <v>30</v>
      </c>
      <c r="G84">
        <f>'Monthly Data'!BN84</f>
        <v>83</v>
      </c>
      <c r="H84">
        <v>0</v>
      </c>
      <c r="I84">
        <f>'Monthly Data'!CJ84</f>
        <v>0</v>
      </c>
      <c r="K84" s="6">
        <f t="shared" si="21"/>
        <v>475930.57328307</v>
      </c>
      <c r="L84" s="6">
        <f t="shared" si="22"/>
        <v>0</v>
      </c>
      <c r="M84" s="6">
        <f t="shared" si="23"/>
        <v>10108635.953717459</v>
      </c>
      <c r="N84" s="6">
        <f t="shared" si="24"/>
        <v>-412480.90460288274</v>
      </c>
      <c r="O84" s="6">
        <f t="shared" si="25"/>
        <v>0</v>
      </c>
      <c r="P84" s="6">
        <f t="shared" si="29"/>
        <v>0</v>
      </c>
      <c r="Q84" s="6">
        <f t="shared" si="26"/>
        <v>10172085.622397646</v>
      </c>
      <c r="R84" s="6">
        <f t="shared" si="27"/>
        <v>-272221.26359430887</v>
      </c>
      <c r="S84" s="15">
        <f t="shared" si="28"/>
        <v>2.6064081280435726E-2</v>
      </c>
    </row>
    <row r="85" spans="1:19">
      <c r="A85" s="245">
        <v>43435</v>
      </c>
      <c r="B85">
        <f t="shared" si="11"/>
        <v>12</v>
      </c>
      <c r="C85">
        <f t="shared" si="12"/>
        <v>2018</v>
      </c>
      <c r="D85" s="6">
        <v>9893684.0954919551</v>
      </c>
      <c r="E85">
        <v>0</v>
      </c>
      <c r="F85">
        <v>31</v>
      </c>
      <c r="G85">
        <f>'Monthly Data'!BN85</f>
        <v>84</v>
      </c>
      <c r="H85">
        <v>1</v>
      </c>
      <c r="I85">
        <f>'Monthly Data'!CJ85</f>
        <v>0</v>
      </c>
      <c r="K85" s="6">
        <f t="shared" si="21"/>
        <v>475930.57328307</v>
      </c>
      <c r="L85" s="6">
        <f t="shared" si="22"/>
        <v>0</v>
      </c>
      <c r="M85" s="6">
        <f t="shared" si="23"/>
        <v>10445590.485508041</v>
      </c>
      <c r="N85" s="6">
        <f t="shared" si="24"/>
        <v>-417450.55405592953</v>
      </c>
      <c r="O85" s="6">
        <f t="shared" si="25"/>
        <v>-634211.854533192</v>
      </c>
      <c r="P85" s="6">
        <f t="shared" si="29"/>
        <v>0</v>
      </c>
      <c r="Q85" s="6">
        <f t="shared" si="26"/>
        <v>9869858.6502019912</v>
      </c>
      <c r="R85" s="6">
        <f t="shared" si="27"/>
        <v>-23825.445289963856</v>
      </c>
      <c r="S85" s="15">
        <f t="shared" si="28"/>
        <v>2.4081469612335705E-3</v>
      </c>
    </row>
    <row r="86" spans="1:19">
      <c r="A86" s="245">
        <v>43466</v>
      </c>
      <c r="B86">
        <f t="shared" ref="B86:B97" si="30">MONTH(A86)</f>
        <v>1</v>
      </c>
      <c r="C86">
        <f t="shared" ref="C86:C97" si="31">YEAR(A86)</f>
        <v>2019</v>
      </c>
      <c r="D86" s="6">
        <v>10553825.483902493</v>
      </c>
      <c r="E86">
        <v>0</v>
      </c>
      <c r="F86">
        <v>31</v>
      </c>
      <c r="G86">
        <f>'Monthly Data'!BN86</f>
        <v>85</v>
      </c>
      <c r="H86">
        <v>0</v>
      </c>
      <c r="I86">
        <f>'Monthly Data'!CJ86</f>
        <v>0</v>
      </c>
      <c r="K86" s="6">
        <f t="shared" si="21"/>
        <v>475930.57328307</v>
      </c>
      <c r="L86" s="6">
        <f t="shared" si="22"/>
        <v>0</v>
      </c>
      <c r="M86" s="6">
        <f t="shared" si="23"/>
        <v>10445590.485508041</v>
      </c>
      <c r="N86" s="6">
        <f t="shared" si="24"/>
        <v>-422420.20350897626</v>
      </c>
      <c r="O86" s="6">
        <f t="shared" si="25"/>
        <v>0</v>
      </c>
      <c r="P86" s="6">
        <f t="shared" si="29"/>
        <v>0</v>
      </c>
      <c r="Q86" s="6">
        <f t="shared" si="26"/>
        <v>10499100.855282135</v>
      </c>
      <c r="R86" s="6">
        <f t="shared" si="27"/>
        <v>-54724.628620358184</v>
      </c>
      <c r="S86" s="15">
        <f t="shared" si="28"/>
        <v>5.1852883775488235E-3</v>
      </c>
    </row>
    <row r="87" spans="1:19">
      <c r="A87" s="245">
        <v>43497</v>
      </c>
      <c r="B87">
        <f t="shared" si="30"/>
        <v>2</v>
      </c>
      <c r="C87">
        <f t="shared" si="31"/>
        <v>2019</v>
      </c>
      <c r="D87" s="6">
        <v>9061173.1926024947</v>
      </c>
      <c r="E87">
        <v>0</v>
      </c>
      <c r="F87">
        <v>28</v>
      </c>
      <c r="G87">
        <f>'Monthly Data'!BN87</f>
        <v>86</v>
      </c>
      <c r="H87">
        <v>0</v>
      </c>
      <c r="I87">
        <f>'Monthly Data'!CJ87</f>
        <v>0</v>
      </c>
      <c r="K87" s="6">
        <f t="shared" si="21"/>
        <v>475930.57328307</v>
      </c>
      <c r="L87" s="6">
        <f t="shared" si="22"/>
        <v>0</v>
      </c>
      <c r="M87" s="6">
        <f t="shared" si="23"/>
        <v>9434726.8901362959</v>
      </c>
      <c r="N87" s="6">
        <f t="shared" si="24"/>
        <v>-427389.85296202305</v>
      </c>
      <c r="O87" s="6">
        <f t="shared" si="25"/>
        <v>0</v>
      </c>
      <c r="P87" s="6">
        <f t="shared" si="29"/>
        <v>0</v>
      </c>
      <c r="Q87" s="6">
        <f t="shared" si="26"/>
        <v>9483267.610457344</v>
      </c>
      <c r="R87" s="6">
        <f t="shared" si="27"/>
        <v>422094.41785484925</v>
      </c>
      <c r="S87" s="15">
        <f t="shared" si="28"/>
        <v>4.6582755773771703E-2</v>
      </c>
    </row>
    <row r="88" spans="1:19">
      <c r="A88" s="245">
        <v>43525</v>
      </c>
      <c r="B88">
        <f t="shared" si="30"/>
        <v>3</v>
      </c>
      <c r="C88">
        <f t="shared" si="31"/>
        <v>2019</v>
      </c>
      <c r="D88" s="6">
        <v>10416169.372302495</v>
      </c>
      <c r="E88">
        <v>0</v>
      </c>
      <c r="F88">
        <v>31</v>
      </c>
      <c r="G88">
        <f>'Monthly Data'!BN88</f>
        <v>87</v>
      </c>
      <c r="H88">
        <v>0</v>
      </c>
      <c r="I88">
        <f>'Monthly Data'!CJ88</f>
        <v>0</v>
      </c>
      <c r="K88" s="6">
        <f t="shared" si="21"/>
        <v>475930.57328307</v>
      </c>
      <c r="L88" s="6">
        <f t="shared" si="22"/>
        <v>0</v>
      </c>
      <c r="M88" s="6">
        <f t="shared" si="23"/>
        <v>10445590.485508041</v>
      </c>
      <c r="N88" s="6">
        <f t="shared" si="24"/>
        <v>-432359.50241506984</v>
      </c>
      <c r="O88" s="6">
        <f t="shared" si="25"/>
        <v>0</v>
      </c>
      <c r="P88" s="6">
        <f t="shared" si="29"/>
        <v>0</v>
      </c>
      <c r="Q88" s="6">
        <f t="shared" si="26"/>
        <v>10489161.556376042</v>
      </c>
      <c r="R88" s="6">
        <f t="shared" si="27"/>
        <v>72992.184073546901</v>
      </c>
      <c r="S88" s="15">
        <f t="shared" si="28"/>
        <v>7.0075842149456115E-3</v>
      </c>
    </row>
    <row r="89" spans="1:19">
      <c r="A89" s="245">
        <v>43556</v>
      </c>
      <c r="B89">
        <f t="shared" si="30"/>
        <v>4</v>
      </c>
      <c r="C89">
        <f t="shared" si="31"/>
        <v>2019</v>
      </c>
      <c r="D89" s="6">
        <v>9685226.1653024945</v>
      </c>
      <c r="E89">
        <v>0</v>
      </c>
      <c r="F89">
        <v>30</v>
      </c>
      <c r="G89">
        <f>'Monthly Data'!BN89</f>
        <v>88</v>
      </c>
      <c r="H89">
        <v>0</v>
      </c>
      <c r="I89">
        <f>'Monthly Data'!CJ89</f>
        <v>0</v>
      </c>
      <c r="K89" s="6">
        <f t="shared" si="21"/>
        <v>475930.57328307</v>
      </c>
      <c r="L89" s="6">
        <f t="shared" si="22"/>
        <v>0</v>
      </c>
      <c r="M89" s="6">
        <f t="shared" si="23"/>
        <v>10108635.953717459</v>
      </c>
      <c r="N89" s="6">
        <f t="shared" si="24"/>
        <v>-437329.15186811663</v>
      </c>
      <c r="O89" s="6">
        <f t="shared" si="25"/>
        <v>0</v>
      </c>
      <c r="P89" s="6">
        <f t="shared" si="29"/>
        <v>0</v>
      </c>
      <c r="Q89" s="6">
        <f t="shared" si="26"/>
        <v>10147237.375132414</v>
      </c>
      <c r="R89" s="6">
        <f t="shared" si="27"/>
        <v>462011.20982991904</v>
      </c>
      <c r="S89" s="15">
        <f t="shared" si="28"/>
        <v>4.7702676421236594E-2</v>
      </c>
    </row>
    <row r="90" spans="1:19">
      <c r="A90" s="245">
        <v>43586</v>
      </c>
      <c r="B90">
        <f t="shared" si="30"/>
        <v>5</v>
      </c>
      <c r="C90">
        <f t="shared" si="31"/>
        <v>2019</v>
      </c>
      <c r="D90" s="6">
        <v>10537614.920502495</v>
      </c>
      <c r="E90">
        <v>9.9000000000000021</v>
      </c>
      <c r="F90">
        <v>31</v>
      </c>
      <c r="G90">
        <f>'Monthly Data'!BN90</f>
        <v>89</v>
      </c>
      <c r="H90">
        <v>0</v>
      </c>
      <c r="I90">
        <f>'Monthly Data'!CJ90</f>
        <v>0</v>
      </c>
      <c r="K90" s="6">
        <f t="shared" si="21"/>
        <v>475930.57328307</v>
      </c>
      <c r="L90" s="6">
        <f t="shared" si="22"/>
        <v>33885.157263261688</v>
      </c>
      <c r="M90" s="6">
        <f t="shared" si="23"/>
        <v>10445590.485508041</v>
      </c>
      <c r="N90" s="6">
        <f t="shared" si="24"/>
        <v>-442298.80132116342</v>
      </c>
      <c r="O90" s="6">
        <f t="shared" si="25"/>
        <v>0</v>
      </c>
      <c r="P90" s="6">
        <f t="shared" si="29"/>
        <v>0</v>
      </c>
      <c r="Q90" s="6">
        <f t="shared" si="26"/>
        <v>10513107.414733209</v>
      </c>
      <c r="R90" s="6">
        <f t="shared" si="27"/>
        <v>-24507.505769286305</v>
      </c>
      <c r="S90" s="15">
        <f t="shared" si="28"/>
        <v>2.3257165833231687E-3</v>
      </c>
    </row>
    <row r="91" spans="1:19">
      <c r="A91" s="245">
        <v>43617</v>
      </c>
      <c r="B91">
        <f t="shared" si="30"/>
        <v>6</v>
      </c>
      <c r="C91">
        <f t="shared" si="31"/>
        <v>2019</v>
      </c>
      <c r="D91" s="6">
        <v>10117168.685702495</v>
      </c>
      <c r="E91">
        <v>62.7</v>
      </c>
      <c r="F91">
        <v>30</v>
      </c>
      <c r="G91">
        <f>'Monthly Data'!BN91</f>
        <v>90</v>
      </c>
      <c r="H91">
        <v>0</v>
      </c>
      <c r="I91">
        <f>'Monthly Data'!CJ91</f>
        <v>0</v>
      </c>
      <c r="K91" s="6">
        <f t="shared" si="21"/>
        <v>475930.57328307</v>
      </c>
      <c r="L91" s="6">
        <f t="shared" si="22"/>
        <v>214605.99600065729</v>
      </c>
      <c r="M91" s="6">
        <f t="shared" si="23"/>
        <v>10108635.953717459</v>
      </c>
      <c r="N91" s="6">
        <f t="shared" si="24"/>
        <v>-447268.45077421021</v>
      </c>
      <c r="O91" s="6">
        <f t="shared" si="25"/>
        <v>0</v>
      </c>
      <c r="P91" s="6">
        <f t="shared" si="29"/>
        <v>0</v>
      </c>
      <c r="Q91" s="6">
        <f t="shared" si="26"/>
        <v>10351904.072226977</v>
      </c>
      <c r="R91" s="6">
        <f t="shared" si="27"/>
        <v>234735.3865244817</v>
      </c>
      <c r="S91" s="15">
        <f t="shared" si="28"/>
        <v>2.320168752906215E-2</v>
      </c>
    </row>
    <row r="92" spans="1:19">
      <c r="A92" s="245">
        <v>43647</v>
      </c>
      <c r="B92">
        <f t="shared" si="30"/>
        <v>7</v>
      </c>
      <c r="C92">
        <f t="shared" si="31"/>
        <v>2019</v>
      </c>
      <c r="D92" s="6">
        <v>11000645.868802493</v>
      </c>
      <c r="E92">
        <v>204.70000000000002</v>
      </c>
      <c r="F92">
        <v>31</v>
      </c>
      <c r="G92">
        <f>'Monthly Data'!BN92</f>
        <v>91</v>
      </c>
      <c r="H92">
        <v>0</v>
      </c>
      <c r="I92">
        <f>'Monthly Data'!CJ92</f>
        <v>0</v>
      </c>
      <c r="K92" s="6">
        <f t="shared" si="21"/>
        <v>475930.57328307</v>
      </c>
      <c r="L92" s="6">
        <f t="shared" si="22"/>
        <v>700635.52442319854</v>
      </c>
      <c r="M92" s="6">
        <f t="shared" si="23"/>
        <v>10445590.485508041</v>
      </c>
      <c r="N92" s="6">
        <f t="shared" si="24"/>
        <v>-452238.10022725695</v>
      </c>
      <c r="O92" s="6">
        <f t="shared" si="25"/>
        <v>0</v>
      </c>
      <c r="P92" s="6">
        <f t="shared" si="29"/>
        <v>0</v>
      </c>
      <c r="Q92" s="6">
        <f t="shared" si="26"/>
        <v>11169918.482987052</v>
      </c>
      <c r="R92" s="6">
        <f t="shared" si="27"/>
        <v>169272.61418455839</v>
      </c>
      <c r="S92" s="15">
        <f t="shared" si="28"/>
        <v>1.538751598800308E-2</v>
      </c>
    </row>
    <row r="93" spans="1:19">
      <c r="A93" s="245">
        <v>43678</v>
      </c>
      <c r="B93">
        <f t="shared" si="30"/>
        <v>8</v>
      </c>
      <c r="C93">
        <f t="shared" si="31"/>
        <v>2019</v>
      </c>
      <c r="D93" s="6">
        <v>11068083.175802493</v>
      </c>
      <c r="E93">
        <v>147.10000000000002</v>
      </c>
      <c r="F93">
        <v>31</v>
      </c>
      <c r="G93">
        <f>'Monthly Data'!BN93</f>
        <v>92</v>
      </c>
      <c r="H93">
        <v>0</v>
      </c>
      <c r="I93">
        <f>'Monthly Data'!CJ93</f>
        <v>0</v>
      </c>
      <c r="K93" s="6">
        <f t="shared" si="21"/>
        <v>475930.57328307</v>
      </c>
      <c r="L93" s="6">
        <f t="shared" si="22"/>
        <v>503485.51852785796</v>
      </c>
      <c r="M93" s="6">
        <f t="shared" si="23"/>
        <v>10445590.485508041</v>
      </c>
      <c r="N93" s="6">
        <f t="shared" si="24"/>
        <v>-457207.74968030374</v>
      </c>
      <c r="O93" s="6">
        <f t="shared" si="25"/>
        <v>0</v>
      </c>
      <c r="P93" s="6">
        <f t="shared" si="29"/>
        <v>0</v>
      </c>
      <c r="Q93" s="6">
        <f t="shared" si="26"/>
        <v>10967798.827638667</v>
      </c>
      <c r="R93" s="6">
        <f t="shared" si="27"/>
        <v>-100284.34816382639</v>
      </c>
      <c r="S93" s="15">
        <f t="shared" si="28"/>
        <v>9.0606789424091273E-3</v>
      </c>
    </row>
    <row r="94" spans="1:19">
      <c r="A94" s="245">
        <v>43709</v>
      </c>
      <c r="B94">
        <f t="shared" si="30"/>
        <v>9</v>
      </c>
      <c r="C94">
        <f t="shared" si="31"/>
        <v>2019</v>
      </c>
      <c r="D94" s="6">
        <v>10411250.362702494</v>
      </c>
      <c r="E94">
        <v>75.799999999999983</v>
      </c>
      <c r="F94">
        <v>30</v>
      </c>
      <c r="G94">
        <f>'Monthly Data'!BN94</f>
        <v>93</v>
      </c>
      <c r="H94">
        <v>0</v>
      </c>
      <c r="I94">
        <f>'Monthly Data'!CJ94</f>
        <v>0</v>
      </c>
      <c r="K94" s="6">
        <f t="shared" si="21"/>
        <v>475930.57328307</v>
      </c>
      <c r="L94" s="6">
        <f t="shared" si="22"/>
        <v>259443.93136921563</v>
      </c>
      <c r="M94" s="6">
        <f t="shared" si="23"/>
        <v>10108635.953717459</v>
      </c>
      <c r="N94" s="6">
        <f t="shared" si="24"/>
        <v>-462177.39913335053</v>
      </c>
      <c r="O94" s="6">
        <f t="shared" si="25"/>
        <v>0</v>
      </c>
      <c r="P94" s="6">
        <f t="shared" si="29"/>
        <v>0</v>
      </c>
      <c r="Q94" s="6">
        <f t="shared" si="26"/>
        <v>10381833.059236394</v>
      </c>
      <c r="R94" s="6">
        <f t="shared" si="27"/>
        <v>-29417.303466100246</v>
      </c>
      <c r="S94" s="15">
        <f t="shared" si="28"/>
        <v>2.825530310123506E-3</v>
      </c>
    </row>
    <row r="95" spans="1:19">
      <c r="A95" s="245">
        <v>43739</v>
      </c>
      <c r="B95">
        <f t="shared" si="30"/>
        <v>10</v>
      </c>
      <c r="C95">
        <f t="shared" si="31"/>
        <v>2019</v>
      </c>
      <c r="D95" s="6">
        <v>9466818.0045024939</v>
      </c>
      <c r="E95">
        <v>6.5</v>
      </c>
      <c r="F95">
        <v>31</v>
      </c>
      <c r="G95">
        <f>'Monthly Data'!BN95</f>
        <v>94</v>
      </c>
      <c r="H95">
        <v>0</v>
      </c>
      <c r="I95">
        <f>'Monthly Data'!CJ95</f>
        <v>0</v>
      </c>
      <c r="K95" s="6">
        <f t="shared" si="21"/>
        <v>475930.57328307</v>
      </c>
      <c r="L95" s="6">
        <f t="shared" si="22"/>
        <v>22247.830526383928</v>
      </c>
      <c r="M95" s="6">
        <f t="shared" si="23"/>
        <v>10445590.485508041</v>
      </c>
      <c r="N95" s="6">
        <f t="shared" si="24"/>
        <v>-467147.04858639732</v>
      </c>
      <c r="O95" s="6">
        <f t="shared" si="25"/>
        <v>0</v>
      </c>
      <c r="P95" s="6">
        <f t="shared" si="29"/>
        <v>0</v>
      </c>
      <c r="Q95" s="6">
        <f t="shared" si="26"/>
        <v>10476621.840731099</v>
      </c>
      <c r="R95" s="6">
        <f t="shared" si="27"/>
        <v>1009803.8362286054</v>
      </c>
      <c r="S95" s="15">
        <f t="shared" si="28"/>
        <v>0.10666771408812704</v>
      </c>
    </row>
    <row r="96" spans="1:19">
      <c r="A96" s="245">
        <v>43770</v>
      </c>
      <c r="B96">
        <f t="shared" si="30"/>
        <v>11</v>
      </c>
      <c r="C96">
        <f t="shared" si="31"/>
        <v>2019</v>
      </c>
      <c r="D96" s="6">
        <v>10102238.095402494</v>
      </c>
      <c r="E96">
        <v>0</v>
      </c>
      <c r="F96">
        <v>30</v>
      </c>
      <c r="G96">
        <f>'Monthly Data'!BN96</f>
        <v>95</v>
      </c>
      <c r="H96">
        <v>0</v>
      </c>
      <c r="I96">
        <f>'Monthly Data'!CJ96</f>
        <v>0</v>
      </c>
      <c r="K96" s="6">
        <f t="shared" si="21"/>
        <v>475930.57328307</v>
      </c>
      <c r="L96" s="6">
        <f t="shared" si="22"/>
        <v>0</v>
      </c>
      <c r="M96" s="6">
        <f t="shared" si="23"/>
        <v>10108635.953717459</v>
      </c>
      <c r="N96" s="6">
        <f t="shared" si="24"/>
        <v>-472116.69803944411</v>
      </c>
      <c r="O96" s="6">
        <f t="shared" si="25"/>
        <v>0</v>
      </c>
      <c r="P96" s="6">
        <f t="shared" si="29"/>
        <v>0</v>
      </c>
      <c r="Q96" s="6">
        <f t="shared" si="26"/>
        <v>10112449.828961086</v>
      </c>
      <c r="R96" s="6">
        <f t="shared" si="27"/>
        <v>10211.733558591455</v>
      </c>
      <c r="S96" s="15">
        <f t="shared" si="28"/>
        <v>1.0108387331752547E-3</v>
      </c>
    </row>
    <row r="97" spans="1:19">
      <c r="A97" s="245">
        <v>43800</v>
      </c>
      <c r="B97">
        <f t="shared" si="30"/>
        <v>12</v>
      </c>
      <c r="C97">
        <f t="shared" si="31"/>
        <v>2019</v>
      </c>
      <c r="D97" s="6">
        <v>9521253.9278024938</v>
      </c>
      <c r="E97">
        <v>0</v>
      </c>
      <c r="F97">
        <v>31</v>
      </c>
      <c r="G97">
        <f>'Monthly Data'!BN97</f>
        <v>96</v>
      </c>
      <c r="H97">
        <v>1</v>
      </c>
      <c r="I97">
        <f>'Monthly Data'!CJ97</f>
        <v>0</v>
      </c>
      <c r="K97" s="6">
        <f t="shared" si="21"/>
        <v>475930.57328307</v>
      </c>
      <c r="L97" s="6">
        <f t="shared" si="22"/>
        <v>0</v>
      </c>
      <c r="M97" s="6">
        <f t="shared" si="23"/>
        <v>10445590.485508041</v>
      </c>
      <c r="N97" s="6">
        <f t="shared" si="24"/>
        <v>-477086.3474924909</v>
      </c>
      <c r="O97" s="6">
        <f t="shared" si="25"/>
        <v>-634211.854533192</v>
      </c>
      <c r="P97" s="6">
        <f t="shared" si="29"/>
        <v>0</v>
      </c>
      <c r="Q97" s="6">
        <f t="shared" si="26"/>
        <v>9810222.8567654304</v>
      </c>
      <c r="R97" s="6">
        <f t="shared" si="27"/>
        <v>288968.92896293662</v>
      </c>
      <c r="S97" s="15">
        <f t="shared" si="28"/>
        <v>3.0349881554900478E-2</v>
      </c>
    </row>
    <row r="98" spans="1:19">
      <c r="A98" s="245">
        <v>43831</v>
      </c>
      <c r="B98">
        <f t="shared" ref="B98:B121" si="32">MONTH(A98)</f>
        <v>1</v>
      </c>
      <c r="C98">
        <f t="shared" ref="C98:C121" si="33">YEAR(A98)</f>
        <v>2020</v>
      </c>
      <c r="D98" s="6">
        <v>9892800.4957397729</v>
      </c>
      <c r="E98">
        <v>0</v>
      </c>
      <c r="F98">
        <v>31</v>
      </c>
      <c r="G98">
        <f>'Monthly Data'!BN98</f>
        <v>97</v>
      </c>
      <c r="H98">
        <v>0</v>
      </c>
      <c r="I98">
        <f>'Monthly Data'!CJ98</f>
        <v>0</v>
      </c>
      <c r="K98" s="6">
        <f t="shared" ref="K98:K133" si="34">$W$7</f>
        <v>475930.57328307</v>
      </c>
      <c r="L98" s="6">
        <f t="shared" ref="L98:L133" si="35">E98*$W$8</f>
        <v>0</v>
      </c>
      <c r="M98" s="6">
        <f t="shared" ref="M98:M133" si="36">F98*$W$9</f>
        <v>10445590.485508041</v>
      </c>
      <c r="N98" s="6">
        <f t="shared" ref="N98:N133" si="37">G98*$W$10</f>
        <v>-482055.99694553763</v>
      </c>
      <c r="O98" s="6">
        <f t="shared" ref="O98:O133" si="38">H98*$W$11</f>
        <v>0</v>
      </c>
      <c r="P98" s="6">
        <f t="shared" si="29"/>
        <v>0</v>
      </c>
      <c r="Q98" s="6">
        <f t="shared" ref="Q98:Q129" si="39">SUM(K98:P98)</f>
        <v>10439465.061845575</v>
      </c>
      <c r="R98" s="6">
        <f t="shared" ref="R98:R129" si="40">Q98-D98</f>
        <v>546664.56610580161</v>
      </c>
      <c r="S98" s="15">
        <f t="shared" ref="S98:S133" si="41">ABS(Q98-D98)/D98</f>
        <v>5.5258828512837872E-2</v>
      </c>
    </row>
    <row r="99" spans="1:19">
      <c r="A99" s="245">
        <v>43862</v>
      </c>
      <c r="B99">
        <f t="shared" si="32"/>
        <v>2</v>
      </c>
      <c r="C99">
        <f t="shared" si="33"/>
        <v>2020</v>
      </c>
      <c r="D99" s="6">
        <v>9248287.730939772</v>
      </c>
      <c r="E99">
        <v>0</v>
      </c>
      <c r="F99">
        <v>29</v>
      </c>
      <c r="G99">
        <f>'Monthly Data'!BN99</f>
        <v>98</v>
      </c>
      <c r="H99">
        <v>0</v>
      </c>
      <c r="I99">
        <f>'Monthly Data'!CJ99</f>
        <v>0</v>
      </c>
      <c r="K99" s="6">
        <f t="shared" si="34"/>
        <v>475930.57328307</v>
      </c>
      <c r="L99" s="6">
        <f t="shared" si="35"/>
        <v>0</v>
      </c>
      <c r="M99" s="6">
        <f t="shared" si="36"/>
        <v>9771681.4219268784</v>
      </c>
      <c r="N99" s="6">
        <f t="shared" si="37"/>
        <v>-487025.64639858442</v>
      </c>
      <c r="O99" s="6">
        <f t="shared" si="38"/>
        <v>0</v>
      </c>
      <c r="P99" s="6">
        <f t="shared" si="29"/>
        <v>0</v>
      </c>
      <c r="Q99" s="6">
        <f t="shared" si="39"/>
        <v>9760586.3488113638</v>
      </c>
      <c r="R99" s="6">
        <f t="shared" si="40"/>
        <v>512298.61787159182</v>
      </c>
      <c r="S99" s="15">
        <f t="shared" si="41"/>
        <v>5.5393888336509857E-2</v>
      </c>
    </row>
    <row r="100" spans="1:19">
      <c r="A100" s="245">
        <v>43891</v>
      </c>
      <c r="B100">
        <f t="shared" si="32"/>
        <v>3</v>
      </c>
      <c r="C100">
        <f t="shared" si="33"/>
        <v>2020</v>
      </c>
      <c r="D100" s="6">
        <v>9040651.230939772</v>
      </c>
      <c r="E100">
        <v>0</v>
      </c>
      <c r="F100">
        <v>31</v>
      </c>
      <c r="G100">
        <f>'Monthly Data'!BN100</f>
        <v>99</v>
      </c>
      <c r="H100">
        <v>0</v>
      </c>
      <c r="I100" s="115">
        <f>'Monthly Data'!CJ100</f>
        <v>0.5</v>
      </c>
      <c r="K100" s="6">
        <f t="shared" si="34"/>
        <v>475930.57328307</v>
      </c>
      <c r="L100" s="6">
        <f t="shared" si="35"/>
        <v>0</v>
      </c>
      <c r="M100" s="6">
        <f t="shared" si="36"/>
        <v>10445590.485508041</v>
      </c>
      <c r="N100" s="6">
        <f t="shared" si="37"/>
        <v>-491995.29585163121</v>
      </c>
      <c r="O100" s="6">
        <f t="shared" si="38"/>
        <v>0</v>
      </c>
      <c r="P100" s="6">
        <f t="shared" si="29"/>
        <v>-1321576.1947862201</v>
      </c>
      <c r="Q100" s="6">
        <f t="shared" si="39"/>
        <v>9107949.5681532603</v>
      </c>
      <c r="R100" s="6">
        <f t="shared" si="40"/>
        <v>67298.337213488296</v>
      </c>
      <c r="S100" s="15">
        <f t="shared" si="41"/>
        <v>7.4439700740997015E-3</v>
      </c>
    </row>
    <row r="101" spans="1:19">
      <c r="A101" s="245">
        <v>43922</v>
      </c>
      <c r="B101">
        <f t="shared" si="32"/>
        <v>4</v>
      </c>
      <c r="C101">
        <f t="shared" si="33"/>
        <v>2020</v>
      </c>
      <c r="D101" s="6">
        <v>6964214.9185397718</v>
      </c>
      <c r="E101">
        <v>0</v>
      </c>
      <c r="F101">
        <v>30</v>
      </c>
      <c r="G101">
        <f>'Monthly Data'!BN101</f>
        <v>100</v>
      </c>
      <c r="H101">
        <v>0</v>
      </c>
      <c r="I101" s="115">
        <f>'Monthly Data'!CJ101</f>
        <v>1</v>
      </c>
      <c r="K101" s="6">
        <f t="shared" si="34"/>
        <v>475930.57328307</v>
      </c>
      <c r="L101" s="6">
        <f t="shared" si="35"/>
        <v>0</v>
      </c>
      <c r="M101" s="6">
        <f t="shared" si="36"/>
        <v>10108635.953717459</v>
      </c>
      <c r="N101" s="6">
        <f t="shared" si="37"/>
        <v>-496964.945304678</v>
      </c>
      <c r="O101" s="6">
        <f t="shared" si="38"/>
        <v>0</v>
      </c>
      <c r="P101" s="6">
        <f t="shared" si="29"/>
        <v>-2643152.3895724402</v>
      </c>
      <c r="Q101" s="6">
        <f t="shared" si="39"/>
        <v>7444449.1921234112</v>
      </c>
      <c r="R101" s="6">
        <f t="shared" si="40"/>
        <v>480234.27358363941</v>
      </c>
      <c r="S101" s="15">
        <f t="shared" si="41"/>
        <v>6.8957417196471721E-2</v>
      </c>
    </row>
    <row r="102" spans="1:19">
      <c r="A102" s="245">
        <v>43952</v>
      </c>
      <c r="B102">
        <f t="shared" si="32"/>
        <v>5</v>
      </c>
      <c r="C102">
        <f t="shared" si="33"/>
        <v>2020</v>
      </c>
      <c r="D102" s="6">
        <v>7859482.2731397711</v>
      </c>
      <c r="E102">
        <v>42.5</v>
      </c>
      <c r="F102">
        <v>31</v>
      </c>
      <c r="G102">
        <f>'Monthly Data'!BN102</f>
        <v>101</v>
      </c>
      <c r="H102">
        <v>0</v>
      </c>
      <c r="I102" s="115">
        <f>'Monthly Data'!CJ102</f>
        <v>1</v>
      </c>
      <c r="K102" s="6">
        <f t="shared" si="34"/>
        <v>475930.57328307</v>
      </c>
      <c r="L102" s="6">
        <f t="shared" si="35"/>
        <v>145466.58421097184</v>
      </c>
      <c r="M102" s="6">
        <f t="shared" si="36"/>
        <v>10445590.485508041</v>
      </c>
      <c r="N102" s="6">
        <f t="shared" si="37"/>
        <v>-501934.59475772479</v>
      </c>
      <c r="O102" s="6">
        <f t="shared" si="38"/>
        <v>0</v>
      </c>
      <c r="P102" s="6">
        <f t="shared" si="29"/>
        <v>-2643152.3895724402</v>
      </c>
      <c r="Q102" s="6">
        <f t="shared" si="39"/>
        <v>7921900.6586719193</v>
      </c>
      <c r="R102" s="6">
        <f t="shared" si="40"/>
        <v>62418.385532148182</v>
      </c>
      <c r="S102" s="15">
        <f t="shared" si="41"/>
        <v>7.9417935384200281E-3</v>
      </c>
    </row>
    <row r="103" spans="1:19">
      <c r="A103" s="245">
        <v>43983</v>
      </c>
      <c r="B103">
        <f t="shared" si="32"/>
        <v>6</v>
      </c>
      <c r="C103">
        <f t="shared" si="33"/>
        <v>2020</v>
      </c>
      <c r="D103" s="6">
        <v>9837261.6407397725</v>
      </c>
      <c r="E103">
        <v>111.00000000000001</v>
      </c>
      <c r="F103">
        <v>30</v>
      </c>
      <c r="G103">
        <f>'Monthly Data'!BN103</f>
        <v>102</v>
      </c>
      <c r="H103">
        <v>0</v>
      </c>
      <c r="I103" s="115">
        <f>'Monthly Data'!CJ103</f>
        <v>0.5</v>
      </c>
      <c r="K103" s="6">
        <f t="shared" si="34"/>
        <v>475930.57328307</v>
      </c>
      <c r="L103" s="6">
        <f t="shared" si="35"/>
        <v>379924.49052747944</v>
      </c>
      <c r="M103" s="6">
        <f t="shared" si="36"/>
        <v>10108635.953717459</v>
      </c>
      <c r="N103" s="6">
        <f t="shared" si="37"/>
        <v>-506904.24421077152</v>
      </c>
      <c r="O103" s="6">
        <f t="shared" si="38"/>
        <v>0</v>
      </c>
      <c r="P103" s="6">
        <f t="shared" si="29"/>
        <v>-1321576.1947862201</v>
      </c>
      <c r="Q103" s="6">
        <f t="shared" si="39"/>
        <v>9136010.5785310157</v>
      </c>
      <c r="R103" s="6">
        <f t="shared" si="40"/>
        <v>-701251.0622087568</v>
      </c>
      <c r="S103" s="15">
        <f t="shared" si="41"/>
        <v>7.1285189702042118E-2</v>
      </c>
    </row>
    <row r="104" spans="1:19">
      <c r="A104" s="245">
        <v>44013</v>
      </c>
      <c r="B104">
        <f t="shared" si="32"/>
        <v>7</v>
      </c>
      <c r="C104">
        <f t="shared" si="33"/>
        <v>2020</v>
      </c>
      <c r="D104" s="6">
        <v>10891421.682539772</v>
      </c>
      <c r="E104">
        <v>221.09999999999994</v>
      </c>
      <c r="F104">
        <v>31</v>
      </c>
      <c r="G104">
        <f>'Monthly Data'!BN104</f>
        <v>103</v>
      </c>
      <c r="H104">
        <v>0</v>
      </c>
      <c r="I104">
        <f>'Monthly Data'!CJ104</f>
        <v>0</v>
      </c>
      <c r="K104" s="6">
        <f t="shared" si="34"/>
        <v>475930.57328307</v>
      </c>
      <c r="L104" s="6">
        <f t="shared" si="35"/>
        <v>756768.51221284387</v>
      </c>
      <c r="M104" s="6">
        <f t="shared" si="36"/>
        <v>10445590.485508041</v>
      </c>
      <c r="N104" s="6">
        <f t="shared" si="37"/>
        <v>-511873.89366381831</v>
      </c>
      <c r="O104" s="6">
        <f t="shared" si="38"/>
        <v>0</v>
      </c>
      <c r="P104" s="6">
        <f t="shared" si="29"/>
        <v>0</v>
      </c>
      <c r="Q104" s="6">
        <f t="shared" si="39"/>
        <v>11166415.677340137</v>
      </c>
      <c r="R104" s="6">
        <f t="shared" si="40"/>
        <v>274993.9948003646</v>
      </c>
      <c r="S104" s="15">
        <f t="shared" si="41"/>
        <v>2.5248677612144266E-2</v>
      </c>
    </row>
    <row r="105" spans="1:19">
      <c r="A105" s="245">
        <v>44044</v>
      </c>
      <c r="B105">
        <f t="shared" si="32"/>
        <v>8</v>
      </c>
      <c r="C105">
        <f t="shared" si="33"/>
        <v>2020</v>
      </c>
      <c r="D105" s="6">
        <v>11061617.863339772</v>
      </c>
      <c r="E105">
        <v>149</v>
      </c>
      <c r="F105">
        <v>31</v>
      </c>
      <c r="G105">
        <f>'Monthly Data'!BN105</f>
        <v>104</v>
      </c>
      <c r="H105">
        <v>0</v>
      </c>
      <c r="I105">
        <f>'Monthly Data'!CJ105</f>
        <v>0</v>
      </c>
      <c r="K105" s="6">
        <f t="shared" si="34"/>
        <v>475930.57328307</v>
      </c>
      <c r="L105" s="6">
        <f t="shared" si="35"/>
        <v>509988.73052787775</v>
      </c>
      <c r="M105" s="6">
        <f t="shared" si="36"/>
        <v>10445590.485508041</v>
      </c>
      <c r="N105" s="6">
        <f t="shared" si="37"/>
        <v>-516843.5431168651</v>
      </c>
      <c r="O105" s="6">
        <f t="shared" si="38"/>
        <v>0</v>
      </c>
      <c r="P105" s="6">
        <f t="shared" si="29"/>
        <v>0</v>
      </c>
      <c r="Q105" s="6">
        <f t="shared" si="39"/>
        <v>10914666.246202124</v>
      </c>
      <c r="R105" s="6">
        <f t="shared" si="40"/>
        <v>-146951.61713764817</v>
      </c>
      <c r="S105" s="15">
        <f t="shared" si="41"/>
        <v>1.3284821348301385E-2</v>
      </c>
    </row>
    <row r="106" spans="1:19">
      <c r="A106" s="245">
        <v>44075</v>
      </c>
      <c r="B106">
        <f t="shared" si="32"/>
        <v>9</v>
      </c>
      <c r="C106">
        <f t="shared" si="33"/>
        <v>2020</v>
      </c>
      <c r="D106" s="6">
        <v>10891850.550339771</v>
      </c>
      <c r="E106">
        <v>45.5</v>
      </c>
      <c r="F106">
        <v>30</v>
      </c>
      <c r="G106">
        <f>'Monthly Data'!BN106</f>
        <v>105</v>
      </c>
      <c r="H106">
        <v>0</v>
      </c>
      <c r="I106">
        <f>'Monthly Data'!CJ106</f>
        <v>0</v>
      </c>
      <c r="K106" s="6">
        <f t="shared" si="34"/>
        <v>475930.57328307</v>
      </c>
      <c r="L106" s="6">
        <f t="shared" si="35"/>
        <v>155734.81368468751</v>
      </c>
      <c r="M106" s="6">
        <f t="shared" si="36"/>
        <v>10108635.953717459</v>
      </c>
      <c r="N106" s="6">
        <f t="shared" si="37"/>
        <v>-521813.19256991189</v>
      </c>
      <c r="O106" s="6">
        <f t="shared" si="38"/>
        <v>0</v>
      </c>
      <c r="P106" s="6">
        <f t="shared" si="29"/>
        <v>0</v>
      </c>
      <c r="Q106" s="6">
        <f t="shared" si="39"/>
        <v>10218488.148115305</v>
      </c>
      <c r="R106" s="6">
        <f t="shared" si="40"/>
        <v>-673362.4022244662</v>
      </c>
      <c r="S106" s="15">
        <f t="shared" si="41"/>
        <v>6.1822589202113191E-2</v>
      </c>
    </row>
    <row r="107" spans="1:19">
      <c r="A107" s="245">
        <v>44105</v>
      </c>
      <c r="B107">
        <f t="shared" si="32"/>
        <v>10</v>
      </c>
      <c r="C107">
        <f t="shared" si="33"/>
        <v>2020</v>
      </c>
      <c r="D107" s="6">
        <v>9746265.9039397743</v>
      </c>
      <c r="E107">
        <v>0.60000000000000142</v>
      </c>
      <c r="F107">
        <v>31</v>
      </c>
      <c r="G107">
        <f>'Monthly Data'!BN107</f>
        <v>106</v>
      </c>
      <c r="H107">
        <v>0</v>
      </c>
      <c r="I107">
        <f>'Monthly Data'!CJ107</f>
        <v>0</v>
      </c>
      <c r="K107" s="6">
        <f t="shared" si="34"/>
        <v>475930.57328307</v>
      </c>
      <c r="L107" s="6">
        <f t="shared" si="35"/>
        <v>2053.645894743137</v>
      </c>
      <c r="M107" s="6">
        <f t="shared" si="36"/>
        <v>10445590.485508041</v>
      </c>
      <c r="N107" s="6">
        <f t="shared" si="37"/>
        <v>-526782.84202295868</v>
      </c>
      <c r="O107" s="6">
        <f t="shared" si="38"/>
        <v>0</v>
      </c>
      <c r="P107" s="6">
        <f t="shared" si="29"/>
        <v>0</v>
      </c>
      <c r="Q107" s="6">
        <f t="shared" si="39"/>
        <v>10396791.862662895</v>
      </c>
      <c r="R107" s="6">
        <f t="shared" si="40"/>
        <v>650525.95872312039</v>
      </c>
      <c r="S107" s="15">
        <f t="shared" si="41"/>
        <v>6.6746173881851056E-2</v>
      </c>
    </row>
    <row r="108" spans="1:19">
      <c r="A108" s="245">
        <v>44136</v>
      </c>
      <c r="B108">
        <f t="shared" si="32"/>
        <v>11</v>
      </c>
      <c r="C108">
        <f t="shared" si="33"/>
        <v>2020</v>
      </c>
      <c r="D108" s="6">
        <v>10239737.399539772</v>
      </c>
      <c r="E108">
        <v>3.4000000000000021</v>
      </c>
      <c r="F108">
        <v>30</v>
      </c>
      <c r="G108">
        <f>'Monthly Data'!BN108</f>
        <v>107</v>
      </c>
      <c r="H108">
        <v>0</v>
      </c>
      <c r="I108">
        <f>'Monthly Data'!CJ108</f>
        <v>0</v>
      </c>
      <c r="K108" s="6">
        <f t="shared" si="34"/>
        <v>475930.57328307</v>
      </c>
      <c r="L108" s="6">
        <f t="shared" si="35"/>
        <v>11637.326736877756</v>
      </c>
      <c r="M108" s="6">
        <f t="shared" si="36"/>
        <v>10108635.953717459</v>
      </c>
      <c r="N108" s="6">
        <f t="shared" si="37"/>
        <v>-531752.49147600541</v>
      </c>
      <c r="O108" s="6">
        <f t="shared" si="38"/>
        <v>0</v>
      </c>
      <c r="P108" s="6">
        <f t="shared" si="29"/>
        <v>0</v>
      </c>
      <c r="Q108" s="6">
        <f t="shared" si="39"/>
        <v>10064451.362261401</v>
      </c>
      <c r="R108" s="6">
        <f t="shared" si="40"/>
        <v>-175286.03727837093</v>
      </c>
      <c r="S108" s="15">
        <f t="shared" si="41"/>
        <v>1.7118216067362156E-2</v>
      </c>
    </row>
    <row r="109" spans="1:19">
      <c r="A109" s="245">
        <v>44166</v>
      </c>
      <c r="B109">
        <f t="shared" si="32"/>
        <v>12</v>
      </c>
      <c r="C109">
        <f t="shared" si="33"/>
        <v>2020</v>
      </c>
      <c r="D109" s="6">
        <v>9934456.7935397737</v>
      </c>
      <c r="E109">
        <v>0</v>
      </c>
      <c r="F109">
        <v>31</v>
      </c>
      <c r="G109">
        <f>'Monthly Data'!BN109</f>
        <v>108</v>
      </c>
      <c r="H109">
        <v>1</v>
      </c>
      <c r="I109">
        <f>'Monthly Data'!CJ109</f>
        <v>0</v>
      </c>
      <c r="K109" s="6">
        <f t="shared" si="34"/>
        <v>475930.57328307</v>
      </c>
      <c r="L109" s="6">
        <f t="shared" si="35"/>
        <v>0</v>
      </c>
      <c r="M109" s="6">
        <f t="shared" si="36"/>
        <v>10445590.485508041</v>
      </c>
      <c r="N109" s="6">
        <f t="shared" si="37"/>
        <v>-536722.14092905226</v>
      </c>
      <c r="O109" s="6">
        <f t="shared" si="38"/>
        <v>-634211.854533192</v>
      </c>
      <c r="P109" s="6">
        <f t="shared" si="29"/>
        <v>0</v>
      </c>
      <c r="Q109" s="6">
        <f t="shared" si="39"/>
        <v>9750587.0633288678</v>
      </c>
      <c r="R109" s="6">
        <f t="shared" si="40"/>
        <v>-183869.73021090589</v>
      </c>
      <c r="S109" s="15">
        <f t="shared" si="41"/>
        <v>1.8508282237482132E-2</v>
      </c>
    </row>
    <row r="110" spans="1:19">
      <c r="A110" s="245">
        <v>44197</v>
      </c>
      <c r="B110">
        <f t="shared" si="32"/>
        <v>1</v>
      </c>
      <c r="C110">
        <f t="shared" si="33"/>
        <v>2021</v>
      </c>
      <c r="D110" s="6">
        <v>10225533.054578267</v>
      </c>
      <c r="E110">
        <v>0</v>
      </c>
      <c r="F110">
        <v>31</v>
      </c>
      <c r="G110">
        <f>'Monthly Data'!BN110</f>
        <v>109</v>
      </c>
      <c r="H110">
        <v>0</v>
      </c>
      <c r="I110">
        <f>'Monthly Data'!CJ110</f>
        <v>0</v>
      </c>
      <c r="K110" s="6">
        <f t="shared" si="34"/>
        <v>475930.57328307</v>
      </c>
      <c r="L110" s="6">
        <f t="shared" si="35"/>
        <v>0</v>
      </c>
      <c r="M110" s="6">
        <f t="shared" si="36"/>
        <v>10445590.485508041</v>
      </c>
      <c r="N110" s="6">
        <f t="shared" si="37"/>
        <v>-541691.79038209899</v>
      </c>
      <c r="O110" s="6">
        <f t="shared" si="38"/>
        <v>0</v>
      </c>
      <c r="P110" s="6">
        <f t="shared" si="29"/>
        <v>0</v>
      </c>
      <c r="Q110" s="6">
        <f t="shared" si="39"/>
        <v>10379829.268409014</v>
      </c>
      <c r="R110" s="6">
        <f t="shared" si="40"/>
        <v>154296.21383074671</v>
      </c>
      <c r="S110" s="15">
        <f t="shared" si="41"/>
        <v>1.5089307619191923E-2</v>
      </c>
    </row>
    <row r="111" spans="1:19">
      <c r="A111" s="245">
        <v>44228</v>
      </c>
      <c r="B111">
        <f t="shared" si="32"/>
        <v>2</v>
      </c>
      <c r="C111">
        <f t="shared" si="33"/>
        <v>2021</v>
      </c>
      <c r="D111" s="6">
        <v>9585516.4505782686</v>
      </c>
      <c r="E111">
        <v>0</v>
      </c>
      <c r="F111">
        <v>28</v>
      </c>
      <c r="G111">
        <f>'Monthly Data'!BN111</f>
        <v>110</v>
      </c>
      <c r="H111">
        <v>0</v>
      </c>
      <c r="I111">
        <f>'Monthly Data'!CJ111</f>
        <v>0</v>
      </c>
      <c r="K111" s="6">
        <f t="shared" si="34"/>
        <v>475930.57328307</v>
      </c>
      <c r="L111" s="6">
        <f t="shared" si="35"/>
        <v>0</v>
      </c>
      <c r="M111" s="6">
        <f t="shared" si="36"/>
        <v>9434726.8901362959</v>
      </c>
      <c r="N111" s="6">
        <f t="shared" si="37"/>
        <v>-546661.43983514584</v>
      </c>
      <c r="O111" s="6">
        <f t="shared" si="38"/>
        <v>0</v>
      </c>
      <c r="P111" s="6">
        <f t="shared" si="29"/>
        <v>0</v>
      </c>
      <c r="Q111" s="6">
        <f t="shared" si="39"/>
        <v>9363996.0235842206</v>
      </c>
      <c r="R111" s="6">
        <f t="shared" si="40"/>
        <v>-221520.42699404806</v>
      </c>
      <c r="S111" s="15">
        <f t="shared" si="41"/>
        <v>2.3109910471301138E-2</v>
      </c>
    </row>
    <row r="112" spans="1:19">
      <c r="A112" s="245">
        <v>44256</v>
      </c>
      <c r="B112">
        <f t="shared" si="32"/>
        <v>3</v>
      </c>
      <c r="C112">
        <f t="shared" si="33"/>
        <v>2021</v>
      </c>
      <c r="D112" s="6">
        <v>10826960.10337827</v>
      </c>
      <c r="E112">
        <v>0.19999999999999929</v>
      </c>
      <c r="F112">
        <v>31</v>
      </c>
      <c r="G112">
        <f>'Monthly Data'!BN112</f>
        <v>111</v>
      </c>
      <c r="H112">
        <v>0</v>
      </c>
      <c r="I112">
        <f>'Monthly Data'!CJ112</f>
        <v>0</v>
      </c>
      <c r="K112" s="6">
        <f t="shared" si="34"/>
        <v>475930.57328307</v>
      </c>
      <c r="L112" s="6">
        <f t="shared" si="35"/>
        <v>684.5486315810416</v>
      </c>
      <c r="M112" s="6">
        <f t="shared" si="36"/>
        <v>10445590.485508041</v>
      </c>
      <c r="N112" s="6">
        <f t="shared" si="37"/>
        <v>-551631.08928819257</v>
      </c>
      <c r="O112" s="6">
        <f t="shared" si="38"/>
        <v>0</v>
      </c>
      <c r="P112" s="6">
        <f t="shared" si="29"/>
        <v>0</v>
      </c>
      <c r="Q112" s="6">
        <f t="shared" si="39"/>
        <v>10370574.518134501</v>
      </c>
      <c r="R112" s="6">
        <f t="shared" si="40"/>
        <v>-456385.58524376899</v>
      </c>
      <c r="S112" s="15">
        <f t="shared" si="41"/>
        <v>4.2152698530898418E-2</v>
      </c>
    </row>
    <row r="113" spans="1:19">
      <c r="A113" s="245">
        <v>44287</v>
      </c>
      <c r="B113">
        <f t="shared" si="32"/>
        <v>4</v>
      </c>
      <c r="C113">
        <f t="shared" si="33"/>
        <v>2021</v>
      </c>
      <c r="D113" s="6">
        <v>10716607.466178268</v>
      </c>
      <c r="E113">
        <v>5.6000000000000014</v>
      </c>
      <c r="F113">
        <v>30</v>
      </c>
      <c r="G113">
        <f>'Monthly Data'!BN113</f>
        <v>112</v>
      </c>
      <c r="H113">
        <v>0</v>
      </c>
      <c r="I113">
        <f>'Monthly Data'!CJ113</f>
        <v>0</v>
      </c>
      <c r="K113" s="6">
        <f t="shared" si="34"/>
        <v>475930.57328307</v>
      </c>
      <c r="L113" s="6">
        <f t="shared" si="35"/>
        <v>19167.361684269235</v>
      </c>
      <c r="M113" s="6">
        <f t="shared" si="36"/>
        <v>10108635.953717459</v>
      </c>
      <c r="N113" s="6">
        <f t="shared" si="37"/>
        <v>-556600.7387412393</v>
      </c>
      <c r="O113" s="6">
        <f t="shared" si="38"/>
        <v>0</v>
      </c>
      <c r="P113" s="6">
        <f t="shared" si="29"/>
        <v>0</v>
      </c>
      <c r="Q113" s="6">
        <f t="shared" si="39"/>
        <v>10047133.149943558</v>
      </c>
      <c r="R113" s="6">
        <f t="shared" si="40"/>
        <v>-669474.31623470969</v>
      </c>
      <c r="S113" s="15">
        <f t="shared" si="41"/>
        <v>6.2470732304750178E-2</v>
      </c>
    </row>
    <row r="114" spans="1:19">
      <c r="A114" s="245">
        <v>44317</v>
      </c>
      <c r="B114">
        <f t="shared" si="32"/>
        <v>5</v>
      </c>
      <c r="C114">
        <f t="shared" si="33"/>
        <v>2021</v>
      </c>
      <c r="D114" s="6">
        <v>11173486.788578268</v>
      </c>
      <c r="E114">
        <v>40.6</v>
      </c>
      <c r="F114">
        <v>31</v>
      </c>
      <c r="G114">
        <f>'Monthly Data'!BN114</f>
        <v>113</v>
      </c>
      <c r="H114">
        <v>0</v>
      </c>
      <c r="I114">
        <f>'Monthly Data'!CJ114</f>
        <v>0</v>
      </c>
      <c r="K114" s="6">
        <f t="shared" si="34"/>
        <v>475930.57328307</v>
      </c>
      <c r="L114" s="6">
        <f t="shared" si="35"/>
        <v>138963.37221095193</v>
      </c>
      <c r="M114" s="6">
        <f t="shared" si="36"/>
        <v>10445590.485508041</v>
      </c>
      <c r="N114" s="6">
        <f t="shared" si="37"/>
        <v>-561570.38819428615</v>
      </c>
      <c r="O114" s="6">
        <f t="shared" si="38"/>
        <v>0</v>
      </c>
      <c r="P114" s="6">
        <f t="shared" si="29"/>
        <v>0</v>
      </c>
      <c r="Q114" s="6">
        <f t="shared" si="39"/>
        <v>10498914.042807778</v>
      </c>
      <c r="R114" s="6">
        <f t="shared" si="40"/>
        <v>-674572.7457704898</v>
      </c>
      <c r="S114" s="15">
        <f t="shared" si="41"/>
        <v>6.037262660569391E-2</v>
      </c>
    </row>
    <row r="115" spans="1:19">
      <c r="A115" s="245">
        <v>44348</v>
      </c>
      <c r="B115">
        <f t="shared" si="32"/>
        <v>6</v>
      </c>
      <c r="C115">
        <f t="shared" si="33"/>
        <v>2021</v>
      </c>
      <c r="D115" s="6">
        <v>11300948.314578269</v>
      </c>
      <c r="E115">
        <v>153.60000000000002</v>
      </c>
      <c r="F115">
        <v>30</v>
      </c>
      <c r="G115">
        <f>'Monthly Data'!BN115</f>
        <v>114</v>
      </c>
      <c r="H115">
        <v>0</v>
      </c>
      <c r="I115">
        <f>'Monthly Data'!CJ115</f>
        <v>0</v>
      </c>
      <c r="K115" s="6">
        <f t="shared" si="34"/>
        <v>475930.57328307</v>
      </c>
      <c r="L115" s="6">
        <f t="shared" si="35"/>
        <v>525733.3490542419</v>
      </c>
      <c r="M115" s="6">
        <f t="shared" si="36"/>
        <v>10108635.953717459</v>
      </c>
      <c r="N115" s="6">
        <f t="shared" si="37"/>
        <v>-566540.03764733288</v>
      </c>
      <c r="O115" s="6">
        <f t="shared" si="38"/>
        <v>0</v>
      </c>
      <c r="P115" s="6">
        <f t="shared" si="29"/>
        <v>0</v>
      </c>
      <c r="Q115" s="6">
        <f t="shared" si="39"/>
        <v>10543759.838407438</v>
      </c>
      <c r="R115" s="6">
        <f t="shared" si="40"/>
        <v>-757188.47617083043</v>
      </c>
      <c r="S115" s="15">
        <f t="shared" si="41"/>
        <v>6.7002206814277196E-2</v>
      </c>
    </row>
    <row r="116" spans="1:19">
      <c r="A116" s="245">
        <v>44378</v>
      </c>
      <c r="B116">
        <f t="shared" si="32"/>
        <v>7</v>
      </c>
      <c r="C116">
        <f t="shared" si="33"/>
        <v>2021</v>
      </c>
      <c r="D116" s="6">
        <v>11077347.219178267</v>
      </c>
      <c r="E116">
        <v>150.49999999999997</v>
      </c>
      <c r="F116">
        <v>31</v>
      </c>
      <c r="G116">
        <f>'Monthly Data'!BN116</f>
        <v>115</v>
      </c>
      <c r="H116">
        <v>0</v>
      </c>
      <c r="I116">
        <f>'Monthly Data'!CJ116</f>
        <v>0</v>
      </c>
      <c r="K116" s="6">
        <f t="shared" si="34"/>
        <v>475930.57328307</v>
      </c>
      <c r="L116" s="6">
        <f t="shared" si="35"/>
        <v>515122.84526473552</v>
      </c>
      <c r="M116" s="6">
        <f t="shared" si="36"/>
        <v>10445590.485508041</v>
      </c>
      <c r="N116" s="6">
        <f t="shared" si="37"/>
        <v>-571509.68710037973</v>
      </c>
      <c r="O116" s="6">
        <f t="shared" si="38"/>
        <v>0</v>
      </c>
      <c r="P116" s="6">
        <f t="shared" si="29"/>
        <v>0</v>
      </c>
      <c r="Q116" s="6">
        <f t="shared" si="39"/>
        <v>10865134.216955468</v>
      </c>
      <c r="R116" s="6">
        <f t="shared" si="40"/>
        <v>-212213.00222279876</v>
      </c>
      <c r="S116" s="15">
        <f t="shared" si="41"/>
        <v>1.9157384708081853E-2</v>
      </c>
    </row>
    <row r="117" spans="1:19">
      <c r="A117" s="245">
        <v>44409</v>
      </c>
      <c r="B117">
        <f t="shared" si="32"/>
        <v>8</v>
      </c>
      <c r="C117">
        <f t="shared" si="33"/>
        <v>2021</v>
      </c>
      <c r="D117" s="6">
        <v>10701359.111378267</v>
      </c>
      <c r="E117">
        <v>189.7</v>
      </c>
      <c r="F117">
        <v>31</v>
      </c>
      <c r="G117">
        <f>'Monthly Data'!BN117</f>
        <v>116</v>
      </c>
      <c r="H117">
        <v>0</v>
      </c>
      <c r="I117">
        <f>'Monthly Data'!CJ117</f>
        <v>0</v>
      </c>
      <c r="K117" s="6">
        <f t="shared" si="34"/>
        <v>475930.57328307</v>
      </c>
      <c r="L117" s="6">
        <f t="shared" si="35"/>
        <v>649294.37705462018</v>
      </c>
      <c r="M117" s="6">
        <f t="shared" si="36"/>
        <v>10445590.485508041</v>
      </c>
      <c r="N117" s="6">
        <f t="shared" si="37"/>
        <v>-576479.33655342646</v>
      </c>
      <c r="O117" s="6">
        <f t="shared" si="38"/>
        <v>0</v>
      </c>
      <c r="P117" s="6">
        <f t="shared" si="29"/>
        <v>0</v>
      </c>
      <c r="Q117" s="6">
        <f t="shared" si="39"/>
        <v>10994336.099292306</v>
      </c>
      <c r="R117" s="6">
        <f t="shared" si="40"/>
        <v>292976.98791403882</v>
      </c>
      <c r="S117" s="15">
        <f t="shared" si="41"/>
        <v>2.7377549418235086E-2</v>
      </c>
    </row>
    <row r="118" spans="1:19">
      <c r="A118" s="245">
        <v>44440</v>
      </c>
      <c r="B118">
        <f t="shared" si="32"/>
        <v>9</v>
      </c>
      <c r="C118">
        <f t="shared" si="33"/>
        <v>2021</v>
      </c>
      <c r="D118" s="6">
        <v>9370755.6913782656</v>
      </c>
      <c r="E118">
        <v>65.5</v>
      </c>
      <c r="F118">
        <v>30</v>
      </c>
      <c r="G118">
        <f>'Monthly Data'!BN118</f>
        <v>117</v>
      </c>
      <c r="H118">
        <v>0</v>
      </c>
      <c r="I118">
        <f>'Monthly Data'!CJ118</f>
        <v>0</v>
      </c>
      <c r="K118" s="6">
        <f t="shared" si="34"/>
        <v>475930.57328307</v>
      </c>
      <c r="L118" s="6">
        <f t="shared" si="35"/>
        <v>224189.6768427919</v>
      </c>
      <c r="M118" s="6">
        <f t="shared" si="36"/>
        <v>10108635.953717459</v>
      </c>
      <c r="N118" s="6">
        <f t="shared" si="37"/>
        <v>-581448.98600647319</v>
      </c>
      <c r="O118" s="6">
        <f t="shared" si="38"/>
        <v>0</v>
      </c>
      <c r="P118" s="6">
        <f t="shared" si="29"/>
        <v>0</v>
      </c>
      <c r="Q118" s="6">
        <f t="shared" si="39"/>
        <v>10227307.217836849</v>
      </c>
      <c r="R118" s="6">
        <f t="shared" si="40"/>
        <v>856551.52645858377</v>
      </c>
      <c r="S118" s="15">
        <f t="shared" si="41"/>
        <v>9.1406878449159609E-2</v>
      </c>
    </row>
    <row r="119" spans="1:19">
      <c r="A119" s="245">
        <v>44470</v>
      </c>
      <c r="B119">
        <f t="shared" si="32"/>
        <v>10</v>
      </c>
      <c r="C119">
        <f t="shared" si="33"/>
        <v>2021</v>
      </c>
      <c r="D119" s="6">
        <v>10234296.665178269</v>
      </c>
      <c r="E119">
        <v>46.300000000000004</v>
      </c>
      <c r="F119">
        <v>31</v>
      </c>
      <c r="G119">
        <f>'Monthly Data'!BN119</f>
        <v>118</v>
      </c>
      <c r="H119">
        <v>0</v>
      </c>
      <c r="I119">
        <f>'Monthly Data'!CJ119</f>
        <v>0</v>
      </c>
      <c r="K119" s="6">
        <f t="shared" si="34"/>
        <v>475930.57328307</v>
      </c>
      <c r="L119" s="6">
        <f t="shared" si="35"/>
        <v>158473.00821101171</v>
      </c>
      <c r="M119" s="6">
        <f t="shared" si="36"/>
        <v>10445590.485508041</v>
      </c>
      <c r="N119" s="6">
        <f t="shared" si="37"/>
        <v>-586418.63545952004</v>
      </c>
      <c r="O119" s="6">
        <f t="shared" si="38"/>
        <v>0</v>
      </c>
      <c r="P119" s="6">
        <f t="shared" si="29"/>
        <v>0</v>
      </c>
      <c r="Q119" s="6">
        <f t="shared" si="39"/>
        <v>10493575.431542603</v>
      </c>
      <c r="R119" s="6">
        <f t="shared" si="40"/>
        <v>259278.76636433415</v>
      </c>
      <c r="S119" s="15">
        <f t="shared" si="41"/>
        <v>2.5334302380203459E-2</v>
      </c>
    </row>
    <row r="120" spans="1:19">
      <c r="A120" s="245">
        <v>44501</v>
      </c>
      <c r="B120">
        <f t="shared" si="32"/>
        <v>11</v>
      </c>
      <c r="C120">
        <f t="shared" si="33"/>
        <v>2021</v>
      </c>
      <c r="D120" s="6">
        <v>10729553.920578271</v>
      </c>
      <c r="E120">
        <v>0</v>
      </c>
      <c r="F120">
        <v>30</v>
      </c>
      <c r="G120">
        <f>'Monthly Data'!BN120</f>
        <v>119</v>
      </c>
      <c r="H120">
        <v>0</v>
      </c>
      <c r="I120">
        <f>'Monthly Data'!CJ120</f>
        <v>0</v>
      </c>
      <c r="K120" s="6">
        <f t="shared" si="34"/>
        <v>475930.57328307</v>
      </c>
      <c r="L120" s="6">
        <f t="shared" si="35"/>
        <v>0</v>
      </c>
      <c r="M120" s="6">
        <f t="shared" si="36"/>
        <v>10108635.953717459</v>
      </c>
      <c r="N120" s="6">
        <f t="shared" si="37"/>
        <v>-591388.28491256677</v>
      </c>
      <c r="O120" s="6">
        <f t="shared" si="38"/>
        <v>0</v>
      </c>
      <c r="P120" s="6">
        <f t="shared" si="29"/>
        <v>0</v>
      </c>
      <c r="Q120" s="6">
        <f t="shared" si="39"/>
        <v>9993178.2420879621</v>
      </c>
      <c r="R120" s="6">
        <f t="shared" si="40"/>
        <v>-736375.67849030904</v>
      </c>
      <c r="S120" s="15">
        <f t="shared" si="41"/>
        <v>6.8630595823560764E-2</v>
      </c>
    </row>
    <row r="121" spans="1:19">
      <c r="A121" s="245">
        <v>44531</v>
      </c>
      <c r="B121">
        <f t="shared" si="32"/>
        <v>12</v>
      </c>
      <c r="C121">
        <f t="shared" si="33"/>
        <v>2021</v>
      </c>
      <c r="D121" s="6">
        <v>9539547.4231782705</v>
      </c>
      <c r="E121">
        <v>0</v>
      </c>
      <c r="F121">
        <v>31</v>
      </c>
      <c r="G121">
        <f>'Monthly Data'!BN121</f>
        <v>120</v>
      </c>
      <c r="H121">
        <v>1</v>
      </c>
      <c r="I121">
        <f>'Monthly Data'!CJ121</f>
        <v>0</v>
      </c>
      <c r="K121" s="6">
        <f t="shared" si="34"/>
        <v>475930.57328307</v>
      </c>
      <c r="L121" s="6">
        <f t="shared" si="35"/>
        <v>0</v>
      </c>
      <c r="M121" s="6">
        <f t="shared" si="36"/>
        <v>10445590.485508041</v>
      </c>
      <c r="N121" s="6">
        <f t="shared" si="37"/>
        <v>-596357.93436561362</v>
      </c>
      <c r="O121" s="6">
        <f t="shared" si="38"/>
        <v>-634211.854533192</v>
      </c>
      <c r="P121" s="6">
        <f t="shared" si="29"/>
        <v>0</v>
      </c>
      <c r="Q121" s="6">
        <f t="shared" si="39"/>
        <v>9690951.269892307</v>
      </c>
      <c r="R121" s="6">
        <f t="shared" si="40"/>
        <v>151403.84671403654</v>
      </c>
      <c r="S121" s="15">
        <f t="shared" si="41"/>
        <v>1.5871177111208661E-2</v>
      </c>
    </row>
    <row r="122" spans="1:19">
      <c r="A122" s="245">
        <v>44562</v>
      </c>
      <c r="B122">
        <f t="shared" ref="B122:B133" si="42">MONTH(A122)</f>
        <v>1</v>
      </c>
      <c r="C122">
        <f t="shared" ref="C122:C133" si="43">YEAR(A122)</f>
        <v>2022</v>
      </c>
      <c r="D122" s="6">
        <f>'Monthly Data'!S122</f>
        <v>9879708.5319566317</v>
      </c>
      <c r="E122">
        <f>'Monthly Data'!AN122</f>
        <v>0</v>
      </c>
      <c r="F122">
        <f>'Monthly Data'!CF122</f>
        <v>31</v>
      </c>
      <c r="G122">
        <f>'Monthly Data'!BN122</f>
        <v>121</v>
      </c>
      <c r="H122">
        <f>H110</f>
        <v>0</v>
      </c>
      <c r="I122">
        <f>'Monthly Data'!CJ122</f>
        <v>0</v>
      </c>
      <c r="K122" s="6">
        <f t="shared" si="34"/>
        <v>475930.57328307</v>
      </c>
      <c r="L122" s="6">
        <f t="shared" si="35"/>
        <v>0</v>
      </c>
      <c r="M122" s="6">
        <f t="shared" si="36"/>
        <v>10445590.485508041</v>
      </c>
      <c r="N122" s="6">
        <f t="shared" si="37"/>
        <v>-601327.58381866035</v>
      </c>
      <c r="O122" s="6">
        <f t="shared" si="38"/>
        <v>0</v>
      </c>
      <c r="P122" s="6">
        <f t="shared" si="29"/>
        <v>0</v>
      </c>
      <c r="Q122" s="6">
        <f t="shared" si="39"/>
        <v>10320193.474972451</v>
      </c>
      <c r="R122" s="6">
        <f t="shared" si="40"/>
        <v>440484.94301581942</v>
      </c>
      <c r="S122" s="15">
        <f t="shared" si="41"/>
        <v>4.4584811544899225E-2</v>
      </c>
    </row>
    <row r="123" spans="1:19">
      <c r="A123" s="245">
        <v>44593</v>
      </c>
      <c r="B123">
        <f t="shared" si="42"/>
        <v>2</v>
      </c>
      <c r="C123">
        <f t="shared" si="43"/>
        <v>2022</v>
      </c>
      <c r="D123" s="6">
        <f>'Monthly Data'!S123</f>
        <v>9211542.5319566317</v>
      </c>
      <c r="E123">
        <f>'Monthly Data'!AN123</f>
        <v>0</v>
      </c>
      <c r="F123">
        <f>'Monthly Data'!CF123</f>
        <v>28</v>
      </c>
      <c r="G123">
        <f>'Monthly Data'!BN123</f>
        <v>122</v>
      </c>
      <c r="H123">
        <f t="shared" ref="H123:H133" si="44">H111</f>
        <v>0</v>
      </c>
      <c r="I123">
        <f>'Monthly Data'!CJ123</f>
        <v>0</v>
      </c>
      <c r="K123" s="6">
        <f t="shared" si="34"/>
        <v>475930.57328307</v>
      </c>
      <c r="L123" s="6">
        <f t="shared" si="35"/>
        <v>0</v>
      </c>
      <c r="M123" s="6">
        <f t="shared" si="36"/>
        <v>9434726.8901362959</v>
      </c>
      <c r="N123" s="6">
        <f t="shared" si="37"/>
        <v>-606297.2332717072</v>
      </c>
      <c r="O123" s="6">
        <f t="shared" si="38"/>
        <v>0</v>
      </c>
      <c r="P123" s="6">
        <f t="shared" si="29"/>
        <v>0</v>
      </c>
      <c r="Q123" s="6">
        <f t="shared" si="39"/>
        <v>9304360.2301476598</v>
      </c>
      <c r="R123" s="6">
        <f t="shared" si="40"/>
        <v>92817.698191028088</v>
      </c>
      <c r="S123" s="15">
        <f t="shared" si="41"/>
        <v>1.0076238357367992E-2</v>
      </c>
    </row>
    <row r="124" spans="1:19">
      <c r="A124" s="245">
        <v>44621</v>
      </c>
      <c r="B124">
        <f t="shared" si="42"/>
        <v>3</v>
      </c>
      <c r="C124">
        <f t="shared" si="43"/>
        <v>2022</v>
      </c>
      <c r="D124" s="6">
        <f>'Monthly Data'!S124</f>
        <v>10438024.531956632</v>
      </c>
      <c r="E124">
        <f>'Monthly Data'!AN124</f>
        <v>0</v>
      </c>
      <c r="F124">
        <f>'Monthly Data'!CF124</f>
        <v>31</v>
      </c>
      <c r="G124">
        <f>'Monthly Data'!BN124</f>
        <v>123</v>
      </c>
      <c r="H124">
        <f t="shared" si="44"/>
        <v>0</v>
      </c>
      <c r="I124">
        <f>'Monthly Data'!CJ124</f>
        <v>0</v>
      </c>
      <c r="K124" s="6">
        <f t="shared" si="34"/>
        <v>475930.57328307</v>
      </c>
      <c r="L124" s="6">
        <f t="shared" si="35"/>
        <v>0</v>
      </c>
      <c r="M124" s="6">
        <f t="shared" si="36"/>
        <v>10445590.485508041</v>
      </c>
      <c r="N124" s="6">
        <f t="shared" si="37"/>
        <v>-611266.88272475393</v>
      </c>
      <c r="O124" s="6">
        <f t="shared" si="38"/>
        <v>0</v>
      </c>
      <c r="P124" s="6">
        <f t="shared" si="29"/>
        <v>0</v>
      </c>
      <c r="Q124" s="6">
        <f t="shared" si="39"/>
        <v>10310254.176066358</v>
      </c>
      <c r="R124" s="6">
        <f t="shared" si="40"/>
        <v>-127770.35589027405</v>
      </c>
      <c r="S124" s="15">
        <f t="shared" si="41"/>
        <v>1.2240856064200417E-2</v>
      </c>
    </row>
    <row r="125" spans="1:19">
      <c r="A125" s="245">
        <v>44652</v>
      </c>
      <c r="B125">
        <f t="shared" si="42"/>
        <v>4</v>
      </c>
      <c r="C125">
        <f t="shared" si="43"/>
        <v>2022</v>
      </c>
      <c r="D125" s="6">
        <f>'Monthly Data'!S125</f>
        <v>10050379.531956632</v>
      </c>
      <c r="E125">
        <f>'Monthly Data'!AN125</f>
        <v>3.1000000000000014</v>
      </c>
      <c r="F125">
        <f>'Monthly Data'!CF125</f>
        <v>30</v>
      </c>
      <c r="G125">
        <f>'Monthly Data'!BN125</f>
        <v>124</v>
      </c>
      <c r="H125">
        <f t="shared" si="44"/>
        <v>0</v>
      </c>
      <c r="I125">
        <f>'Monthly Data'!CJ125</f>
        <v>0</v>
      </c>
      <c r="K125" s="6">
        <f t="shared" si="34"/>
        <v>475930.57328307</v>
      </c>
      <c r="L125" s="6">
        <f t="shared" si="35"/>
        <v>10610.503789506187</v>
      </c>
      <c r="M125" s="6">
        <f t="shared" si="36"/>
        <v>10108635.953717459</v>
      </c>
      <c r="N125" s="6">
        <f t="shared" si="37"/>
        <v>-616236.53217780066</v>
      </c>
      <c r="O125" s="6">
        <f t="shared" si="38"/>
        <v>0</v>
      </c>
      <c r="P125" s="6">
        <f t="shared" si="29"/>
        <v>0</v>
      </c>
      <c r="Q125" s="6">
        <f t="shared" si="39"/>
        <v>9978940.4986122344</v>
      </c>
      <c r="R125" s="6">
        <f t="shared" si="40"/>
        <v>-71439.033344397321</v>
      </c>
      <c r="S125" s="15">
        <f t="shared" si="41"/>
        <v>7.108093094121133E-3</v>
      </c>
    </row>
    <row r="126" spans="1:19">
      <c r="A126" s="245">
        <v>44682</v>
      </c>
      <c r="B126">
        <f t="shared" si="42"/>
        <v>5</v>
      </c>
      <c r="C126">
        <f t="shared" si="43"/>
        <v>2022</v>
      </c>
      <c r="D126" s="6">
        <f>'Monthly Data'!S126</f>
        <v>10362341.531956632</v>
      </c>
      <c r="E126">
        <f>'Monthly Data'!AN126</f>
        <v>57.3</v>
      </c>
      <c r="F126">
        <f>'Monthly Data'!CF126</f>
        <v>31</v>
      </c>
      <c r="G126">
        <f>'Monthly Data'!BN126</f>
        <v>125</v>
      </c>
      <c r="H126">
        <f t="shared" si="44"/>
        <v>0</v>
      </c>
      <c r="I126">
        <f>'Monthly Data'!CJ126</f>
        <v>0</v>
      </c>
      <c r="K126" s="6">
        <f t="shared" si="34"/>
        <v>475930.57328307</v>
      </c>
      <c r="L126" s="6">
        <f t="shared" si="35"/>
        <v>196123.18294796909</v>
      </c>
      <c r="M126" s="6">
        <f t="shared" si="36"/>
        <v>10445590.485508041</v>
      </c>
      <c r="N126" s="6">
        <f t="shared" si="37"/>
        <v>-621206.18163084751</v>
      </c>
      <c r="O126" s="6">
        <f t="shared" si="38"/>
        <v>0</v>
      </c>
      <c r="P126" s="6">
        <f t="shared" si="29"/>
        <v>0</v>
      </c>
      <c r="Q126" s="6">
        <f t="shared" si="39"/>
        <v>10496438.060108233</v>
      </c>
      <c r="R126" s="6">
        <f t="shared" si="40"/>
        <v>134096.52815160155</v>
      </c>
      <c r="S126" s="15">
        <f t="shared" si="41"/>
        <v>1.2940755497978773E-2</v>
      </c>
    </row>
    <row r="127" spans="1:19">
      <c r="A127" s="245">
        <v>44713</v>
      </c>
      <c r="B127">
        <f t="shared" si="42"/>
        <v>6</v>
      </c>
      <c r="C127">
        <f t="shared" si="43"/>
        <v>2022</v>
      </c>
      <c r="D127" s="6">
        <f>'Monthly Data'!S127</f>
        <v>10285325.531956632</v>
      </c>
      <c r="E127">
        <f>'Monthly Data'!AN127</f>
        <v>96.5</v>
      </c>
      <c r="F127">
        <f>'Monthly Data'!CF127</f>
        <v>30</v>
      </c>
      <c r="G127">
        <f>'Monthly Data'!BN127</f>
        <v>126</v>
      </c>
      <c r="H127">
        <f t="shared" si="44"/>
        <v>0</v>
      </c>
      <c r="I127">
        <f>'Monthly Data'!CJ127</f>
        <v>0</v>
      </c>
      <c r="K127" s="6">
        <f t="shared" si="34"/>
        <v>475930.57328307</v>
      </c>
      <c r="L127" s="6">
        <f t="shared" si="35"/>
        <v>330294.71473785373</v>
      </c>
      <c r="M127" s="6">
        <f t="shared" si="36"/>
        <v>10108635.953717459</v>
      </c>
      <c r="N127" s="6">
        <f t="shared" si="37"/>
        <v>-626175.83108389424</v>
      </c>
      <c r="O127" s="6">
        <f t="shared" si="38"/>
        <v>0</v>
      </c>
      <c r="P127" s="6">
        <f t="shared" si="29"/>
        <v>0</v>
      </c>
      <c r="Q127" s="6">
        <f t="shared" si="39"/>
        <v>10288685.410654489</v>
      </c>
      <c r="R127" s="6">
        <f t="shared" si="40"/>
        <v>3359.8786978572607</v>
      </c>
      <c r="S127" s="15">
        <f t="shared" si="41"/>
        <v>3.266672199550784E-4</v>
      </c>
    </row>
    <row r="128" spans="1:19">
      <c r="A128" s="245">
        <v>44743</v>
      </c>
      <c r="B128">
        <f t="shared" si="42"/>
        <v>7</v>
      </c>
      <c r="C128">
        <f t="shared" si="43"/>
        <v>2022</v>
      </c>
      <c r="D128" s="6">
        <f>'Monthly Data'!S128</f>
        <v>10806717.531956632</v>
      </c>
      <c r="E128">
        <f>'Monthly Data'!AN128</f>
        <v>183.89999999999995</v>
      </c>
      <c r="F128">
        <f>'Monthly Data'!CF128</f>
        <v>31</v>
      </c>
      <c r="G128">
        <f>'Monthly Data'!BN128</f>
        <v>127</v>
      </c>
      <c r="H128">
        <f t="shared" si="44"/>
        <v>0</v>
      </c>
      <c r="I128">
        <f>'Monthly Data'!CJ128</f>
        <v>0</v>
      </c>
      <c r="K128" s="6">
        <f t="shared" si="34"/>
        <v>475930.57328307</v>
      </c>
      <c r="L128" s="6">
        <f t="shared" si="35"/>
        <v>629442.46673876978</v>
      </c>
      <c r="M128" s="6">
        <f t="shared" si="36"/>
        <v>10445590.485508041</v>
      </c>
      <c r="N128" s="6">
        <f t="shared" si="37"/>
        <v>-631145.48053694109</v>
      </c>
      <c r="O128" s="6">
        <f t="shared" si="38"/>
        <v>0</v>
      </c>
      <c r="P128" s="6">
        <f t="shared" si="29"/>
        <v>0</v>
      </c>
      <c r="Q128" s="6">
        <f t="shared" si="39"/>
        <v>10919818.044992941</v>
      </c>
      <c r="R128" s="6">
        <f t="shared" si="40"/>
        <v>113100.51303630881</v>
      </c>
      <c r="S128" s="15">
        <f t="shared" si="41"/>
        <v>1.0465760088746501E-2</v>
      </c>
    </row>
    <row r="129" spans="1:23">
      <c r="A129" s="245">
        <v>44774</v>
      </c>
      <c r="B129">
        <f t="shared" si="42"/>
        <v>8</v>
      </c>
      <c r="C129">
        <f t="shared" si="43"/>
        <v>2022</v>
      </c>
      <c r="D129" s="6">
        <f>'Monthly Data'!S129</f>
        <v>11542340.531956632</v>
      </c>
      <c r="E129">
        <f>'Monthly Data'!AN129</f>
        <v>167.99999999999997</v>
      </c>
      <c r="F129">
        <f>'Monthly Data'!CF129</f>
        <v>31</v>
      </c>
      <c r="G129">
        <f>'Monthly Data'!BN129</f>
        <v>128</v>
      </c>
      <c r="H129">
        <f t="shared" si="44"/>
        <v>0</v>
      </c>
      <c r="I129">
        <f>'Monthly Data'!CJ129</f>
        <v>0</v>
      </c>
      <c r="K129" s="6">
        <f t="shared" si="34"/>
        <v>475930.57328307</v>
      </c>
      <c r="L129" s="6">
        <f t="shared" si="35"/>
        <v>575020.85052807687</v>
      </c>
      <c r="M129" s="6">
        <f t="shared" si="36"/>
        <v>10445590.485508041</v>
      </c>
      <c r="N129" s="6">
        <f t="shared" si="37"/>
        <v>-636115.12998998782</v>
      </c>
      <c r="O129" s="6">
        <f t="shared" si="38"/>
        <v>0</v>
      </c>
      <c r="P129" s="6">
        <f t="shared" si="29"/>
        <v>0</v>
      </c>
      <c r="Q129" s="6">
        <f t="shared" si="39"/>
        <v>10860426.779329201</v>
      </c>
      <c r="R129" s="6">
        <f t="shared" si="40"/>
        <v>-681913.75262743048</v>
      </c>
      <c r="S129" s="15">
        <f t="shared" si="41"/>
        <v>5.90793306383098E-2</v>
      </c>
    </row>
    <row r="130" spans="1:23">
      <c r="A130" s="245">
        <v>44805</v>
      </c>
      <c r="B130">
        <f t="shared" si="42"/>
        <v>9</v>
      </c>
      <c r="C130">
        <f t="shared" si="43"/>
        <v>2022</v>
      </c>
      <c r="D130" s="6">
        <f>'Monthly Data'!S130</f>
        <v>10493087.531956632</v>
      </c>
      <c r="E130">
        <f>'Monthly Data'!AN130</f>
        <v>79.700000000000017</v>
      </c>
      <c r="F130">
        <f>'Monthly Data'!CF130</f>
        <v>30</v>
      </c>
      <c r="G130">
        <f>'Monthly Data'!BN130</f>
        <v>129</v>
      </c>
      <c r="H130">
        <f t="shared" si="44"/>
        <v>0</v>
      </c>
      <c r="I130">
        <f>'Monthly Data'!CJ130</f>
        <v>0</v>
      </c>
      <c r="K130" s="6">
        <f t="shared" si="34"/>
        <v>475930.57328307</v>
      </c>
      <c r="L130" s="6">
        <f t="shared" si="35"/>
        <v>272792.62968504609</v>
      </c>
      <c r="M130" s="6">
        <f t="shared" si="36"/>
        <v>10108635.953717459</v>
      </c>
      <c r="N130" s="6">
        <f t="shared" si="37"/>
        <v>-641084.77944303455</v>
      </c>
      <c r="O130" s="6">
        <f t="shared" si="38"/>
        <v>0</v>
      </c>
      <c r="P130" s="6">
        <f t="shared" si="29"/>
        <v>0</v>
      </c>
      <c r="Q130" s="6">
        <f t="shared" ref="Q130:Q133" si="45">SUM(K130:P130)</f>
        <v>10216274.377242541</v>
      </c>
      <c r="R130" s="6">
        <f t="shared" ref="R130:R133" si="46">Q130-D130</f>
        <v>-276813.15471409075</v>
      </c>
      <c r="S130" s="15">
        <f t="shared" si="41"/>
        <v>2.6380524690283774E-2</v>
      </c>
    </row>
    <row r="131" spans="1:23">
      <c r="A131" s="245">
        <v>44835</v>
      </c>
      <c r="B131">
        <f t="shared" si="42"/>
        <v>10</v>
      </c>
      <c r="C131">
        <f t="shared" si="43"/>
        <v>2022</v>
      </c>
      <c r="D131" s="6">
        <f>'Monthly Data'!S131</f>
        <v>10439387.531956632</v>
      </c>
      <c r="E131">
        <f>'Monthly Data'!AN131</f>
        <v>7.0000000000000036</v>
      </c>
      <c r="F131">
        <f>'Monthly Data'!CF131</f>
        <v>31</v>
      </c>
      <c r="G131">
        <f>'Monthly Data'!BN131</f>
        <v>130</v>
      </c>
      <c r="H131">
        <f t="shared" si="44"/>
        <v>0</v>
      </c>
      <c r="I131">
        <f>'Monthly Data'!CJ131</f>
        <v>0</v>
      </c>
      <c r="K131" s="6">
        <f t="shared" si="34"/>
        <v>475930.57328307</v>
      </c>
      <c r="L131" s="6">
        <f t="shared" si="35"/>
        <v>23959.202105336553</v>
      </c>
      <c r="M131" s="6">
        <f t="shared" si="36"/>
        <v>10445590.485508041</v>
      </c>
      <c r="N131" s="6">
        <f t="shared" si="37"/>
        <v>-646054.4288960814</v>
      </c>
      <c r="O131" s="6">
        <f t="shared" si="38"/>
        <v>0</v>
      </c>
      <c r="P131" s="6">
        <f t="shared" ref="P131:P133" si="47">I131*$W$12</f>
        <v>0</v>
      </c>
      <c r="Q131" s="6">
        <f t="shared" si="45"/>
        <v>10299425.832000367</v>
      </c>
      <c r="R131" s="6">
        <f t="shared" si="46"/>
        <v>-139961.69995626435</v>
      </c>
      <c r="S131" s="15">
        <f t="shared" si="41"/>
        <v>1.3407079632576072E-2</v>
      </c>
    </row>
    <row r="132" spans="1:23">
      <c r="A132" s="245">
        <v>44866</v>
      </c>
      <c r="B132">
        <f t="shared" si="42"/>
        <v>11</v>
      </c>
      <c r="C132">
        <f t="shared" si="43"/>
        <v>2022</v>
      </c>
      <c r="D132" s="6">
        <f>'Monthly Data'!S132</f>
        <v>10008264.531956632</v>
      </c>
      <c r="E132">
        <f>'Monthly Data'!AN132</f>
        <v>2.8999999999999986</v>
      </c>
      <c r="F132">
        <f>'Monthly Data'!CF132</f>
        <v>30</v>
      </c>
      <c r="G132">
        <f>'Monthly Data'!BN132</f>
        <v>131</v>
      </c>
      <c r="H132">
        <f t="shared" si="44"/>
        <v>0</v>
      </c>
      <c r="I132">
        <f>'Monthly Data'!CJ132</f>
        <v>0</v>
      </c>
      <c r="K132" s="6">
        <f t="shared" si="34"/>
        <v>475930.57328307</v>
      </c>
      <c r="L132" s="6">
        <f t="shared" si="35"/>
        <v>9925.9551579251329</v>
      </c>
      <c r="M132" s="6">
        <f t="shared" si="36"/>
        <v>10108635.953717459</v>
      </c>
      <c r="N132" s="6">
        <f t="shared" si="37"/>
        <v>-651024.07834912813</v>
      </c>
      <c r="O132" s="6">
        <f t="shared" si="38"/>
        <v>0</v>
      </c>
      <c r="P132" s="6">
        <f t="shared" si="47"/>
        <v>0</v>
      </c>
      <c r="Q132" s="6">
        <f t="shared" si="45"/>
        <v>9943468.4038093258</v>
      </c>
      <c r="R132" s="6">
        <f t="shared" si="46"/>
        <v>-64796.128147305921</v>
      </c>
      <c r="S132" s="15">
        <f t="shared" si="41"/>
        <v>6.4742621400953491E-3</v>
      </c>
    </row>
    <row r="133" spans="1:23">
      <c r="A133" s="245">
        <v>44896</v>
      </c>
      <c r="B133">
        <f t="shared" si="42"/>
        <v>12</v>
      </c>
      <c r="C133">
        <f t="shared" si="43"/>
        <v>2022</v>
      </c>
      <c r="D133" s="6">
        <f>'Monthly Data'!S133</f>
        <v>9508018.5319566317</v>
      </c>
      <c r="E133">
        <f>'Monthly Data'!AN133</f>
        <v>0</v>
      </c>
      <c r="F133">
        <f>'Monthly Data'!CF133</f>
        <v>31</v>
      </c>
      <c r="G133">
        <f>'Monthly Data'!BN133</f>
        <v>132</v>
      </c>
      <c r="H133">
        <f t="shared" si="44"/>
        <v>1</v>
      </c>
      <c r="I133">
        <f>'Monthly Data'!CJ133</f>
        <v>0</v>
      </c>
      <c r="K133" s="6">
        <f t="shared" si="34"/>
        <v>475930.57328307</v>
      </c>
      <c r="L133" s="6">
        <f t="shared" si="35"/>
        <v>0</v>
      </c>
      <c r="M133" s="6">
        <f t="shared" si="36"/>
        <v>10445590.485508041</v>
      </c>
      <c r="N133" s="6">
        <f t="shared" si="37"/>
        <v>-655993.72780217498</v>
      </c>
      <c r="O133" s="6">
        <f t="shared" si="38"/>
        <v>-634211.854533192</v>
      </c>
      <c r="P133" s="6">
        <f t="shared" si="47"/>
        <v>0</v>
      </c>
      <c r="Q133" s="6">
        <f t="shared" si="45"/>
        <v>9631315.4764557462</v>
      </c>
      <c r="R133" s="6">
        <f t="shared" si="46"/>
        <v>123296.94449911453</v>
      </c>
      <c r="S133" s="15">
        <f t="shared" si="41"/>
        <v>1.2967680288454544E-2</v>
      </c>
    </row>
    <row r="134" spans="1:23">
      <c r="A134" s="20"/>
      <c r="S134" s="16">
        <f>AVERAGE(S2:S133)</f>
        <v>3.3448436736580919E-2</v>
      </c>
    </row>
    <row r="135" spans="1:23">
      <c r="A135" s="20"/>
      <c r="S135" s="16"/>
    </row>
    <row r="136" spans="1:23">
      <c r="A136" s="20"/>
    </row>
    <row r="137" spans="1:23">
      <c r="A137" s="20"/>
      <c r="U137">
        <v>1</v>
      </c>
      <c r="V137" s="6">
        <f t="shared" ref="V137:V148" si="48">SUMIF($B:$B,$U137,R:R)</f>
        <v>2442391.0216056574</v>
      </c>
      <c r="W137" s="15">
        <f t="shared" ref="W137:W148" si="49">SUMIF($B:$B,$U137,S:S)</f>
        <v>0.41284886009913824</v>
      </c>
    </row>
    <row r="138" spans="1:23">
      <c r="A138" s="20"/>
      <c r="U138">
        <v>2</v>
      </c>
      <c r="V138" s="6">
        <f t="shared" si="48"/>
        <v>1244721.5696046855</v>
      </c>
      <c r="W138" s="15">
        <f t="shared" si="49"/>
        <v>0.2844171521844665</v>
      </c>
    </row>
    <row r="139" spans="1:23">
      <c r="A139" s="20"/>
      <c r="U139">
        <v>3</v>
      </c>
      <c r="V139" s="6">
        <f t="shared" si="48"/>
        <v>-443946.37351588346</v>
      </c>
      <c r="W139" s="15">
        <f t="shared" si="49"/>
        <v>0.21805125863817582</v>
      </c>
    </row>
    <row r="140" spans="1:23">
      <c r="A140" s="20"/>
      <c r="U140">
        <v>4</v>
      </c>
      <c r="V140" s="6">
        <f t="shared" si="48"/>
        <v>1642827.6667337939</v>
      </c>
      <c r="W140" s="15">
        <f t="shared" si="49"/>
        <v>0.51643745604135527</v>
      </c>
    </row>
    <row r="141" spans="1:23">
      <c r="A141" s="20"/>
      <c r="U141">
        <v>5</v>
      </c>
      <c r="V141" s="6">
        <f t="shared" si="48"/>
        <v>-1190459.5229064077</v>
      </c>
      <c r="W141" s="15">
        <f t="shared" si="49"/>
        <v>0.42442192151582536</v>
      </c>
    </row>
    <row r="142" spans="1:23">
      <c r="A142" s="20"/>
      <c r="U142">
        <v>6</v>
      </c>
      <c r="V142" s="6">
        <f t="shared" si="48"/>
        <v>-159955.13831969537</v>
      </c>
      <c r="W142" s="15">
        <f t="shared" si="49"/>
        <v>0.41443275813609803</v>
      </c>
    </row>
    <row r="143" spans="1:23">
      <c r="A143" s="20"/>
      <c r="U143">
        <v>7</v>
      </c>
      <c r="V143" s="6">
        <f t="shared" si="48"/>
        <v>1956247.2334354296</v>
      </c>
      <c r="W143" s="15">
        <f t="shared" si="49"/>
        <v>0.32223974233374003</v>
      </c>
    </row>
    <row r="144" spans="1:23">
      <c r="A144" s="20"/>
      <c r="U144">
        <v>8</v>
      </c>
      <c r="V144" s="6">
        <f t="shared" si="48"/>
        <v>-2276576.8244453203</v>
      </c>
      <c r="W144" s="15">
        <f t="shared" si="49"/>
        <v>0.33407333687542989</v>
      </c>
    </row>
    <row r="145" spans="1:23">
      <c r="A145" s="20"/>
      <c r="U145">
        <v>9</v>
      </c>
      <c r="V145" s="6">
        <f t="shared" si="48"/>
        <v>-357627.97220297903</v>
      </c>
      <c r="W145" s="15">
        <f t="shared" si="49"/>
        <v>0.41690782876793342</v>
      </c>
    </row>
    <row r="146" spans="1:23">
      <c r="A146" s="20"/>
      <c r="U146">
        <v>10</v>
      </c>
      <c r="V146" s="6">
        <f t="shared" si="48"/>
        <v>1100472.532008348</v>
      </c>
      <c r="W146" s="15">
        <f t="shared" si="49"/>
        <v>0.39636726789114557</v>
      </c>
    </row>
    <row r="147" spans="1:23">
      <c r="A147" s="20"/>
      <c r="U147">
        <v>11</v>
      </c>
      <c r="V147" s="6">
        <f t="shared" si="48"/>
        <v>-2705401.053825831</v>
      </c>
      <c r="W147" s="15">
        <f t="shared" si="49"/>
        <v>0.41023056510440997</v>
      </c>
    </row>
    <row r="148" spans="1:23">
      <c r="A148" s="20"/>
      <c r="U148">
        <v>12</v>
      </c>
      <c r="V148" s="6">
        <f t="shared" si="48"/>
        <v>-289141.17227812484</v>
      </c>
      <c r="W148" s="15">
        <f t="shared" si="49"/>
        <v>0.2647655016409628</v>
      </c>
    </row>
    <row r="149" spans="1:23">
      <c r="A149" s="20"/>
      <c r="V149" s="6"/>
      <c r="W149" s="15"/>
    </row>
    <row r="150" spans="1:23">
      <c r="A150" s="20"/>
      <c r="U150">
        <v>2012</v>
      </c>
      <c r="V150" s="6">
        <f t="shared" ref="V150:V159" si="50">SUMIF($C:$C,$U150,R:R)</f>
        <v>3261382.6429171674</v>
      </c>
      <c r="W150" s="15">
        <f t="shared" ref="W150:W159" si="51">SUMIF($C:$C,$U150,S:S)</f>
        <v>0.45037473791383748</v>
      </c>
    </row>
    <row r="151" spans="1:23">
      <c r="A151" s="20"/>
      <c r="U151">
        <v>2013</v>
      </c>
      <c r="V151" s="6">
        <f t="shared" si="50"/>
        <v>-3618084.2999836281</v>
      </c>
      <c r="W151" s="15">
        <f t="shared" si="51"/>
        <v>0.37708429109633113</v>
      </c>
    </row>
    <row r="152" spans="1:23">
      <c r="A152" s="20"/>
      <c r="U152">
        <v>2014</v>
      </c>
      <c r="V152" s="6">
        <f t="shared" si="50"/>
        <v>-3517192.0597308259</v>
      </c>
      <c r="W152" s="15">
        <f t="shared" si="51"/>
        <v>0.48561901565021115</v>
      </c>
    </row>
    <row r="153" spans="1:23">
      <c r="A153" s="20"/>
      <c r="U153">
        <v>2015</v>
      </c>
      <c r="V153" s="6">
        <f t="shared" si="50"/>
        <v>-1470045.1062433142</v>
      </c>
      <c r="W153" s="15">
        <f t="shared" si="51"/>
        <v>0.32568444547547343</v>
      </c>
    </row>
    <row r="154" spans="1:23">
      <c r="A154" s="20"/>
      <c r="U154">
        <v>2016</v>
      </c>
      <c r="V154" s="6">
        <f t="shared" si="50"/>
        <v>1969295.388526082</v>
      </c>
      <c r="W154" s="15">
        <f t="shared" si="51"/>
        <v>0.4113888570235279</v>
      </c>
    </row>
    <row r="155" spans="1:23">
      <c r="A155" s="20"/>
      <c r="U155">
        <v>2017</v>
      </c>
      <c r="V155" s="6">
        <f t="shared" si="50"/>
        <v>1423702.8313563876</v>
      </c>
      <c r="W155" s="15">
        <f t="shared" si="51"/>
        <v>0.48431611222303067</v>
      </c>
    </row>
    <row r="156" spans="1:23">
      <c r="A156" s="20"/>
      <c r="U156">
        <v>2018</v>
      </c>
      <c r="V156" s="6">
        <f t="shared" si="50"/>
        <v>2208383.2680171281</v>
      </c>
      <c r="W156" s="15">
        <f t="shared" si="51"/>
        <v>0.38038104412645662</v>
      </c>
    </row>
    <row r="157" spans="1:23">
      <c r="A157" s="20"/>
      <c r="U157">
        <v>2019</v>
      </c>
      <c r="V157" s="6">
        <f t="shared" si="50"/>
        <v>2461156.5251979176</v>
      </c>
      <c r="W157" s="15">
        <f t="shared" si="51"/>
        <v>0.29730786851662655</v>
      </c>
    </row>
    <row r="158" spans="1:23">
      <c r="A158" s="20"/>
      <c r="U158">
        <v>2020</v>
      </c>
      <c r="V158" s="6">
        <f t="shared" si="50"/>
        <v>713713.28477000631</v>
      </c>
      <c r="W158" s="15">
        <f t="shared" si="51"/>
        <v>0.4690098477096355</v>
      </c>
    </row>
    <row r="159" spans="1:23">
      <c r="A159" s="20"/>
      <c r="U159">
        <v>2021</v>
      </c>
      <c r="V159" s="6">
        <f t="shared" si="50"/>
        <v>-2013222.8898452148</v>
      </c>
      <c r="W159" s="15">
        <f t="shared" si="51"/>
        <v>0.51797537023656226</v>
      </c>
    </row>
    <row r="160" spans="1:23">
      <c r="A160" s="20"/>
    </row>
    <row r="161" spans="1:19">
      <c r="A161" s="20"/>
      <c r="S161" s="15"/>
    </row>
    <row r="162" spans="1:19">
      <c r="A162" s="20"/>
      <c r="S162" s="15"/>
    </row>
    <row r="163" spans="1:19">
      <c r="A163" s="20"/>
      <c r="S163" s="15"/>
    </row>
    <row r="164" spans="1:19">
      <c r="A164" s="20"/>
      <c r="S164" s="15"/>
    </row>
    <row r="165" spans="1:19">
      <c r="A165" s="20"/>
      <c r="S165" s="15"/>
    </row>
    <row r="166" spans="1:19">
      <c r="A166" s="20"/>
      <c r="S166" s="15"/>
    </row>
    <row r="167" spans="1:19">
      <c r="A167" s="20"/>
      <c r="S167" s="15"/>
    </row>
    <row r="168" spans="1:19">
      <c r="A168" s="20"/>
      <c r="S168" s="15"/>
    </row>
    <row r="169" spans="1:19">
      <c r="A169" s="20"/>
      <c r="S169" s="15"/>
    </row>
    <row r="170" spans="1:19">
      <c r="A170" s="20"/>
      <c r="S170" s="15"/>
    </row>
    <row r="171" spans="1:19">
      <c r="A171" s="20"/>
      <c r="S171" s="15"/>
    </row>
    <row r="172" spans="1:19">
      <c r="A172" s="20"/>
      <c r="S172" s="15"/>
    </row>
    <row r="173" spans="1:19">
      <c r="A173" s="20"/>
      <c r="S173" s="15"/>
    </row>
    <row r="174" spans="1:19">
      <c r="A174" s="20"/>
      <c r="S174" s="15"/>
    </row>
    <row r="175" spans="1:19">
      <c r="A175" s="20"/>
      <c r="S175" s="15"/>
    </row>
    <row r="176" spans="1:19">
      <c r="A176" s="20"/>
      <c r="S176" s="15"/>
    </row>
    <row r="177" spans="1:19">
      <c r="A177" s="20"/>
      <c r="S177" s="15"/>
    </row>
    <row r="178" spans="1:19">
      <c r="A178" s="20"/>
      <c r="S178" s="15"/>
    </row>
    <row r="179" spans="1:19">
      <c r="A179" s="20"/>
      <c r="S179" s="15"/>
    </row>
    <row r="180" spans="1:19">
      <c r="A180" s="20"/>
      <c r="S180" s="1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3" tint="0.79998168889431442"/>
  </sheetPr>
  <dimension ref="A1:AA180"/>
  <sheetViews>
    <sheetView topLeftCell="H1" workbookViewId="0">
      <selection activeCell="Q2" sqref="Q2:U18"/>
    </sheetView>
  </sheetViews>
  <sheetFormatPr defaultRowHeight="15"/>
  <cols>
    <col min="1" max="1" width="12.28515625" customWidth="1"/>
    <col min="4" max="4" width="16.85546875" customWidth="1"/>
    <col min="9" max="9" width="13.28515625" bestFit="1" customWidth="1"/>
    <col min="10" max="10" width="14.28515625" bestFit="1" customWidth="1"/>
    <col min="11" max="12" width="12" customWidth="1"/>
    <col min="13" max="13" width="14.28515625" bestFit="1" customWidth="1"/>
    <col min="14" max="14" width="15" bestFit="1" customWidth="1"/>
    <col min="15" max="15" width="12.28515625" customWidth="1"/>
    <col min="17" max="17" width="12" customWidth="1"/>
    <col min="18" max="18" width="14" customWidth="1"/>
    <col min="19" max="19" width="12.5703125" customWidth="1"/>
    <col min="20" max="20" width="11.5703125" customWidth="1"/>
  </cols>
  <sheetData>
    <row r="1" spans="1:27">
      <c r="A1" t="s">
        <v>0</v>
      </c>
      <c r="B1" t="s">
        <v>52</v>
      </c>
      <c r="C1" t="s">
        <v>53</v>
      </c>
      <c r="D1" t="s">
        <v>84</v>
      </c>
      <c r="E1" t="s">
        <v>68</v>
      </c>
      <c r="F1" t="str">
        <f>'Monthly Data'!BG1</f>
        <v>O&amp;G_GDP</v>
      </c>
      <c r="G1" t="str">
        <f>'Monthly Data'!CD1</f>
        <v>Fall</v>
      </c>
      <c r="I1" t="s">
        <v>85</v>
      </c>
      <c r="J1" t="str">
        <f>E1</f>
        <v>Month Days</v>
      </c>
      <c r="K1" t="str">
        <f>F1</f>
        <v>O&amp;G_GDP</v>
      </c>
      <c r="L1" t="str">
        <f>G1</f>
        <v>Fall</v>
      </c>
      <c r="M1" t="s">
        <v>86</v>
      </c>
      <c r="N1" t="s">
        <v>104</v>
      </c>
      <c r="O1" t="s">
        <v>87</v>
      </c>
    </row>
    <row r="2" spans="1:27">
      <c r="A2" s="245">
        <v>40909</v>
      </c>
      <c r="B2">
        <f t="shared" ref="B2:B21" si="0">MONTH(A2)</f>
        <v>1</v>
      </c>
      <c r="C2">
        <f t="shared" ref="C2:C21" si="1">YEAR(A2)</f>
        <v>2012</v>
      </c>
      <c r="D2" s="6">
        <v>23834836.064902499</v>
      </c>
      <c r="E2">
        <v>31</v>
      </c>
      <c r="F2">
        <f>'Monthly Data'!BG2</f>
        <v>38.299999999999997</v>
      </c>
      <c r="G2">
        <f>'Monthly Data'!CD2</f>
        <v>0</v>
      </c>
      <c r="I2" s="6">
        <f t="shared" ref="I2:I33" si="2">$R$7</f>
        <v>-912678.24653403205</v>
      </c>
      <c r="J2" s="6">
        <f t="shared" ref="J2:J33" si="3">E2*$R$8</f>
        <v>23764999.536230937</v>
      </c>
      <c r="K2" s="6">
        <f t="shared" ref="K2:K33" si="4">F2*$R$9</f>
        <v>194519.49241865522</v>
      </c>
      <c r="L2" s="6">
        <f>G2*$R$10</f>
        <v>0</v>
      </c>
      <c r="M2" s="6">
        <f>SUM(I2:L2)</f>
        <v>23046840.78211556</v>
      </c>
      <c r="N2" s="6">
        <f t="shared" ref="N2:N33" si="5">M2-D2</f>
        <v>-787995.28278693929</v>
      </c>
      <c r="O2" s="15">
        <f t="shared" ref="O2:O33" si="6">ABS(M2-D2)/D2</f>
        <v>3.3060654608289317E-2</v>
      </c>
      <c r="Q2" t="s">
        <v>382</v>
      </c>
    </row>
    <row r="3" spans="1:27">
      <c r="A3" s="245">
        <v>40940</v>
      </c>
      <c r="B3">
        <f t="shared" si="0"/>
        <v>2</v>
      </c>
      <c r="C3">
        <f t="shared" si="1"/>
        <v>2012</v>
      </c>
      <c r="D3" s="6">
        <v>20937848.494860001</v>
      </c>
      <c r="E3">
        <v>29</v>
      </c>
      <c r="F3">
        <f>'Monthly Data'!BG3</f>
        <v>38.299999999999997</v>
      </c>
      <c r="G3">
        <f>'Monthly Data'!CD3</f>
        <v>0</v>
      </c>
      <c r="I3" s="6">
        <f t="shared" si="2"/>
        <v>-912678.24653403205</v>
      </c>
      <c r="J3" s="6">
        <f t="shared" si="3"/>
        <v>22231773.759699907</v>
      </c>
      <c r="K3" s="6">
        <f t="shared" si="4"/>
        <v>194519.49241865522</v>
      </c>
      <c r="L3" s="6">
        <f t="shared" ref="L3:L66" si="7">G3*$R$10</f>
        <v>0</v>
      </c>
      <c r="M3" s="6">
        <f t="shared" ref="M3:M66" si="8">SUM(I3:L3)</f>
        <v>21513615.005584531</v>
      </c>
      <c r="N3" s="6">
        <f t="shared" si="5"/>
        <v>575766.51072452962</v>
      </c>
      <c r="O3" s="15">
        <f t="shared" si="6"/>
        <v>2.7498838329347623E-2</v>
      </c>
      <c r="Q3" t="s">
        <v>106</v>
      </c>
    </row>
    <row r="4" spans="1:27">
      <c r="A4" s="245">
        <v>40969</v>
      </c>
      <c r="B4">
        <f t="shared" si="0"/>
        <v>3</v>
      </c>
      <c r="C4">
        <f t="shared" si="1"/>
        <v>2012</v>
      </c>
      <c r="D4" s="6">
        <v>23746994.903362501</v>
      </c>
      <c r="E4">
        <v>31</v>
      </c>
      <c r="F4">
        <f>'Monthly Data'!BG4</f>
        <v>38.299999999999997</v>
      </c>
      <c r="G4">
        <f>'Monthly Data'!CD4</f>
        <v>0</v>
      </c>
      <c r="I4" s="6">
        <f t="shared" si="2"/>
        <v>-912678.24653403205</v>
      </c>
      <c r="J4" s="6">
        <f t="shared" si="3"/>
        <v>23764999.536230937</v>
      </c>
      <c r="K4" s="6">
        <f t="shared" si="4"/>
        <v>194519.49241865522</v>
      </c>
      <c r="L4" s="6">
        <f t="shared" si="7"/>
        <v>0</v>
      </c>
      <c r="M4" s="6">
        <f t="shared" si="8"/>
        <v>23046840.78211556</v>
      </c>
      <c r="N4" s="6">
        <f t="shared" si="5"/>
        <v>-700154.12124694139</v>
      </c>
      <c r="O4" s="15">
        <f t="shared" si="6"/>
        <v>2.9483904135920867E-2</v>
      </c>
      <c r="Q4" t="s">
        <v>388</v>
      </c>
    </row>
    <row r="5" spans="1:27">
      <c r="A5" s="245">
        <v>41000</v>
      </c>
      <c r="B5">
        <f t="shared" si="0"/>
        <v>4</v>
      </c>
      <c r="C5">
        <f t="shared" si="1"/>
        <v>2012</v>
      </c>
      <c r="D5" s="6">
        <v>23562709.501567502</v>
      </c>
      <c r="E5">
        <v>30</v>
      </c>
      <c r="F5">
        <f>'Monthly Data'!BG5</f>
        <v>38.299999999999997</v>
      </c>
      <c r="G5">
        <f>'Monthly Data'!CD5</f>
        <v>0</v>
      </c>
      <c r="I5" s="6">
        <f t="shared" si="2"/>
        <v>-912678.24653403205</v>
      </c>
      <c r="J5" s="6">
        <f t="shared" si="3"/>
        <v>22998386.64796542</v>
      </c>
      <c r="K5" s="6">
        <f t="shared" si="4"/>
        <v>194519.49241865522</v>
      </c>
      <c r="L5" s="6">
        <f t="shared" si="7"/>
        <v>0</v>
      </c>
      <c r="M5" s="6">
        <f t="shared" si="8"/>
        <v>22280227.893850043</v>
      </c>
      <c r="N5" s="6">
        <f t="shared" si="5"/>
        <v>-1282481.6077174582</v>
      </c>
      <c r="O5" s="15">
        <f t="shared" si="6"/>
        <v>5.4428443708145764E-2</v>
      </c>
    </row>
    <row r="6" spans="1:27">
      <c r="A6" s="245">
        <v>41030</v>
      </c>
      <c r="B6">
        <f t="shared" si="0"/>
        <v>5</v>
      </c>
      <c r="C6">
        <f t="shared" si="1"/>
        <v>2012</v>
      </c>
      <c r="D6" s="6">
        <v>21444338.7360675</v>
      </c>
      <c r="E6">
        <v>31</v>
      </c>
      <c r="F6">
        <f>'Monthly Data'!BG6</f>
        <v>38.299999999999997</v>
      </c>
      <c r="G6">
        <f>'Monthly Data'!CD6</f>
        <v>0</v>
      </c>
      <c r="I6" s="6">
        <f t="shared" si="2"/>
        <v>-912678.24653403205</v>
      </c>
      <c r="J6" s="6">
        <f t="shared" si="3"/>
        <v>23764999.536230937</v>
      </c>
      <c r="K6" s="6">
        <f t="shared" si="4"/>
        <v>194519.49241865522</v>
      </c>
      <c r="L6" s="6">
        <f t="shared" si="7"/>
        <v>0</v>
      </c>
      <c r="M6" s="6">
        <f t="shared" si="8"/>
        <v>23046840.78211556</v>
      </c>
      <c r="N6" s="6">
        <f t="shared" si="5"/>
        <v>1602502.0460480601</v>
      </c>
      <c r="O6" s="15">
        <f t="shared" si="6"/>
        <v>7.4728443053027879E-2</v>
      </c>
      <c r="R6" t="s">
        <v>89</v>
      </c>
      <c r="S6" t="s">
        <v>90</v>
      </c>
      <c r="T6" t="s">
        <v>91</v>
      </c>
      <c r="U6" t="s">
        <v>92</v>
      </c>
    </row>
    <row r="7" spans="1:27">
      <c r="A7" s="245">
        <v>41061</v>
      </c>
      <c r="B7">
        <f t="shared" si="0"/>
        <v>6</v>
      </c>
      <c r="C7">
        <f t="shared" si="1"/>
        <v>2012</v>
      </c>
      <c r="D7" s="6">
        <v>21848126.405985001</v>
      </c>
      <c r="E7">
        <v>30</v>
      </c>
      <c r="F7">
        <f>'Monthly Data'!BG7</f>
        <v>38.299999999999997</v>
      </c>
      <c r="G7">
        <f>'Monthly Data'!CD7</f>
        <v>0</v>
      </c>
      <c r="I7" s="6">
        <f t="shared" si="2"/>
        <v>-912678.24653403205</v>
      </c>
      <c r="J7" s="6">
        <f t="shared" si="3"/>
        <v>22998386.64796542</v>
      </c>
      <c r="K7" s="6">
        <f t="shared" si="4"/>
        <v>194519.49241865522</v>
      </c>
      <c r="L7" s="6">
        <f t="shared" si="7"/>
        <v>0</v>
      </c>
      <c r="M7" s="6">
        <f t="shared" si="8"/>
        <v>22280227.893850043</v>
      </c>
      <c r="N7" s="6">
        <f t="shared" si="5"/>
        <v>432101.48786504194</v>
      </c>
      <c r="O7" s="15">
        <f t="shared" si="6"/>
        <v>1.9777507683527203E-2</v>
      </c>
      <c r="Q7" t="s">
        <v>85</v>
      </c>
      <c r="R7" s="6">
        <v>-912678.24653403205</v>
      </c>
      <c r="S7" s="70">
        <v>3385445.1031390601</v>
      </c>
      <c r="T7" s="85">
        <v>-0.26958884835786501</v>
      </c>
      <c r="U7" s="240">
        <v>0.787910698198656</v>
      </c>
    </row>
    <row r="8" spans="1:27">
      <c r="A8" s="245">
        <v>41091</v>
      </c>
      <c r="B8">
        <f t="shared" si="0"/>
        <v>7</v>
      </c>
      <c r="C8">
        <f t="shared" si="1"/>
        <v>2012</v>
      </c>
      <c r="D8" s="6">
        <v>23009052.228524998</v>
      </c>
      <c r="E8">
        <v>31</v>
      </c>
      <c r="F8">
        <f>'Monthly Data'!BG8</f>
        <v>38.299999999999997</v>
      </c>
      <c r="G8">
        <f>'Monthly Data'!CD8</f>
        <v>0</v>
      </c>
      <c r="I8" s="6">
        <f t="shared" si="2"/>
        <v>-912678.24653403205</v>
      </c>
      <c r="J8" s="6">
        <f t="shared" si="3"/>
        <v>23764999.536230937</v>
      </c>
      <c r="K8" s="6">
        <f t="shared" si="4"/>
        <v>194519.49241865522</v>
      </c>
      <c r="L8" s="6">
        <f t="shared" si="7"/>
        <v>0</v>
      </c>
      <c r="M8" s="6">
        <f t="shared" si="8"/>
        <v>23046840.78211556</v>
      </c>
      <c r="N8" s="6">
        <f t="shared" si="5"/>
        <v>37788.553590562195</v>
      </c>
      <c r="O8" s="15">
        <f t="shared" si="6"/>
        <v>1.6423342089560132E-3</v>
      </c>
      <c r="Q8" t="s">
        <v>93</v>
      </c>
      <c r="R8" s="6">
        <v>766612.88826551405</v>
      </c>
      <c r="S8" s="70">
        <v>110278.45951093</v>
      </c>
      <c r="T8" s="85">
        <v>6.9516104202519298</v>
      </c>
      <c r="U8" s="240">
        <v>1.6499881420947E-10</v>
      </c>
      <c r="AA8" s="21"/>
    </row>
    <row r="9" spans="1:27">
      <c r="A9" s="245">
        <v>41122</v>
      </c>
      <c r="B9">
        <f t="shared" si="0"/>
        <v>8</v>
      </c>
      <c r="C9">
        <f t="shared" si="1"/>
        <v>2012</v>
      </c>
      <c r="D9" s="6">
        <v>24714359.7245325</v>
      </c>
      <c r="E9">
        <v>31</v>
      </c>
      <c r="F9">
        <f>'Monthly Data'!BG9</f>
        <v>38.299999999999997</v>
      </c>
      <c r="G9">
        <f>'Monthly Data'!CD9</f>
        <v>0</v>
      </c>
      <c r="I9" s="6">
        <f t="shared" si="2"/>
        <v>-912678.24653403205</v>
      </c>
      <c r="J9" s="6">
        <f t="shared" si="3"/>
        <v>23764999.536230937</v>
      </c>
      <c r="K9" s="6">
        <f t="shared" si="4"/>
        <v>194519.49241865522</v>
      </c>
      <c r="L9" s="6">
        <f t="shared" si="7"/>
        <v>0</v>
      </c>
      <c r="M9" s="6">
        <f t="shared" si="8"/>
        <v>23046840.78211556</v>
      </c>
      <c r="N9" s="6">
        <f t="shared" si="5"/>
        <v>-1667518.9424169399</v>
      </c>
      <c r="O9" s="15">
        <f t="shared" si="6"/>
        <v>6.74716626691199E-2</v>
      </c>
      <c r="Q9" t="s">
        <v>223</v>
      </c>
      <c r="R9" s="6">
        <v>5078.8379221580999</v>
      </c>
      <c r="S9" s="70">
        <v>1840.6644927559701</v>
      </c>
      <c r="T9" s="85">
        <v>2.75924153594864</v>
      </c>
      <c r="U9" s="240">
        <v>6.64355715476496E-3</v>
      </c>
      <c r="AA9" s="21"/>
    </row>
    <row r="10" spans="1:27">
      <c r="A10" s="245">
        <v>41153</v>
      </c>
      <c r="B10">
        <f t="shared" si="0"/>
        <v>9</v>
      </c>
      <c r="C10">
        <f t="shared" si="1"/>
        <v>2012</v>
      </c>
      <c r="D10" s="6">
        <v>23088125.301615</v>
      </c>
      <c r="E10">
        <v>30</v>
      </c>
      <c r="F10">
        <f>'Monthly Data'!BG10</f>
        <v>38.299999999999997</v>
      </c>
      <c r="G10">
        <f>'Monthly Data'!CD10</f>
        <v>1</v>
      </c>
      <c r="I10" s="6">
        <f t="shared" si="2"/>
        <v>-912678.24653403205</v>
      </c>
      <c r="J10" s="6">
        <f t="shared" si="3"/>
        <v>22998386.64796542</v>
      </c>
      <c r="K10" s="6">
        <f t="shared" si="4"/>
        <v>194519.49241865522</v>
      </c>
      <c r="L10" s="6">
        <f t="shared" si="7"/>
        <v>-580482.53600244795</v>
      </c>
      <c r="M10" s="6">
        <f t="shared" si="8"/>
        <v>21699745.357847594</v>
      </c>
      <c r="N10" s="6">
        <f t="shared" si="5"/>
        <v>-1388379.943767406</v>
      </c>
      <c r="O10" s="15">
        <f t="shared" si="6"/>
        <v>6.0133940093884092E-2</v>
      </c>
      <c r="Q10" t="s">
        <v>66</v>
      </c>
      <c r="R10" s="6">
        <v>-580482.53600244795</v>
      </c>
      <c r="S10" s="70">
        <v>346015.96887880203</v>
      </c>
      <c r="T10" s="85">
        <v>-1.67761776395289</v>
      </c>
      <c r="U10" s="240">
        <v>9.5861958477589798E-2</v>
      </c>
    </row>
    <row r="11" spans="1:27">
      <c r="A11" s="245">
        <v>41183</v>
      </c>
      <c r="B11">
        <f t="shared" si="0"/>
        <v>10</v>
      </c>
      <c r="C11">
        <f t="shared" si="1"/>
        <v>2012</v>
      </c>
      <c r="D11" s="6">
        <v>21735263.339707501</v>
      </c>
      <c r="E11">
        <v>31</v>
      </c>
      <c r="F11">
        <f>'Monthly Data'!BG11</f>
        <v>38.299999999999997</v>
      </c>
      <c r="G11">
        <f>'Monthly Data'!CD11</f>
        <v>1</v>
      </c>
      <c r="I11" s="6">
        <f t="shared" si="2"/>
        <v>-912678.24653403205</v>
      </c>
      <c r="J11" s="6">
        <f t="shared" si="3"/>
        <v>23764999.536230937</v>
      </c>
      <c r="K11" s="6">
        <f t="shared" si="4"/>
        <v>194519.49241865522</v>
      </c>
      <c r="L11" s="6">
        <f t="shared" si="7"/>
        <v>-580482.53600244795</v>
      </c>
      <c r="M11" s="6">
        <f t="shared" si="8"/>
        <v>22466358.24611311</v>
      </c>
      <c r="N11" s="6">
        <f t="shared" si="5"/>
        <v>731094.9064056091</v>
      </c>
      <c r="O11" s="15">
        <f t="shared" si="6"/>
        <v>3.3636349142823298E-2</v>
      </c>
      <c r="R11" s="6"/>
      <c r="S11" s="70"/>
      <c r="T11" s="85"/>
      <c r="U11" s="240"/>
    </row>
    <row r="12" spans="1:27">
      <c r="A12" s="245">
        <v>41214</v>
      </c>
      <c r="B12">
        <f t="shared" si="0"/>
        <v>11</v>
      </c>
      <c r="C12">
        <f t="shared" si="1"/>
        <v>2012</v>
      </c>
      <c r="D12" s="6">
        <v>21728354.336369999</v>
      </c>
      <c r="E12">
        <v>30</v>
      </c>
      <c r="F12">
        <f>'Monthly Data'!BG12</f>
        <v>38.299999999999997</v>
      </c>
      <c r="G12">
        <f>'Monthly Data'!CD12</f>
        <v>0</v>
      </c>
      <c r="I12" s="6">
        <f t="shared" si="2"/>
        <v>-912678.24653403205</v>
      </c>
      <c r="J12" s="6">
        <f t="shared" si="3"/>
        <v>22998386.64796542</v>
      </c>
      <c r="K12" s="6">
        <f t="shared" si="4"/>
        <v>194519.49241865522</v>
      </c>
      <c r="L12" s="6">
        <f t="shared" si="7"/>
        <v>0</v>
      </c>
      <c r="M12" s="6">
        <f t="shared" si="8"/>
        <v>22280227.893850043</v>
      </c>
      <c r="N12" s="6">
        <f t="shared" si="5"/>
        <v>551873.55748004466</v>
      </c>
      <c r="O12" s="15">
        <f t="shared" si="6"/>
        <v>2.539877382965406E-2</v>
      </c>
      <c r="Q12" t="s">
        <v>190</v>
      </c>
    </row>
    <row r="13" spans="1:27">
      <c r="A13" s="245">
        <v>41244</v>
      </c>
      <c r="B13">
        <f t="shared" si="0"/>
        <v>12</v>
      </c>
      <c r="C13">
        <f t="shared" si="1"/>
        <v>2012</v>
      </c>
      <c r="D13" s="6">
        <v>22981434.2358975</v>
      </c>
      <c r="E13">
        <v>31</v>
      </c>
      <c r="F13">
        <f>'Monthly Data'!BG13</f>
        <v>38.299999999999997</v>
      </c>
      <c r="G13">
        <f>'Monthly Data'!CD13</f>
        <v>0</v>
      </c>
      <c r="I13" s="6">
        <f t="shared" si="2"/>
        <v>-912678.24653403205</v>
      </c>
      <c r="J13" s="6">
        <f t="shared" si="3"/>
        <v>23764999.536230937</v>
      </c>
      <c r="K13" s="6">
        <f t="shared" si="4"/>
        <v>194519.49241865522</v>
      </c>
      <c r="L13" s="6">
        <f t="shared" si="7"/>
        <v>0</v>
      </c>
      <c r="M13" s="6">
        <f t="shared" si="8"/>
        <v>23046840.78211556</v>
      </c>
      <c r="N13" s="6">
        <f t="shared" si="5"/>
        <v>65406.546218059957</v>
      </c>
      <c r="O13" s="15">
        <f t="shared" si="6"/>
        <v>2.8460602391774796E-3</v>
      </c>
      <c r="Q13" t="s">
        <v>94</v>
      </c>
      <c r="R13">
        <v>23278495.989342202</v>
      </c>
      <c r="S13" t="s">
        <v>95</v>
      </c>
      <c r="T13">
        <v>1845825.2796038</v>
      </c>
    </row>
    <row r="14" spans="1:27">
      <c r="A14" s="245">
        <v>41275</v>
      </c>
      <c r="B14">
        <f t="shared" si="0"/>
        <v>1</v>
      </c>
      <c r="C14">
        <f t="shared" si="1"/>
        <v>2013</v>
      </c>
      <c r="D14" s="6">
        <v>22069510.318620093</v>
      </c>
      <c r="E14">
        <v>31</v>
      </c>
      <c r="F14">
        <f>'Monthly Data'!BG14</f>
        <v>27.7</v>
      </c>
      <c r="G14">
        <f>'Monthly Data'!CD14</f>
        <v>0</v>
      </c>
      <c r="I14" s="6">
        <f t="shared" si="2"/>
        <v>-912678.24653403205</v>
      </c>
      <c r="J14" s="6">
        <f t="shared" si="3"/>
        <v>23764999.536230937</v>
      </c>
      <c r="K14" s="6">
        <f t="shared" si="4"/>
        <v>140683.81044377937</v>
      </c>
      <c r="L14" s="6">
        <f t="shared" si="7"/>
        <v>0</v>
      </c>
      <c r="M14" s="6">
        <f t="shared" si="8"/>
        <v>22993005.100140683</v>
      </c>
      <c r="N14" s="6">
        <f t="shared" si="5"/>
        <v>923494.78152059019</v>
      </c>
      <c r="O14" s="15">
        <f t="shared" si="6"/>
        <v>4.1844824293243862E-2</v>
      </c>
      <c r="Q14" t="s">
        <v>96</v>
      </c>
      <c r="R14" s="6">
        <v>240871216423636</v>
      </c>
      <c r="S14" t="s">
        <v>97</v>
      </c>
      <c r="T14" s="6">
        <v>1371789.4803174599</v>
      </c>
    </row>
    <row r="15" spans="1:27">
      <c r="A15" s="245">
        <v>41306</v>
      </c>
      <c r="B15">
        <f t="shared" si="0"/>
        <v>2</v>
      </c>
      <c r="C15">
        <f t="shared" si="1"/>
        <v>2013</v>
      </c>
      <c r="D15" s="6">
        <v>21742487.556097593</v>
      </c>
      <c r="E15">
        <v>28</v>
      </c>
      <c r="F15">
        <f>'Monthly Data'!BG15</f>
        <v>27.7</v>
      </c>
      <c r="G15">
        <f>'Monthly Data'!CD15</f>
        <v>0</v>
      </c>
      <c r="I15" s="6">
        <f t="shared" si="2"/>
        <v>-912678.24653403205</v>
      </c>
      <c r="J15" s="6">
        <f t="shared" si="3"/>
        <v>21465160.871434394</v>
      </c>
      <c r="K15" s="6">
        <f t="shared" si="4"/>
        <v>140683.81044377937</v>
      </c>
      <c r="L15" s="6">
        <f t="shared" si="7"/>
        <v>0</v>
      </c>
      <c r="M15" s="6">
        <f t="shared" si="8"/>
        <v>20693166.435344141</v>
      </c>
      <c r="N15" s="6">
        <f t="shared" si="5"/>
        <v>-1049321.1207534522</v>
      </c>
      <c r="O15" s="15">
        <f t="shared" si="6"/>
        <v>4.8261318675984446E-2</v>
      </c>
      <c r="Q15" t="s">
        <v>98</v>
      </c>
      <c r="R15" s="241">
        <v>0.46033584728192001</v>
      </c>
      <c r="S15" t="s">
        <v>99</v>
      </c>
      <c r="T15" s="6">
        <v>0.44768746870259002</v>
      </c>
    </row>
    <row r="16" spans="1:27">
      <c r="A16" s="245">
        <v>41334</v>
      </c>
      <c r="B16">
        <f t="shared" si="0"/>
        <v>3</v>
      </c>
      <c r="C16">
        <f t="shared" si="1"/>
        <v>2013</v>
      </c>
      <c r="D16" s="6">
        <v>24101529.983955089</v>
      </c>
      <c r="E16">
        <v>31</v>
      </c>
      <c r="F16">
        <f>'Monthly Data'!BG16</f>
        <v>27.7</v>
      </c>
      <c r="G16">
        <f>'Monthly Data'!CD16</f>
        <v>0</v>
      </c>
      <c r="I16" s="6">
        <f t="shared" si="2"/>
        <v>-912678.24653403205</v>
      </c>
      <c r="J16" s="6">
        <f t="shared" si="3"/>
        <v>23764999.536230937</v>
      </c>
      <c r="K16" s="6">
        <f t="shared" si="4"/>
        <v>140683.81044377937</v>
      </c>
      <c r="L16" s="6">
        <f t="shared" si="7"/>
        <v>0</v>
      </c>
      <c r="M16" s="6">
        <f t="shared" si="8"/>
        <v>22993005.100140683</v>
      </c>
      <c r="N16" s="6">
        <f t="shared" si="5"/>
        <v>-1108524.8838144056</v>
      </c>
      <c r="O16" s="15">
        <f t="shared" si="6"/>
        <v>4.5993963227744246E-2</v>
      </c>
      <c r="Q16" t="s">
        <v>375</v>
      </c>
      <c r="R16" s="242">
        <v>34.572557190572098</v>
      </c>
      <c r="S16" t="s">
        <v>100</v>
      </c>
      <c r="T16" s="120">
        <v>1.95722919259678E-16</v>
      </c>
    </row>
    <row r="17" spans="1:26">
      <c r="A17" s="245">
        <v>41365</v>
      </c>
      <c r="B17">
        <f t="shared" si="0"/>
        <v>4</v>
      </c>
      <c r="C17">
        <f t="shared" si="1"/>
        <v>2013</v>
      </c>
      <c r="D17" s="6">
        <v>20152496.527537592</v>
      </c>
      <c r="E17">
        <v>30</v>
      </c>
      <c r="F17">
        <f>'Monthly Data'!BG17</f>
        <v>27.7</v>
      </c>
      <c r="G17">
        <f>'Monthly Data'!CD17</f>
        <v>0</v>
      </c>
      <c r="I17" s="6">
        <f t="shared" si="2"/>
        <v>-912678.24653403205</v>
      </c>
      <c r="J17" s="6">
        <f t="shared" si="3"/>
        <v>22998386.64796542</v>
      </c>
      <c r="K17" s="6">
        <f t="shared" si="4"/>
        <v>140683.81044377937</v>
      </c>
      <c r="L17" s="6">
        <f t="shared" si="7"/>
        <v>0</v>
      </c>
      <c r="M17" s="6">
        <f t="shared" si="8"/>
        <v>22226392.211875167</v>
      </c>
      <c r="N17" s="6">
        <f t="shared" si="5"/>
        <v>2073895.684337575</v>
      </c>
      <c r="O17" s="15">
        <f t="shared" si="6"/>
        <v>0.10291011247681786</v>
      </c>
      <c r="Q17" t="s">
        <v>101</v>
      </c>
      <c r="R17" s="244">
        <v>-5.7722159722834098E-3</v>
      </c>
      <c r="S17" t="s">
        <v>102</v>
      </c>
      <c r="T17" s="120">
        <v>1.99365129656361</v>
      </c>
      <c r="Z17" s="21"/>
    </row>
    <row r="18" spans="1:26">
      <c r="A18" s="245">
        <v>41395</v>
      </c>
      <c r="B18">
        <f t="shared" si="0"/>
        <v>5</v>
      </c>
      <c r="C18">
        <f t="shared" si="1"/>
        <v>2013</v>
      </c>
      <c r="D18" s="6">
        <v>22491181.333935093</v>
      </c>
      <c r="E18">
        <v>31</v>
      </c>
      <c r="F18">
        <f>'Monthly Data'!BG18</f>
        <v>27.7</v>
      </c>
      <c r="G18">
        <f>'Monthly Data'!CD18</f>
        <v>0</v>
      </c>
      <c r="I18" s="6">
        <f t="shared" si="2"/>
        <v>-912678.24653403205</v>
      </c>
      <c r="J18" s="6">
        <f t="shared" si="3"/>
        <v>23764999.536230937</v>
      </c>
      <c r="K18" s="6">
        <f t="shared" si="4"/>
        <v>140683.81044377937</v>
      </c>
      <c r="L18" s="6">
        <f t="shared" si="7"/>
        <v>0</v>
      </c>
      <c r="M18" s="6">
        <f t="shared" si="8"/>
        <v>22993005.100140683</v>
      </c>
      <c r="N18" s="6">
        <f t="shared" si="5"/>
        <v>501823.76620559022</v>
      </c>
      <c r="O18" s="15">
        <f t="shared" si="6"/>
        <v>2.2312023488442984E-2</v>
      </c>
      <c r="R18" s="243"/>
      <c r="T18" s="120"/>
    </row>
    <row r="19" spans="1:26">
      <c r="A19" s="245">
        <v>41426</v>
      </c>
      <c r="B19">
        <f t="shared" si="0"/>
        <v>6</v>
      </c>
      <c r="C19">
        <f t="shared" si="1"/>
        <v>2013</v>
      </c>
      <c r="D19" s="6">
        <v>22143985.650787588</v>
      </c>
      <c r="E19">
        <v>30</v>
      </c>
      <c r="F19">
        <f>'Monthly Data'!BG19</f>
        <v>27.7</v>
      </c>
      <c r="G19">
        <f>'Monthly Data'!CD19</f>
        <v>0</v>
      </c>
      <c r="I19" s="6">
        <f t="shared" si="2"/>
        <v>-912678.24653403205</v>
      </c>
      <c r="J19" s="6">
        <f t="shared" si="3"/>
        <v>22998386.64796542</v>
      </c>
      <c r="K19" s="6">
        <f t="shared" si="4"/>
        <v>140683.81044377937</v>
      </c>
      <c r="L19" s="6">
        <f t="shared" si="7"/>
        <v>0</v>
      </c>
      <c r="M19" s="6">
        <f t="shared" si="8"/>
        <v>22226392.211875167</v>
      </c>
      <c r="N19" s="6">
        <f t="shared" si="5"/>
        <v>82406.561087578535</v>
      </c>
      <c r="O19" s="15">
        <f t="shared" si="6"/>
        <v>3.7213969692329353E-3</v>
      </c>
    </row>
    <row r="20" spans="1:26">
      <c r="A20" s="245">
        <v>41456</v>
      </c>
      <c r="B20">
        <f t="shared" si="0"/>
        <v>7</v>
      </c>
      <c r="C20">
        <f t="shared" si="1"/>
        <v>2013</v>
      </c>
      <c r="D20" s="6">
        <v>23094301.455000091</v>
      </c>
      <c r="E20">
        <v>31</v>
      </c>
      <c r="F20">
        <f>'Monthly Data'!BG20</f>
        <v>27.7</v>
      </c>
      <c r="G20">
        <f>'Monthly Data'!CD20</f>
        <v>0</v>
      </c>
      <c r="I20" s="6">
        <f t="shared" si="2"/>
        <v>-912678.24653403205</v>
      </c>
      <c r="J20" s="6">
        <f t="shared" si="3"/>
        <v>23764999.536230937</v>
      </c>
      <c r="K20" s="6">
        <f t="shared" si="4"/>
        <v>140683.81044377937</v>
      </c>
      <c r="L20" s="6">
        <f t="shared" si="7"/>
        <v>0</v>
      </c>
      <c r="M20" s="6">
        <f t="shared" si="8"/>
        <v>22993005.100140683</v>
      </c>
      <c r="N20" s="6">
        <f t="shared" si="5"/>
        <v>-101296.35485940799</v>
      </c>
      <c r="O20" s="15">
        <f t="shared" si="6"/>
        <v>4.3862056211913074E-3</v>
      </c>
    </row>
    <row r="21" spans="1:26">
      <c r="A21" s="245">
        <v>41487</v>
      </c>
      <c r="B21">
        <f t="shared" si="0"/>
        <v>8</v>
      </c>
      <c r="C21">
        <f t="shared" si="1"/>
        <v>2013</v>
      </c>
      <c r="D21" s="6">
        <v>23514731.551350094</v>
      </c>
      <c r="E21">
        <v>31</v>
      </c>
      <c r="F21">
        <f>'Monthly Data'!BG21</f>
        <v>27.7</v>
      </c>
      <c r="G21">
        <f>'Monthly Data'!CD21</f>
        <v>0</v>
      </c>
      <c r="I21" s="6">
        <f t="shared" si="2"/>
        <v>-912678.24653403205</v>
      </c>
      <c r="J21" s="6">
        <f t="shared" si="3"/>
        <v>23764999.536230937</v>
      </c>
      <c r="K21" s="6">
        <f t="shared" si="4"/>
        <v>140683.81044377937</v>
      </c>
      <c r="L21" s="6">
        <f t="shared" si="7"/>
        <v>0</v>
      </c>
      <c r="M21" s="6">
        <f t="shared" si="8"/>
        <v>22993005.100140683</v>
      </c>
      <c r="N21" s="6">
        <f t="shared" si="5"/>
        <v>-521726.45120941103</v>
      </c>
      <c r="O21" s="15">
        <f t="shared" si="6"/>
        <v>2.2187216982260474E-2</v>
      </c>
    </row>
    <row r="22" spans="1:26">
      <c r="A22" s="245">
        <v>41518</v>
      </c>
      <c r="B22">
        <f t="shared" ref="B22:B85" si="9">MONTH(A22)</f>
        <v>9</v>
      </c>
      <c r="C22">
        <f t="shared" ref="C22:C85" si="10">YEAR(A22)</f>
        <v>2013</v>
      </c>
      <c r="D22" s="6">
        <v>20804412.328200094</v>
      </c>
      <c r="E22">
        <v>30</v>
      </c>
      <c r="F22">
        <f>'Monthly Data'!BG22</f>
        <v>27.7</v>
      </c>
      <c r="G22">
        <f>'Monthly Data'!CD22</f>
        <v>1</v>
      </c>
      <c r="I22" s="6">
        <f t="shared" si="2"/>
        <v>-912678.24653403205</v>
      </c>
      <c r="J22" s="6">
        <f t="shared" si="3"/>
        <v>22998386.64796542</v>
      </c>
      <c r="K22" s="6">
        <f t="shared" si="4"/>
        <v>140683.81044377937</v>
      </c>
      <c r="L22" s="6">
        <f t="shared" si="7"/>
        <v>-580482.53600244795</v>
      </c>
      <c r="M22" s="6">
        <f t="shared" si="8"/>
        <v>21645909.675872717</v>
      </c>
      <c r="N22" s="6">
        <f t="shared" si="5"/>
        <v>841497.34767262265</v>
      </c>
      <c r="O22" s="15">
        <f t="shared" si="6"/>
        <v>4.0448022967319516E-2</v>
      </c>
    </row>
    <row r="23" spans="1:26">
      <c r="A23" s="245">
        <v>41548</v>
      </c>
      <c r="B23">
        <f t="shared" si="9"/>
        <v>10</v>
      </c>
      <c r="C23">
        <f t="shared" si="10"/>
        <v>2013</v>
      </c>
      <c r="D23" s="6">
        <v>20100765.611542594</v>
      </c>
      <c r="E23">
        <v>31</v>
      </c>
      <c r="F23">
        <f>'Monthly Data'!BG23</f>
        <v>27.7</v>
      </c>
      <c r="G23">
        <f>'Monthly Data'!CD23</f>
        <v>1</v>
      </c>
      <c r="I23" s="6">
        <f t="shared" si="2"/>
        <v>-912678.24653403205</v>
      </c>
      <c r="J23" s="6">
        <f t="shared" si="3"/>
        <v>23764999.536230937</v>
      </c>
      <c r="K23" s="6">
        <f t="shared" si="4"/>
        <v>140683.81044377937</v>
      </c>
      <c r="L23" s="6">
        <f t="shared" si="7"/>
        <v>-580482.53600244795</v>
      </c>
      <c r="M23" s="6">
        <f t="shared" si="8"/>
        <v>22412522.564138234</v>
      </c>
      <c r="N23" s="6">
        <f t="shared" si="5"/>
        <v>2311756.95259564</v>
      </c>
      <c r="O23" s="15">
        <f t="shared" si="6"/>
        <v>0.11500840302660635</v>
      </c>
    </row>
    <row r="24" spans="1:26">
      <c r="A24" s="245">
        <v>41579</v>
      </c>
      <c r="B24">
        <f t="shared" si="9"/>
        <v>11</v>
      </c>
      <c r="C24">
        <f t="shared" si="10"/>
        <v>2013</v>
      </c>
      <c r="D24" s="6">
        <v>21017409.413107593</v>
      </c>
      <c r="E24">
        <v>30</v>
      </c>
      <c r="F24">
        <f>'Monthly Data'!BG24</f>
        <v>27.7</v>
      </c>
      <c r="G24">
        <f>'Monthly Data'!CD24</f>
        <v>0</v>
      </c>
      <c r="I24" s="6">
        <f t="shared" si="2"/>
        <v>-912678.24653403205</v>
      </c>
      <c r="J24" s="6">
        <f t="shared" si="3"/>
        <v>22998386.64796542</v>
      </c>
      <c r="K24" s="6">
        <f t="shared" si="4"/>
        <v>140683.81044377937</v>
      </c>
      <c r="L24" s="6">
        <f t="shared" si="7"/>
        <v>0</v>
      </c>
      <c r="M24" s="6">
        <f t="shared" si="8"/>
        <v>22226392.211875167</v>
      </c>
      <c r="N24" s="6">
        <f t="shared" si="5"/>
        <v>1208982.7987675741</v>
      </c>
      <c r="O24" s="15">
        <f t="shared" si="6"/>
        <v>5.7522921831345546E-2</v>
      </c>
    </row>
    <row r="25" spans="1:26">
      <c r="A25" s="245">
        <v>41609</v>
      </c>
      <c r="B25">
        <f t="shared" si="9"/>
        <v>12</v>
      </c>
      <c r="C25">
        <f t="shared" si="10"/>
        <v>2013</v>
      </c>
      <c r="D25" s="6">
        <v>22772224.28054259</v>
      </c>
      <c r="E25">
        <v>31</v>
      </c>
      <c r="F25">
        <f>'Monthly Data'!BG25</f>
        <v>27.7</v>
      </c>
      <c r="G25">
        <f>'Monthly Data'!CD25</f>
        <v>0</v>
      </c>
      <c r="I25" s="6">
        <f t="shared" si="2"/>
        <v>-912678.24653403205</v>
      </c>
      <c r="J25" s="6">
        <f t="shared" si="3"/>
        <v>23764999.536230937</v>
      </c>
      <c r="K25" s="6">
        <f t="shared" si="4"/>
        <v>140683.81044377937</v>
      </c>
      <c r="L25" s="6">
        <f t="shared" si="7"/>
        <v>0</v>
      </c>
      <c r="M25" s="6">
        <f t="shared" si="8"/>
        <v>22993005.100140683</v>
      </c>
      <c r="N25" s="6">
        <f t="shared" si="5"/>
        <v>220780.81959809363</v>
      </c>
      <c r="O25" s="15">
        <f t="shared" si="6"/>
        <v>9.6951802721676472E-3</v>
      </c>
    </row>
    <row r="26" spans="1:26">
      <c r="A26" s="245">
        <v>41640</v>
      </c>
      <c r="B26">
        <f t="shared" si="9"/>
        <v>1</v>
      </c>
      <c r="C26">
        <f t="shared" si="10"/>
        <v>2014</v>
      </c>
      <c r="D26" s="6">
        <v>21429609.761027589</v>
      </c>
      <c r="E26">
        <v>31</v>
      </c>
      <c r="F26">
        <f>'Monthly Data'!BG26</f>
        <v>24.9</v>
      </c>
      <c r="G26">
        <f>'Monthly Data'!CD26</f>
        <v>0</v>
      </c>
      <c r="I26" s="6">
        <f t="shared" si="2"/>
        <v>-912678.24653403205</v>
      </c>
      <c r="J26" s="6">
        <f t="shared" si="3"/>
        <v>23764999.536230937</v>
      </c>
      <c r="K26" s="6">
        <f t="shared" si="4"/>
        <v>126463.06426173668</v>
      </c>
      <c r="L26" s="6">
        <f t="shared" si="7"/>
        <v>0</v>
      </c>
      <c r="M26" s="6">
        <f t="shared" si="8"/>
        <v>22978784.353958644</v>
      </c>
      <c r="N26" s="6">
        <f t="shared" si="5"/>
        <v>1549174.5929310545</v>
      </c>
      <c r="O26" s="15">
        <f t="shared" si="6"/>
        <v>7.2291311424084875E-2</v>
      </c>
    </row>
    <row r="27" spans="1:26">
      <c r="A27" s="245">
        <v>41671</v>
      </c>
      <c r="B27">
        <f t="shared" si="9"/>
        <v>2</v>
      </c>
      <c r="C27">
        <f t="shared" si="10"/>
        <v>2014</v>
      </c>
      <c r="D27" s="6">
        <v>20763744.016885087</v>
      </c>
      <c r="E27">
        <v>28</v>
      </c>
      <c r="F27">
        <f>'Monthly Data'!BG27</f>
        <v>24.9</v>
      </c>
      <c r="G27">
        <f>'Monthly Data'!CD27</f>
        <v>0</v>
      </c>
      <c r="I27" s="6">
        <f t="shared" si="2"/>
        <v>-912678.24653403205</v>
      </c>
      <c r="J27" s="6">
        <f t="shared" si="3"/>
        <v>21465160.871434394</v>
      </c>
      <c r="K27" s="6">
        <f t="shared" si="4"/>
        <v>126463.06426173668</v>
      </c>
      <c r="L27" s="6">
        <f t="shared" si="7"/>
        <v>0</v>
      </c>
      <c r="M27" s="6">
        <f t="shared" si="8"/>
        <v>20678945.689162102</v>
      </c>
      <c r="N27" s="6">
        <f t="shared" si="5"/>
        <v>-84798.327722985297</v>
      </c>
      <c r="O27" s="15">
        <f t="shared" si="6"/>
        <v>4.0839613344311725E-3</v>
      </c>
    </row>
    <row r="28" spans="1:26">
      <c r="A28" s="245">
        <v>41699</v>
      </c>
      <c r="B28">
        <f t="shared" si="9"/>
        <v>3</v>
      </c>
      <c r="C28">
        <f t="shared" si="10"/>
        <v>2014</v>
      </c>
      <c r="D28" s="6">
        <v>21695153.92474759</v>
      </c>
      <c r="E28">
        <v>31</v>
      </c>
      <c r="F28">
        <f>'Monthly Data'!BG28</f>
        <v>24.9</v>
      </c>
      <c r="G28">
        <f>'Monthly Data'!CD28</f>
        <v>0</v>
      </c>
      <c r="I28" s="6">
        <f t="shared" si="2"/>
        <v>-912678.24653403205</v>
      </c>
      <c r="J28" s="6">
        <f t="shared" si="3"/>
        <v>23764999.536230937</v>
      </c>
      <c r="K28" s="6">
        <f t="shared" si="4"/>
        <v>126463.06426173668</v>
      </c>
      <c r="L28" s="6">
        <f t="shared" si="7"/>
        <v>0</v>
      </c>
      <c r="M28" s="6">
        <f t="shared" si="8"/>
        <v>22978784.353958644</v>
      </c>
      <c r="N28" s="6">
        <f t="shared" si="5"/>
        <v>1283630.429211054</v>
      </c>
      <c r="O28" s="15">
        <f t="shared" si="6"/>
        <v>5.9166689190751534E-2</v>
      </c>
    </row>
    <row r="29" spans="1:26">
      <c r="A29" s="245">
        <v>41730</v>
      </c>
      <c r="B29">
        <f t="shared" si="9"/>
        <v>4</v>
      </c>
      <c r="C29">
        <f t="shared" si="10"/>
        <v>2014</v>
      </c>
      <c r="D29" s="6">
        <v>22089244.537487585</v>
      </c>
      <c r="E29">
        <v>30</v>
      </c>
      <c r="F29">
        <f>'Monthly Data'!BG29</f>
        <v>24.9</v>
      </c>
      <c r="G29">
        <f>'Monthly Data'!CD29</f>
        <v>0</v>
      </c>
      <c r="I29" s="6">
        <f t="shared" si="2"/>
        <v>-912678.24653403205</v>
      </c>
      <c r="J29" s="6">
        <f t="shared" si="3"/>
        <v>22998386.64796542</v>
      </c>
      <c r="K29" s="6">
        <f t="shared" si="4"/>
        <v>126463.06426173668</v>
      </c>
      <c r="L29" s="6">
        <f t="shared" si="7"/>
        <v>0</v>
      </c>
      <c r="M29" s="6">
        <f t="shared" si="8"/>
        <v>22212171.465693127</v>
      </c>
      <c r="N29" s="6">
        <f t="shared" si="5"/>
        <v>122926.92820554227</v>
      </c>
      <c r="O29" s="15">
        <f t="shared" si="6"/>
        <v>5.5650127824391354E-3</v>
      </c>
    </row>
    <row r="30" spans="1:26">
      <c r="A30" s="245">
        <v>41760</v>
      </c>
      <c r="B30">
        <f t="shared" si="9"/>
        <v>5</v>
      </c>
      <c r="C30">
        <f t="shared" si="10"/>
        <v>2014</v>
      </c>
      <c r="D30" s="6">
        <v>22968411.83548009</v>
      </c>
      <c r="E30">
        <v>31</v>
      </c>
      <c r="F30">
        <f>'Monthly Data'!BG30</f>
        <v>24.9</v>
      </c>
      <c r="G30">
        <f>'Monthly Data'!CD30</f>
        <v>0</v>
      </c>
      <c r="I30" s="6">
        <f t="shared" si="2"/>
        <v>-912678.24653403205</v>
      </c>
      <c r="J30" s="6">
        <f t="shared" si="3"/>
        <v>23764999.536230937</v>
      </c>
      <c r="K30" s="6">
        <f t="shared" si="4"/>
        <v>126463.06426173668</v>
      </c>
      <c r="L30" s="6">
        <f t="shared" si="7"/>
        <v>0</v>
      </c>
      <c r="M30" s="6">
        <f t="shared" si="8"/>
        <v>22978784.353958644</v>
      </c>
      <c r="N30" s="6">
        <f t="shared" si="5"/>
        <v>10372.518478553742</v>
      </c>
      <c r="O30" s="15">
        <f t="shared" si="6"/>
        <v>4.5159929005326169E-4</v>
      </c>
    </row>
    <row r="31" spans="1:26">
      <c r="A31" s="245">
        <v>41791</v>
      </c>
      <c r="B31">
        <f t="shared" si="9"/>
        <v>6</v>
      </c>
      <c r="C31">
        <f t="shared" si="10"/>
        <v>2014</v>
      </c>
      <c r="D31" s="6">
        <v>21083000.127437588</v>
      </c>
      <c r="E31">
        <v>30</v>
      </c>
      <c r="F31">
        <f>'Monthly Data'!BG31</f>
        <v>24.9</v>
      </c>
      <c r="G31">
        <f>'Monthly Data'!CD31</f>
        <v>0</v>
      </c>
      <c r="I31" s="6">
        <f t="shared" si="2"/>
        <v>-912678.24653403205</v>
      </c>
      <c r="J31" s="6">
        <f t="shared" si="3"/>
        <v>22998386.64796542</v>
      </c>
      <c r="K31" s="6">
        <f t="shared" si="4"/>
        <v>126463.06426173668</v>
      </c>
      <c r="L31" s="6">
        <f t="shared" si="7"/>
        <v>0</v>
      </c>
      <c r="M31" s="6">
        <f t="shared" si="8"/>
        <v>22212171.465693127</v>
      </c>
      <c r="N31" s="6">
        <f t="shared" si="5"/>
        <v>1129171.3382555395</v>
      </c>
      <c r="O31" s="15">
        <f t="shared" si="6"/>
        <v>5.3558380279380959E-2</v>
      </c>
    </row>
    <row r="32" spans="1:26">
      <c r="A32" s="245">
        <v>41821</v>
      </c>
      <c r="B32">
        <f t="shared" si="9"/>
        <v>7</v>
      </c>
      <c r="C32">
        <f t="shared" si="10"/>
        <v>2014</v>
      </c>
      <c r="D32" s="6">
        <v>23324347.113887586</v>
      </c>
      <c r="E32">
        <v>31</v>
      </c>
      <c r="F32">
        <f>'Monthly Data'!BG32</f>
        <v>24.9</v>
      </c>
      <c r="G32">
        <f>'Monthly Data'!CD32</f>
        <v>0</v>
      </c>
      <c r="I32" s="6">
        <f t="shared" si="2"/>
        <v>-912678.24653403205</v>
      </c>
      <c r="J32" s="6">
        <f t="shared" si="3"/>
        <v>23764999.536230937</v>
      </c>
      <c r="K32" s="6">
        <f t="shared" si="4"/>
        <v>126463.06426173668</v>
      </c>
      <c r="L32" s="6">
        <f t="shared" si="7"/>
        <v>0</v>
      </c>
      <c r="M32" s="6">
        <f t="shared" si="8"/>
        <v>22978784.353958644</v>
      </c>
      <c r="N32" s="6">
        <f t="shared" si="5"/>
        <v>-345562.75992894173</v>
      </c>
      <c r="O32" s="15">
        <f t="shared" si="6"/>
        <v>1.4815538383202575E-2</v>
      </c>
    </row>
    <row r="33" spans="1:15">
      <c r="A33" s="245">
        <v>41852</v>
      </c>
      <c r="B33">
        <f t="shared" si="9"/>
        <v>8</v>
      </c>
      <c r="C33">
        <f t="shared" si="10"/>
        <v>2014</v>
      </c>
      <c r="D33" s="6">
        <v>24335568.124990087</v>
      </c>
      <c r="E33">
        <v>31</v>
      </c>
      <c r="F33">
        <f>'Monthly Data'!BG33</f>
        <v>24.9</v>
      </c>
      <c r="G33">
        <f>'Monthly Data'!CD33</f>
        <v>0</v>
      </c>
      <c r="I33" s="6">
        <f t="shared" si="2"/>
        <v>-912678.24653403205</v>
      </c>
      <c r="J33" s="6">
        <f t="shared" si="3"/>
        <v>23764999.536230937</v>
      </c>
      <c r="K33" s="6">
        <f t="shared" si="4"/>
        <v>126463.06426173668</v>
      </c>
      <c r="L33" s="6">
        <f t="shared" si="7"/>
        <v>0</v>
      </c>
      <c r="M33" s="6">
        <f t="shared" si="8"/>
        <v>22978784.353958644</v>
      </c>
      <c r="N33" s="6">
        <f t="shared" si="5"/>
        <v>-1356783.771031443</v>
      </c>
      <c r="O33" s="15">
        <f t="shared" si="6"/>
        <v>5.5753116757449678E-2</v>
      </c>
    </row>
    <row r="34" spans="1:15">
      <c r="A34" s="245">
        <v>41883</v>
      </c>
      <c r="B34">
        <f t="shared" si="9"/>
        <v>9</v>
      </c>
      <c r="C34">
        <f t="shared" si="10"/>
        <v>2014</v>
      </c>
      <c r="D34" s="6">
        <v>22547091.796945088</v>
      </c>
      <c r="E34">
        <v>30</v>
      </c>
      <c r="F34">
        <f>'Monthly Data'!BG34</f>
        <v>24.9</v>
      </c>
      <c r="G34">
        <f>'Monthly Data'!CD34</f>
        <v>1</v>
      </c>
      <c r="I34" s="6">
        <f t="shared" ref="I34:I65" si="11">$R$7</f>
        <v>-912678.24653403205</v>
      </c>
      <c r="J34" s="6">
        <f t="shared" ref="J34:J65" si="12">E34*$R$8</f>
        <v>22998386.64796542</v>
      </c>
      <c r="K34" s="6">
        <f t="shared" ref="K34:K65" si="13">F34*$R$9</f>
        <v>126463.06426173668</v>
      </c>
      <c r="L34" s="6">
        <f t="shared" si="7"/>
        <v>-580482.53600244795</v>
      </c>
      <c r="M34" s="6">
        <f t="shared" si="8"/>
        <v>21631688.929690678</v>
      </c>
      <c r="N34" s="6">
        <f t="shared" ref="N34:N65" si="14">M34-D34</f>
        <v>-915402.86725440994</v>
      </c>
      <c r="O34" s="15">
        <f t="shared" ref="O34:O65" si="15">ABS(M34-D34)/D34</f>
        <v>4.0599598187578148E-2</v>
      </c>
    </row>
    <row r="35" spans="1:15">
      <c r="A35" s="245">
        <v>41913</v>
      </c>
      <c r="B35">
        <f t="shared" si="9"/>
        <v>10</v>
      </c>
      <c r="C35">
        <f t="shared" si="10"/>
        <v>2014</v>
      </c>
      <c r="D35" s="6">
        <v>22510500.824725088</v>
      </c>
      <c r="E35">
        <v>31</v>
      </c>
      <c r="F35">
        <f>'Monthly Data'!BG35</f>
        <v>24.9</v>
      </c>
      <c r="G35">
        <f>'Monthly Data'!CD35</f>
        <v>1</v>
      </c>
      <c r="I35" s="6">
        <f t="shared" si="11"/>
        <v>-912678.24653403205</v>
      </c>
      <c r="J35" s="6">
        <f t="shared" si="12"/>
        <v>23764999.536230937</v>
      </c>
      <c r="K35" s="6">
        <f t="shared" si="13"/>
        <v>126463.06426173668</v>
      </c>
      <c r="L35" s="6">
        <f t="shared" si="7"/>
        <v>-580482.53600244795</v>
      </c>
      <c r="M35" s="6">
        <f t="shared" si="8"/>
        <v>22398301.817956194</v>
      </c>
      <c r="N35" s="6">
        <f t="shared" si="14"/>
        <v>-112199.00676889345</v>
      </c>
      <c r="O35" s="15">
        <f t="shared" si="15"/>
        <v>4.9842963354087746E-3</v>
      </c>
    </row>
    <row r="36" spans="1:15">
      <c r="A36" s="245">
        <v>41944</v>
      </c>
      <c r="B36">
        <f t="shared" si="9"/>
        <v>11</v>
      </c>
      <c r="C36">
        <f t="shared" si="10"/>
        <v>2014</v>
      </c>
      <c r="D36" s="6">
        <v>23546544.680522591</v>
      </c>
      <c r="E36">
        <v>30</v>
      </c>
      <c r="F36">
        <f>'Monthly Data'!BG36</f>
        <v>24.9</v>
      </c>
      <c r="G36">
        <f>'Monthly Data'!CD36</f>
        <v>0</v>
      </c>
      <c r="I36" s="6">
        <f t="shared" si="11"/>
        <v>-912678.24653403205</v>
      </c>
      <c r="J36" s="6">
        <f t="shared" si="12"/>
        <v>22998386.64796542</v>
      </c>
      <c r="K36" s="6">
        <f t="shared" si="13"/>
        <v>126463.06426173668</v>
      </c>
      <c r="L36" s="6">
        <f t="shared" si="7"/>
        <v>0</v>
      </c>
      <c r="M36" s="6">
        <f t="shared" si="8"/>
        <v>22212171.465693127</v>
      </c>
      <c r="N36" s="6">
        <f t="shared" si="14"/>
        <v>-1334373.2148294635</v>
      </c>
      <c r="O36" s="15">
        <f t="shared" si="15"/>
        <v>5.6669597723747571E-2</v>
      </c>
    </row>
    <row r="37" spans="1:15">
      <c r="A37" s="245">
        <v>41974</v>
      </c>
      <c r="B37">
        <f t="shared" si="9"/>
        <v>12</v>
      </c>
      <c r="C37">
        <f t="shared" si="10"/>
        <v>2014</v>
      </c>
      <c r="D37" s="6">
        <v>23381166.230665091</v>
      </c>
      <c r="E37">
        <v>31</v>
      </c>
      <c r="F37">
        <f>'Monthly Data'!BG37</f>
        <v>24.9</v>
      </c>
      <c r="G37">
        <f>'Monthly Data'!CD37</f>
        <v>0</v>
      </c>
      <c r="I37" s="6">
        <f t="shared" si="11"/>
        <v>-912678.24653403205</v>
      </c>
      <c r="J37" s="6">
        <f t="shared" si="12"/>
        <v>23764999.536230937</v>
      </c>
      <c r="K37" s="6">
        <f t="shared" si="13"/>
        <v>126463.06426173668</v>
      </c>
      <c r="L37" s="6">
        <f t="shared" si="7"/>
        <v>0</v>
      </c>
      <c r="M37" s="6">
        <f t="shared" si="8"/>
        <v>22978784.353958644</v>
      </c>
      <c r="N37" s="6">
        <f t="shared" si="14"/>
        <v>-402381.87670644745</v>
      </c>
      <c r="O37" s="15">
        <f t="shared" si="15"/>
        <v>1.7209658095613371E-2</v>
      </c>
    </row>
    <row r="38" spans="1:15">
      <c r="A38" s="245">
        <v>42005</v>
      </c>
      <c r="B38">
        <f t="shared" si="9"/>
        <v>1</v>
      </c>
      <c r="C38">
        <f t="shared" si="10"/>
        <v>2015</v>
      </c>
      <c r="D38" s="6">
        <v>24101442.985187206</v>
      </c>
      <c r="E38">
        <v>31</v>
      </c>
      <c r="F38">
        <f>'Monthly Data'!BG38</f>
        <v>23.4</v>
      </c>
      <c r="G38">
        <f>'Monthly Data'!CD38</f>
        <v>0</v>
      </c>
      <c r="I38" s="6">
        <f t="shared" si="11"/>
        <v>-912678.24653403205</v>
      </c>
      <c r="J38" s="6">
        <f t="shared" si="12"/>
        <v>23764999.536230937</v>
      </c>
      <c r="K38" s="6">
        <f t="shared" si="13"/>
        <v>118844.80737849954</v>
      </c>
      <c r="L38" s="6">
        <f t="shared" si="7"/>
        <v>0</v>
      </c>
      <c r="M38" s="6">
        <f t="shared" si="8"/>
        <v>22971166.097075406</v>
      </c>
      <c r="N38" s="6">
        <f t="shared" si="14"/>
        <v>-1130276.8881118</v>
      </c>
      <c r="O38" s="15">
        <f t="shared" si="15"/>
        <v>4.6896648005950115E-2</v>
      </c>
    </row>
    <row r="39" spans="1:15">
      <c r="A39" s="245">
        <v>42036</v>
      </c>
      <c r="B39">
        <f t="shared" si="9"/>
        <v>2</v>
      </c>
      <c r="C39">
        <f t="shared" si="10"/>
        <v>2015</v>
      </c>
      <c r="D39" s="6">
        <v>21537743.442662206</v>
      </c>
      <c r="E39">
        <v>28</v>
      </c>
      <c r="F39">
        <f>'Monthly Data'!BG39</f>
        <v>23.4</v>
      </c>
      <c r="G39">
        <f>'Monthly Data'!CD39</f>
        <v>0</v>
      </c>
      <c r="I39" s="6">
        <f t="shared" si="11"/>
        <v>-912678.24653403205</v>
      </c>
      <c r="J39" s="6">
        <f t="shared" si="12"/>
        <v>21465160.871434394</v>
      </c>
      <c r="K39" s="6">
        <f t="shared" si="13"/>
        <v>118844.80737849954</v>
      </c>
      <c r="L39" s="6">
        <f t="shared" si="7"/>
        <v>0</v>
      </c>
      <c r="M39" s="6">
        <f t="shared" si="8"/>
        <v>20671327.432278864</v>
      </c>
      <c r="N39" s="6">
        <f t="shared" si="14"/>
        <v>-866416.01038334146</v>
      </c>
      <c r="O39" s="15">
        <f t="shared" si="15"/>
        <v>4.0227798826275127E-2</v>
      </c>
    </row>
    <row r="40" spans="1:15">
      <c r="A40" s="245">
        <v>42064</v>
      </c>
      <c r="B40">
        <f t="shared" si="9"/>
        <v>3</v>
      </c>
      <c r="C40">
        <f t="shared" si="10"/>
        <v>2015</v>
      </c>
      <c r="D40" s="6">
        <v>23141654.484279703</v>
      </c>
      <c r="E40">
        <v>31</v>
      </c>
      <c r="F40">
        <f>'Monthly Data'!BG40</f>
        <v>23.4</v>
      </c>
      <c r="G40">
        <f>'Monthly Data'!CD40</f>
        <v>0</v>
      </c>
      <c r="I40" s="6">
        <f t="shared" si="11"/>
        <v>-912678.24653403205</v>
      </c>
      <c r="J40" s="6">
        <f t="shared" si="12"/>
        <v>23764999.536230937</v>
      </c>
      <c r="K40" s="6">
        <f t="shared" si="13"/>
        <v>118844.80737849954</v>
      </c>
      <c r="L40" s="6">
        <f t="shared" si="7"/>
        <v>0</v>
      </c>
      <c r="M40" s="6">
        <f t="shared" si="8"/>
        <v>22971166.097075406</v>
      </c>
      <c r="N40" s="6">
        <f t="shared" si="14"/>
        <v>-170488.38720429689</v>
      </c>
      <c r="O40" s="15">
        <f t="shared" si="15"/>
        <v>7.3671650106136924E-3</v>
      </c>
    </row>
    <row r="41" spans="1:15">
      <c r="A41" s="245">
        <v>42095</v>
      </c>
      <c r="B41">
        <f t="shared" si="9"/>
        <v>4</v>
      </c>
      <c r="C41">
        <f t="shared" si="10"/>
        <v>2015</v>
      </c>
      <c r="D41" s="6">
        <v>23821654.250027206</v>
      </c>
      <c r="E41">
        <v>30</v>
      </c>
      <c r="F41">
        <f>'Monthly Data'!BG41</f>
        <v>23.4</v>
      </c>
      <c r="G41">
        <f>'Monthly Data'!CD41</f>
        <v>0</v>
      </c>
      <c r="I41" s="6">
        <f t="shared" si="11"/>
        <v>-912678.24653403205</v>
      </c>
      <c r="J41" s="6">
        <f t="shared" si="12"/>
        <v>22998386.64796542</v>
      </c>
      <c r="K41" s="6">
        <f t="shared" si="13"/>
        <v>118844.80737849954</v>
      </c>
      <c r="L41" s="6">
        <f t="shared" si="7"/>
        <v>0</v>
      </c>
      <c r="M41" s="6">
        <f t="shared" si="8"/>
        <v>22204553.20880989</v>
      </c>
      <c r="N41" s="6">
        <f t="shared" si="14"/>
        <v>-1617101.0412173159</v>
      </c>
      <c r="O41" s="15">
        <f t="shared" si="15"/>
        <v>6.7883658466559652E-2</v>
      </c>
    </row>
    <row r="42" spans="1:15">
      <c r="A42" s="245">
        <v>42125</v>
      </c>
      <c r="B42">
        <f t="shared" si="9"/>
        <v>5</v>
      </c>
      <c r="C42">
        <f t="shared" si="10"/>
        <v>2015</v>
      </c>
      <c r="D42" s="6">
        <v>22532577.248837203</v>
      </c>
      <c r="E42">
        <v>31</v>
      </c>
      <c r="F42">
        <f>'Monthly Data'!BG42</f>
        <v>23.4</v>
      </c>
      <c r="G42">
        <f>'Monthly Data'!CD42</f>
        <v>0</v>
      </c>
      <c r="I42" s="6">
        <f t="shared" si="11"/>
        <v>-912678.24653403205</v>
      </c>
      <c r="J42" s="6">
        <f t="shared" si="12"/>
        <v>23764999.536230937</v>
      </c>
      <c r="K42" s="6">
        <f t="shared" si="13"/>
        <v>118844.80737849954</v>
      </c>
      <c r="L42" s="6">
        <f t="shared" si="7"/>
        <v>0</v>
      </c>
      <c r="M42" s="6">
        <f t="shared" si="8"/>
        <v>22971166.097075406</v>
      </c>
      <c r="N42" s="6">
        <f t="shared" si="14"/>
        <v>438588.84823820367</v>
      </c>
      <c r="O42" s="15">
        <f t="shared" si="15"/>
        <v>1.9464655258680501E-2</v>
      </c>
    </row>
    <row r="43" spans="1:15">
      <c r="A43" s="245">
        <v>42156</v>
      </c>
      <c r="B43">
        <f t="shared" si="9"/>
        <v>6</v>
      </c>
      <c r="C43">
        <f t="shared" si="10"/>
        <v>2015</v>
      </c>
      <c r="D43" s="6">
        <v>20526687.962282207</v>
      </c>
      <c r="E43">
        <v>30</v>
      </c>
      <c r="F43">
        <f>'Monthly Data'!BG43</f>
        <v>23.4</v>
      </c>
      <c r="G43">
        <f>'Monthly Data'!CD43</f>
        <v>0</v>
      </c>
      <c r="I43" s="6">
        <f t="shared" si="11"/>
        <v>-912678.24653403205</v>
      </c>
      <c r="J43" s="6">
        <f t="shared" si="12"/>
        <v>22998386.64796542</v>
      </c>
      <c r="K43" s="6">
        <f t="shared" si="13"/>
        <v>118844.80737849954</v>
      </c>
      <c r="L43" s="6">
        <f t="shared" si="7"/>
        <v>0</v>
      </c>
      <c r="M43" s="6">
        <f t="shared" si="8"/>
        <v>22204553.20880989</v>
      </c>
      <c r="N43" s="6">
        <f t="shared" si="14"/>
        <v>1677865.246527683</v>
      </c>
      <c r="O43" s="15">
        <f t="shared" si="15"/>
        <v>8.174067095533194E-2</v>
      </c>
    </row>
    <row r="44" spans="1:15">
      <c r="A44" s="245">
        <v>42186</v>
      </c>
      <c r="B44">
        <f t="shared" si="9"/>
        <v>7</v>
      </c>
      <c r="C44">
        <f t="shared" si="10"/>
        <v>2015</v>
      </c>
      <c r="D44" s="6">
        <v>23356967.646107208</v>
      </c>
      <c r="E44">
        <v>31</v>
      </c>
      <c r="F44">
        <f>'Monthly Data'!BG44</f>
        <v>23.4</v>
      </c>
      <c r="G44">
        <f>'Monthly Data'!CD44</f>
        <v>0</v>
      </c>
      <c r="I44" s="6">
        <f t="shared" si="11"/>
        <v>-912678.24653403205</v>
      </c>
      <c r="J44" s="6">
        <f t="shared" si="12"/>
        <v>23764999.536230937</v>
      </c>
      <c r="K44" s="6">
        <f t="shared" si="13"/>
        <v>118844.80737849954</v>
      </c>
      <c r="L44" s="6">
        <f t="shared" si="7"/>
        <v>0</v>
      </c>
      <c r="M44" s="6">
        <f t="shared" si="8"/>
        <v>22971166.097075406</v>
      </c>
      <c r="N44" s="6">
        <f t="shared" si="14"/>
        <v>-385801.54903180152</v>
      </c>
      <c r="O44" s="15">
        <f t="shared" si="15"/>
        <v>1.6517621417183458E-2</v>
      </c>
    </row>
    <row r="45" spans="1:15">
      <c r="A45" s="245">
        <v>42217</v>
      </c>
      <c r="B45">
        <f t="shared" si="9"/>
        <v>8</v>
      </c>
      <c r="C45">
        <f t="shared" si="10"/>
        <v>2015</v>
      </c>
      <c r="D45" s="6">
        <v>23423593.048247207</v>
      </c>
      <c r="E45">
        <v>31</v>
      </c>
      <c r="F45">
        <f>'Monthly Data'!BG45</f>
        <v>23.4</v>
      </c>
      <c r="G45">
        <f>'Monthly Data'!CD45</f>
        <v>0</v>
      </c>
      <c r="I45" s="6">
        <f t="shared" si="11"/>
        <v>-912678.24653403205</v>
      </c>
      <c r="J45" s="6">
        <f t="shared" si="12"/>
        <v>23764999.536230937</v>
      </c>
      <c r="K45" s="6">
        <f t="shared" si="13"/>
        <v>118844.80737849954</v>
      </c>
      <c r="L45" s="6">
        <f t="shared" si="7"/>
        <v>0</v>
      </c>
      <c r="M45" s="6">
        <f t="shared" si="8"/>
        <v>22971166.097075406</v>
      </c>
      <c r="N45" s="6">
        <f t="shared" si="14"/>
        <v>-452426.95117180049</v>
      </c>
      <c r="O45" s="15">
        <f t="shared" si="15"/>
        <v>1.9315010734685546E-2</v>
      </c>
    </row>
    <row r="46" spans="1:15">
      <c r="A46" s="245">
        <v>42248</v>
      </c>
      <c r="B46">
        <f t="shared" si="9"/>
        <v>9</v>
      </c>
      <c r="C46">
        <f t="shared" si="10"/>
        <v>2015</v>
      </c>
      <c r="D46" s="6">
        <v>21449776.945389707</v>
      </c>
      <c r="E46">
        <v>30</v>
      </c>
      <c r="F46">
        <f>'Monthly Data'!BG46</f>
        <v>23.4</v>
      </c>
      <c r="G46">
        <f>'Monthly Data'!CD46</f>
        <v>1</v>
      </c>
      <c r="I46" s="6">
        <f t="shared" si="11"/>
        <v>-912678.24653403205</v>
      </c>
      <c r="J46" s="6">
        <f t="shared" si="12"/>
        <v>22998386.64796542</v>
      </c>
      <c r="K46" s="6">
        <f t="shared" si="13"/>
        <v>118844.80737849954</v>
      </c>
      <c r="L46" s="6">
        <f t="shared" si="7"/>
        <v>-580482.53600244795</v>
      </c>
      <c r="M46" s="6">
        <f t="shared" si="8"/>
        <v>21624070.67280744</v>
      </c>
      <c r="N46" s="6">
        <f t="shared" si="14"/>
        <v>174293.72741773352</v>
      </c>
      <c r="O46" s="15">
        <f t="shared" si="15"/>
        <v>8.1256661951067625E-3</v>
      </c>
    </row>
    <row r="47" spans="1:15">
      <c r="A47" s="245">
        <v>42278</v>
      </c>
      <c r="B47">
        <f t="shared" si="9"/>
        <v>10</v>
      </c>
      <c r="C47">
        <f t="shared" si="10"/>
        <v>2015</v>
      </c>
      <c r="D47" s="6">
        <v>22317634.444772206</v>
      </c>
      <c r="E47">
        <v>31</v>
      </c>
      <c r="F47">
        <f>'Monthly Data'!BG47</f>
        <v>23.4</v>
      </c>
      <c r="G47">
        <f>'Monthly Data'!CD47</f>
        <v>1</v>
      </c>
      <c r="I47" s="6">
        <f t="shared" si="11"/>
        <v>-912678.24653403205</v>
      </c>
      <c r="J47" s="6">
        <f t="shared" si="12"/>
        <v>23764999.536230937</v>
      </c>
      <c r="K47" s="6">
        <f t="shared" si="13"/>
        <v>118844.80737849954</v>
      </c>
      <c r="L47" s="6">
        <f t="shared" si="7"/>
        <v>-580482.53600244795</v>
      </c>
      <c r="M47" s="6">
        <f t="shared" si="8"/>
        <v>22390683.561072957</v>
      </c>
      <c r="N47" s="6">
        <f t="shared" si="14"/>
        <v>73049.116300750524</v>
      </c>
      <c r="O47" s="15">
        <f t="shared" si="15"/>
        <v>3.2731567712303805E-3</v>
      </c>
    </row>
    <row r="48" spans="1:15">
      <c r="A48" s="245">
        <v>42309</v>
      </c>
      <c r="B48">
        <f t="shared" si="9"/>
        <v>11</v>
      </c>
      <c r="C48">
        <f t="shared" si="10"/>
        <v>2015</v>
      </c>
      <c r="D48" s="6">
        <v>21405027.540084705</v>
      </c>
      <c r="E48">
        <v>30</v>
      </c>
      <c r="F48">
        <f>'Monthly Data'!BG48</f>
        <v>23.4</v>
      </c>
      <c r="G48">
        <f>'Monthly Data'!CD48</f>
        <v>0</v>
      </c>
      <c r="I48" s="6">
        <f t="shared" si="11"/>
        <v>-912678.24653403205</v>
      </c>
      <c r="J48" s="6">
        <f t="shared" si="12"/>
        <v>22998386.64796542</v>
      </c>
      <c r="K48" s="6">
        <f t="shared" si="13"/>
        <v>118844.80737849954</v>
      </c>
      <c r="L48" s="6">
        <f t="shared" si="7"/>
        <v>0</v>
      </c>
      <c r="M48" s="6">
        <f t="shared" si="8"/>
        <v>22204553.20880989</v>
      </c>
      <c r="N48" s="6">
        <f t="shared" si="14"/>
        <v>799525.6687251851</v>
      </c>
      <c r="O48" s="15">
        <f t="shared" si="15"/>
        <v>3.7352237329661531E-2</v>
      </c>
    </row>
    <row r="49" spans="1:15">
      <c r="A49" s="245">
        <v>42339</v>
      </c>
      <c r="B49">
        <f t="shared" si="9"/>
        <v>12</v>
      </c>
      <c r="C49">
        <f t="shared" si="10"/>
        <v>2015</v>
      </c>
      <c r="D49" s="6">
        <v>25406403.942624707</v>
      </c>
      <c r="E49">
        <v>31</v>
      </c>
      <c r="F49">
        <f>'Monthly Data'!BG49</f>
        <v>23.4</v>
      </c>
      <c r="G49">
        <f>'Monthly Data'!CD49</f>
        <v>0</v>
      </c>
      <c r="I49" s="6">
        <f t="shared" si="11"/>
        <v>-912678.24653403205</v>
      </c>
      <c r="J49" s="6">
        <f t="shared" si="12"/>
        <v>23764999.536230937</v>
      </c>
      <c r="K49" s="6">
        <f t="shared" si="13"/>
        <v>118844.80737849954</v>
      </c>
      <c r="L49" s="6">
        <f t="shared" si="7"/>
        <v>0</v>
      </c>
      <c r="M49" s="6">
        <f t="shared" si="8"/>
        <v>22971166.097075406</v>
      </c>
      <c r="N49" s="6">
        <f t="shared" si="14"/>
        <v>-2435237.8455493003</v>
      </c>
      <c r="O49" s="15">
        <f t="shared" si="15"/>
        <v>9.5851339333531779E-2</v>
      </c>
    </row>
    <row r="50" spans="1:15">
      <c r="A50" s="245">
        <v>42370</v>
      </c>
      <c r="B50">
        <f t="shared" si="9"/>
        <v>1</v>
      </c>
      <c r="C50">
        <f t="shared" si="10"/>
        <v>2016</v>
      </c>
      <c r="D50" s="6">
        <v>26243438.885900892</v>
      </c>
      <c r="E50">
        <v>31</v>
      </c>
      <c r="F50">
        <f>'Monthly Data'!BG50</f>
        <v>377.2</v>
      </c>
      <c r="G50">
        <f>'Monthly Data'!CD50</f>
        <v>0</v>
      </c>
      <c r="I50" s="6">
        <f t="shared" si="11"/>
        <v>-912678.24653403205</v>
      </c>
      <c r="J50" s="6">
        <f t="shared" si="12"/>
        <v>23764999.536230937</v>
      </c>
      <c r="K50" s="6">
        <f t="shared" si="13"/>
        <v>1915737.6642380352</v>
      </c>
      <c r="L50" s="6">
        <f t="shared" si="7"/>
        <v>0</v>
      </c>
      <c r="M50" s="6">
        <f t="shared" si="8"/>
        <v>24768058.953934941</v>
      </c>
      <c r="N50" s="6">
        <f t="shared" si="14"/>
        <v>-1475379.9319659509</v>
      </c>
      <c r="O50" s="15">
        <f t="shared" si="15"/>
        <v>5.6219001571420908E-2</v>
      </c>
    </row>
    <row r="51" spans="1:15">
      <c r="A51" s="245">
        <v>42401</v>
      </c>
      <c r="B51">
        <f t="shared" si="9"/>
        <v>2</v>
      </c>
      <c r="C51">
        <f t="shared" si="10"/>
        <v>2016</v>
      </c>
      <c r="D51" s="6">
        <v>24084687.124993395</v>
      </c>
      <c r="E51">
        <v>29</v>
      </c>
      <c r="F51">
        <f>'Monthly Data'!BG51</f>
        <v>377.2</v>
      </c>
      <c r="G51">
        <f>'Monthly Data'!CD51</f>
        <v>0</v>
      </c>
      <c r="I51" s="6">
        <f t="shared" si="11"/>
        <v>-912678.24653403205</v>
      </c>
      <c r="J51" s="6">
        <f t="shared" si="12"/>
        <v>22231773.759699907</v>
      </c>
      <c r="K51" s="6">
        <f t="shared" si="13"/>
        <v>1915737.6642380352</v>
      </c>
      <c r="L51" s="6">
        <f t="shared" si="7"/>
        <v>0</v>
      </c>
      <c r="M51" s="6">
        <f t="shared" si="8"/>
        <v>23234833.177403912</v>
      </c>
      <c r="N51" s="6">
        <f t="shared" si="14"/>
        <v>-849853.94758948311</v>
      </c>
      <c r="O51" s="15">
        <f t="shared" si="15"/>
        <v>3.5286069658242082E-2</v>
      </c>
    </row>
    <row r="52" spans="1:15">
      <c r="A52" s="245">
        <v>42430</v>
      </c>
      <c r="B52">
        <f t="shared" si="9"/>
        <v>3</v>
      </c>
      <c r="C52">
        <f t="shared" si="10"/>
        <v>2016</v>
      </c>
      <c r="D52" s="6">
        <v>26064691.123108394</v>
      </c>
      <c r="E52">
        <v>31</v>
      </c>
      <c r="F52">
        <f>'Monthly Data'!BG52</f>
        <v>377.2</v>
      </c>
      <c r="G52">
        <f>'Monthly Data'!CD52</f>
        <v>0</v>
      </c>
      <c r="I52" s="6">
        <f t="shared" si="11"/>
        <v>-912678.24653403205</v>
      </c>
      <c r="J52" s="6">
        <f t="shared" si="12"/>
        <v>23764999.536230937</v>
      </c>
      <c r="K52" s="6">
        <f t="shared" si="13"/>
        <v>1915737.6642380352</v>
      </c>
      <c r="L52" s="6">
        <f t="shared" si="7"/>
        <v>0</v>
      </c>
      <c r="M52" s="6">
        <f t="shared" si="8"/>
        <v>24768058.953934941</v>
      </c>
      <c r="N52" s="6">
        <f t="shared" si="14"/>
        <v>-1296632.169173453</v>
      </c>
      <c r="O52" s="15">
        <f t="shared" si="15"/>
        <v>4.9746692299142067E-2</v>
      </c>
    </row>
    <row r="53" spans="1:15">
      <c r="A53" s="245">
        <v>42461</v>
      </c>
      <c r="B53">
        <f t="shared" si="9"/>
        <v>4</v>
      </c>
      <c r="C53">
        <f t="shared" si="10"/>
        <v>2016</v>
      </c>
      <c r="D53" s="6">
        <v>25462710.509863392</v>
      </c>
      <c r="E53">
        <v>30</v>
      </c>
      <c r="F53">
        <f>'Monthly Data'!BG53</f>
        <v>377.2</v>
      </c>
      <c r="G53">
        <f>'Monthly Data'!CD53</f>
        <v>0</v>
      </c>
      <c r="I53" s="6">
        <f t="shared" si="11"/>
        <v>-912678.24653403205</v>
      </c>
      <c r="J53" s="6">
        <f t="shared" si="12"/>
        <v>22998386.64796542</v>
      </c>
      <c r="K53" s="6">
        <f t="shared" si="13"/>
        <v>1915737.6642380352</v>
      </c>
      <c r="L53" s="6">
        <f t="shared" si="7"/>
        <v>0</v>
      </c>
      <c r="M53" s="6">
        <f t="shared" si="8"/>
        <v>24001446.065669425</v>
      </c>
      <c r="N53" s="6">
        <f t="shared" si="14"/>
        <v>-1461264.4441939667</v>
      </c>
      <c r="O53" s="15">
        <f t="shared" si="15"/>
        <v>5.7388408968790751E-2</v>
      </c>
    </row>
    <row r="54" spans="1:15">
      <c r="A54" s="245">
        <v>42491</v>
      </c>
      <c r="B54">
        <f t="shared" si="9"/>
        <v>5</v>
      </c>
      <c r="C54">
        <f t="shared" si="10"/>
        <v>2016</v>
      </c>
      <c r="D54" s="6">
        <v>25848064.981205899</v>
      </c>
      <c r="E54">
        <v>31</v>
      </c>
      <c r="F54">
        <f>'Monthly Data'!BG54</f>
        <v>377.2</v>
      </c>
      <c r="G54">
        <f>'Monthly Data'!CD54</f>
        <v>0</v>
      </c>
      <c r="I54" s="6">
        <f t="shared" si="11"/>
        <v>-912678.24653403205</v>
      </c>
      <c r="J54" s="6">
        <f t="shared" si="12"/>
        <v>23764999.536230937</v>
      </c>
      <c r="K54" s="6">
        <f t="shared" si="13"/>
        <v>1915737.6642380352</v>
      </c>
      <c r="L54" s="6">
        <f t="shared" si="7"/>
        <v>0</v>
      </c>
      <c r="M54" s="6">
        <f t="shared" si="8"/>
        <v>24768058.953934941</v>
      </c>
      <c r="N54" s="6">
        <f t="shared" si="14"/>
        <v>-1080006.0272709578</v>
      </c>
      <c r="O54" s="15">
        <f t="shared" si="15"/>
        <v>4.1782857945313473E-2</v>
      </c>
    </row>
    <row r="55" spans="1:15">
      <c r="A55" s="245">
        <v>42522</v>
      </c>
      <c r="B55">
        <f t="shared" si="9"/>
        <v>6</v>
      </c>
      <c r="C55">
        <f t="shared" si="10"/>
        <v>2016</v>
      </c>
      <c r="D55" s="6">
        <v>24327711.705748394</v>
      </c>
      <c r="E55">
        <v>30</v>
      </c>
      <c r="F55">
        <f>'Monthly Data'!BG55</f>
        <v>377.2</v>
      </c>
      <c r="G55">
        <f>'Monthly Data'!CD55</f>
        <v>0</v>
      </c>
      <c r="I55" s="6">
        <f t="shared" si="11"/>
        <v>-912678.24653403205</v>
      </c>
      <c r="J55" s="6">
        <f t="shared" si="12"/>
        <v>22998386.64796542</v>
      </c>
      <c r="K55" s="6">
        <f t="shared" si="13"/>
        <v>1915737.6642380352</v>
      </c>
      <c r="L55" s="6">
        <f t="shared" si="7"/>
        <v>0</v>
      </c>
      <c r="M55" s="6">
        <f t="shared" si="8"/>
        <v>24001446.065669425</v>
      </c>
      <c r="N55" s="6">
        <f t="shared" si="14"/>
        <v>-326265.6400789693</v>
      </c>
      <c r="O55" s="15">
        <f t="shared" si="15"/>
        <v>1.3411275340042607E-2</v>
      </c>
    </row>
    <row r="56" spans="1:15">
      <c r="A56" s="245">
        <v>42552</v>
      </c>
      <c r="B56">
        <f t="shared" si="9"/>
        <v>7</v>
      </c>
      <c r="C56">
        <f t="shared" si="10"/>
        <v>2016</v>
      </c>
      <c r="D56" s="6">
        <v>25937487.989495896</v>
      </c>
      <c r="E56">
        <v>31</v>
      </c>
      <c r="F56">
        <f>'Monthly Data'!BG56</f>
        <v>377.2</v>
      </c>
      <c r="G56">
        <f>'Monthly Data'!CD56</f>
        <v>0</v>
      </c>
      <c r="I56" s="6">
        <f t="shared" si="11"/>
        <v>-912678.24653403205</v>
      </c>
      <c r="J56" s="6">
        <f t="shared" si="12"/>
        <v>23764999.536230937</v>
      </c>
      <c r="K56" s="6">
        <f t="shared" si="13"/>
        <v>1915737.6642380352</v>
      </c>
      <c r="L56" s="6">
        <f t="shared" si="7"/>
        <v>0</v>
      </c>
      <c r="M56" s="6">
        <f t="shared" si="8"/>
        <v>24768058.953934941</v>
      </c>
      <c r="N56" s="6">
        <f t="shared" si="14"/>
        <v>-1169429.0355609544</v>
      </c>
      <c r="O56" s="15">
        <f t="shared" si="15"/>
        <v>4.5086441525661505E-2</v>
      </c>
    </row>
    <row r="57" spans="1:15">
      <c r="A57" s="245">
        <v>42583</v>
      </c>
      <c r="B57">
        <f t="shared" si="9"/>
        <v>8</v>
      </c>
      <c r="C57">
        <f t="shared" si="10"/>
        <v>2016</v>
      </c>
      <c r="D57" s="6">
        <v>24632874.331730895</v>
      </c>
      <c r="E57">
        <v>31</v>
      </c>
      <c r="F57">
        <f>'Monthly Data'!BG57</f>
        <v>377.2</v>
      </c>
      <c r="G57">
        <f>'Monthly Data'!CD57</f>
        <v>0</v>
      </c>
      <c r="I57" s="6">
        <f t="shared" si="11"/>
        <v>-912678.24653403205</v>
      </c>
      <c r="J57" s="6">
        <f t="shared" si="12"/>
        <v>23764999.536230937</v>
      </c>
      <c r="K57" s="6">
        <f t="shared" si="13"/>
        <v>1915737.6642380352</v>
      </c>
      <c r="L57" s="6">
        <f t="shared" si="7"/>
        <v>0</v>
      </c>
      <c r="M57" s="6">
        <f t="shared" si="8"/>
        <v>24768058.953934941</v>
      </c>
      <c r="N57" s="6">
        <f t="shared" si="14"/>
        <v>135184.6222040467</v>
      </c>
      <c r="O57" s="15">
        <f t="shared" si="15"/>
        <v>5.4879759618595668E-3</v>
      </c>
    </row>
    <row r="58" spans="1:15">
      <c r="A58" s="245">
        <v>42614</v>
      </c>
      <c r="B58">
        <f t="shared" si="9"/>
        <v>9</v>
      </c>
      <c r="C58">
        <f t="shared" si="10"/>
        <v>2016</v>
      </c>
      <c r="D58" s="6">
        <v>23516097.173833396</v>
      </c>
      <c r="E58">
        <v>30</v>
      </c>
      <c r="F58">
        <f>'Monthly Data'!BG58</f>
        <v>377.2</v>
      </c>
      <c r="G58">
        <f>'Monthly Data'!CD58</f>
        <v>1</v>
      </c>
      <c r="I58" s="6">
        <f t="shared" si="11"/>
        <v>-912678.24653403205</v>
      </c>
      <c r="J58" s="6">
        <f t="shared" si="12"/>
        <v>22998386.64796542</v>
      </c>
      <c r="K58" s="6">
        <f t="shared" si="13"/>
        <v>1915737.6642380352</v>
      </c>
      <c r="L58" s="6">
        <f t="shared" si="7"/>
        <v>-580482.53600244795</v>
      </c>
      <c r="M58" s="6">
        <f t="shared" si="8"/>
        <v>23420963.529666975</v>
      </c>
      <c r="N58" s="6">
        <f t="shared" si="14"/>
        <v>-95133.644166421145</v>
      </c>
      <c r="O58" s="15">
        <f t="shared" si="15"/>
        <v>4.0454690871186451E-3</v>
      </c>
    </row>
    <row r="59" spans="1:15">
      <c r="A59" s="245">
        <v>42644</v>
      </c>
      <c r="B59">
        <f t="shared" si="9"/>
        <v>10</v>
      </c>
      <c r="C59">
        <f t="shared" si="10"/>
        <v>2016</v>
      </c>
      <c r="D59" s="6">
        <v>24813560.732818399</v>
      </c>
      <c r="E59">
        <v>31</v>
      </c>
      <c r="F59">
        <f>'Monthly Data'!BG59</f>
        <v>377.2</v>
      </c>
      <c r="G59">
        <f>'Monthly Data'!CD59</f>
        <v>1</v>
      </c>
      <c r="I59" s="6">
        <f t="shared" si="11"/>
        <v>-912678.24653403205</v>
      </c>
      <c r="J59" s="6">
        <f t="shared" si="12"/>
        <v>23764999.536230937</v>
      </c>
      <c r="K59" s="6">
        <f t="shared" si="13"/>
        <v>1915737.6642380352</v>
      </c>
      <c r="L59" s="6">
        <f t="shared" si="7"/>
        <v>-580482.53600244795</v>
      </c>
      <c r="M59" s="6">
        <f t="shared" si="8"/>
        <v>24187576.417932492</v>
      </c>
      <c r="N59" s="6">
        <f t="shared" si="14"/>
        <v>-625984.31488590688</v>
      </c>
      <c r="O59" s="15">
        <f t="shared" si="15"/>
        <v>2.5227508523513936E-2</v>
      </c>
    </row>
    <row r="60" spans="1:15">
      <c r="A60" s="245">
        <v>42675</v>
      </c>
      <c r="B60">
        <f t="shared" si="9"/>
        <v>11</v>
      </c>
      <c r="C60">
        <f t="shared" si="10"/>
        <v>2016</v>
      </c>
      <c r="D60" s="6">
        <v>24612736.306625899</v>
      </c>
      <c r="E60">
        <v>30</v>
      </c>
      <c r="F60">
        <f>'Monthly Data'!BG60</f>
        <v>377.2</v>
      </c>
      <c r="G60">
        <f>'Monthly Data'!CD60</f>
        <v>0</v>
      </c>
      <c r="I60" s="6">
        <f t="shared" si="11"/>
        <v>-912678.24653403205</v>
      </c>
      <c r="J60" s="6">
        <f t="shared" si="12"/>
        <v>22998386.64796542</v>
      </c>
      <c r="K60" s="6">
        <f t="shared" si="13"/>
        <v>1915737.6642380352</v>
      </c>
      <c r="L60" s="6">
        <f t="shared" si="7"/>
        <v>0</v>
      </c>
      <c r="M60" s="6">
        <f t="shared" si="8"/>
        <v>24001446.065669425</v>
      </c>
      <c r="N60" s="6">
        <f t="shared" si="14"/>
        <v>-611290.2409564741</v>
      </c>
      <c r="O60" s="15">
        <f t="shared" si="15"/>
        <v>2.4836338119460167E-2</v>
      </c>
    </row>
    <row r="61" spans="1:15">
      <c r="A61" s="245">
        <v>42705</v>
      </c>
      <c r="B61">
        <f t="shared" si="9"/>
        <v>12</v>
      </c>
      <c r="C61">
        <f t="shared" si="10"/>
        <v>2016</v>
      </c>
      <c r="D61" s="6">
        <v>24795089.503640894</v>
      </c>
      <c r="E61">
        <v>31</v>
      </c>
      <c r="F61">
        <f>'Monthly Data'!BG61</f>
        <v>377.2</v>
      </c>
      <c r="G61">
        <f>'Monthly Data'!CD61</f>
        <v>0</v>
      </c>
      <c r="I61" s="6">
        <f t="shared" si="11"/>
        <v>-912678.24653403205</v>
      </c>
      <c r="J61" s="6">
        <f t="shared" si="12"/>
        <v>23764999.536230937</v>
      </c>
      <c r="K61" s="6">
        <f t="shared" si="13"/>
        <v>1915737.6642380352</v>
      </c>
      <c r="L61" s="6">
        <f t="shared" si="7"/>
        <v>0</v>
      </c>
      <c r="M61" s="6">
        <f t="shared" si="8"/>
        <v>24768058.953934941</v>
      </c>
      <c r="N61" s="6">
        <f t="shared" si="14"/>
        <v>-27030.549705952406</v>
      </c>
      <c r="O61" s="15">
        <f t="shared" si="15"/>
        <v>1.0901573757974641E-3</v>
      </c>
    </row>
    <row r="62" spans="1:15">
      <c r="A62" s="245">
        <v>42736</v>
      </c>
      <c r="B62">
        <f t="shared" si="9"/>
        <v>1</v>
      </c>
      <c r="C62">
        <f t="shared" si="10"/>
        <v>2017</v>
      </c>
      <c r="D62" s="6">
        <v>24783942.119185667</v>
      </c>
      <c r="E62">
        <v>31</v>
      </c>
      <c r="F62">
        <f>'Monthly Data'!BG62</f>
        <v>287.5</v>
      </c>
      <c r="G62">
        <f>'Monthly Data'!CD62</f>
        <v>0</v>
      </c>
      <c r="I62" s="6">
        <f t="shared" si="11"/>
        <v>-912678.24653403205</v>
      </c>
      <c r="J62" s="6">
        <f t="shared" si="12"/>
        <v>23764999.536230937</v>
      </c>
      <c r="K62" s="6">
        <f t="shared" si="13"/>
        <v>1460165.9026204536</v>
      </c>
      <c r="L62" s="6">
        <f t="shared" si="7"/>
        <v>0</v>
      </c>
      <c r="M62" s="6">
        <f t="shared" si="8"/>
        <v>24312487.192317359</v>
      </c>
      <c r="N62" s="6">
        <f t="shared" si="14"/>
        <v>-471454.92686830834</v>
      </c>
      <c r="O62" s="15">
        <f t="shared" si="15"/>
        <v>1.9022596348921714E-2</v>
      </c>
    </row>
    <row r="63" spans="1:15">
      <c r="A63" s="245">
        <v>42767</v>
      </c>
      <c r="B63">
        <f t="shared" si="9"/>
        <v>2</v>
      </c>
      <c r="C63">
        <f t="shared" si="10"/>
        <v>2017</v>
      </c>
      <c r="D63" s="6">
        <v>22975573.184313171</v>
      </c>
      <c r="E63">
        <v>28</v>
      </c>
      <c r="F63">
        <f>'Monthly Data'!BG63</f>
        <v>287.5</v>
      </c>
      <c r="G63">
        <f>'Monthly Data'!CD63</f>
        <v>0</v>
      </c>
      <c r="I63" s="6">
        <f t="shared" si="11"/>
        <v>-912678.24653403205</v>
      </c>
      <c r="J63" s="6">
        <f t="shared" si="12"/>
        <v>21465160.871434394</v>
      </c>
      <c r="K63" s="6">
        <f t="shared" si="13"/>
        <v>1460165.9026204536</v>
      </c>
      <c r="L63" s="6">
        <f t="shared" si="7"/>
        <v>0</v>
      </c>
      <c r="M63" s="6">
        <f t="shared" si="8"/>
        <v>22012648.527520817</v>
      </c>
      <c r="N63" s="6">
        <f t="shared" si="14"/>
        <v>-962924.65679235384</v>
      </c>
      <c r="O63" s="15">
        <f t="shared" si="15"/>
        <v>4.1910800181899334E-2</v>
      </c>
    </row>
    <row r="64" spans="1:15">
      <c r="A64" s="245">
        <v>42795</v>
      </c>
      <c r="B64">
        <f t="shared" si="9"/>
        <v>3</v>
      </c>
      <c r="C64">
        <f t="shared" si="10"/>
        <v>2017</v>
      </c>
      <c r="D64" s="6">
        <v>26063951.234680675</v>
      </c>
      <c r="E64">
        <v>31</v>
      </c>
      <c r="F64">
        <f>'Monthly Data'!BG64</f>
        <v>287.5</v>
      </c>
      <c r="G64">
        <f>'Monthly Data'!CD64</f>
        <v>0</v>
      </c>
      <c r="I64" s="6">
        <f t="shared" si="11"/>
        <v>-912678.24653403205</v>
      </c>
      <c r="J64" s="6">
        <f t="shared" si="12"/>
        <v>23764999.536230937</v>
      </c>
      <c r="K64" s="6">
        <f t="shared" si="13"/>
        <v>1460165.9026204536</v>
      </c>
      <c r="L64" s="6">
        <f t="shared" si="7"/>
        <v>0</v>
      </c>
      <c r="M64" s="6">
        <f t="shared" si="8"/>
        <v>24312487.192317359</v>
      </c>
      <c r="N64" s="6">
        <f t="shared" si="14"/>
        <v>-1751464.0423633158</v>
      </c>
      <c r="O64" s="15">
        <f t="shared" si="15"/>
        <v>6.7198715443912399E-2</v>
      </c>
    </row>
    <row r="65" spans="1:15">
      <c r="A65" s="245">
        <v>42826</v>
      </c>
      <c r="B65">
        <f t="shared" si="9"/>
        <v>4</v>
      </c>
      <c r="C65">
        <f t="shared" si="10"/>
        <v>2017</v>
      </c>
      <c r="D65" s="6">
        <v>24853813.932790671</v>
      </c>
      <c r="E65">
        <v>30</v>
      </c>
      <c r="F65">
        <f>'Monthly Data'!BG65</f>
        <v>287.5</v>
      </c>
      <c r="G65">
        <f>'Monthly Data'!CD65</f>
        <v>0</v>
      </c>
      <c r="I65" s="6">
        <f t="shared" si="11"/>
        <v>-912678.24653403205</v>
      </c>
      <c r="J65" s="6">
        <f t="shared" si="12"/>
        <v>22998386.64796542</v>
      </c>
      <c r="K65" s="6">
        <f t="shared" si="13"/>
        <v>1460165.9026204536</v>
      </c>
      <c r="L65" s="6">
        <f t="shared" si="7"/>
        <v>0</v>
      </c>
      <c r="M65" s="6">
        <f t="shared" si="8"/>
        <v>23545874.304051843</v>
      </c>
      <c r="N65" s="6">
        <f t="shared" si="14"/>
        <v>-1307939.628738828</v>
      </c>
      <c r="O65" s="15">
        <f t="shared" si="15"/>
        <v>5.2625308625699849E-2</v>
      </c>
    </row>
    <row r="66" spans="1:15">
      <c r="A66" s="245">
        <v>42856</v>
      </c>
      <c r="B66">
        <f t="shared" si="9"/>
        <v>5</v>
      </c>
      <c r="C66">
        <f t="shared" si="10"/>
        <v>2017</v>
      </c>
      <c r="D66" s="6">
        <v>26071938.363363173</v>
      </c>
      <c r="E66">
        <v>31</v>
      </c>
      <c r="F66">
        <f>'Monthly Data'!BG66</f>
        <v>287.5</v>
      </c>
      <c r="G66">
        <f>'Monthly Data'!CD66</f>
        <v>0</v>
      </c>
      <c r="I66" s="6">
        <f t="shared" ref="I66:I97" si="16">$R$7</f>
        <v>-912678.24653403205</v>
      </c>
      <c r="J66" s="6">
        <f t="shared" ref="J66:J97" si="17">E66*$R$8</f>
        <v>23764999.536230937</v>
      </c>
      <c r="K66" s="6">
        <f t="shared" ref="K66:K97" si="18">F66*$R$9</f>
        <v>1460165.9026204536</v>
      </c>
      <c r="L66" s="6">
        <f t="shared" si="7"/>
        <v>0</v>
      </c>
      <c r="M66" s="6">
        <f t="shared" si="8"/>
        <v>24312487.192317359</v>
      </c>
      <c r="N66" s="6">
        <f t="shared" ref="N66:N97" si="19">M66-D66</f>
        <v>-1759451.1710458137</v>
      </c>
      <c r="O66" s="15">
        <f t="shared" ref="O66:O97" si="20">ABS(M66-D66)/D66</f>
        <v>6.7484478772711076E-2</v>
      </c>
    </row>
    <row r="67" spans="1:15">
      <c r="A67" s="245">
        <v>42887</v>
      </c>
      <c r="B67">
        <f t="shared" si="9"/>
        <v>6</v>
      </c>
      <c r="C67">
        <f t="shared" si="10"/>
        <v>2017</v>
      </c>
      <c r="D67" s="6">
        <v>22020823.529965673</v>
      </c>
      <c r="E67">
        <v>30</v>
      </c>
      <c r="F67">
        <f>'Monthly Data'!BG67</f>
        <v>287.5</v>
      </c>
      <c r="G67">
        <f>'Monthly Data'!CD67</f>
        <v>0</v>
      </c>
      <c r="I67" s="6">
        <f t="shared" si="16"/>
        <v>-912678.24653403205</v>
      </c>
      <c r="J67" s="6">
        <f t="shared" si="17"/>
        <v>22998386.64796542</v>
      </c>
      <c r="K67" s="6">
        <f t="shared" si="18"/>
        <v>1460165.9026204536</v>
      </c>
      <c r="L67" s="6">
        <f t="shared" ref="L67:L130" si="21">G67*$R$10</f>
        <v>0</v>
      </c>
      <c r="M67" s="6">
        <f t="shared" ref="M67:M130" si="22">SUM(I67:L67)</f>
        <v>23545874.304051843</v>
      </c>
      <c r="N67" s="6">
        <f t="shared" si="19"/>
        <v>1525050.7740861699</v>
      </c>
      <c r="O67" s="15">
        <f t="shared" si="20"/>
        <v>6.9254938263816471E-2</v>
      </c>
    </row>
    <row r="68" spans="1:15">
      <c r="A68" s="245">
        <v>42917</v>
      </c>
      <c r="B68">
        <f t="shared" si="9"/>
        <v>7</v>
      </c>
      <c r="C68">
        <f t="shared" si="10"/>
        <v>2017</v>
      </c>
      <c r="D68" s="6">
        <v>25196550.486648172</v>
      </c>
      <c r="E68">
        <v>31</v>
      </c>
      <c r="F68">
        <f>'Monthly Data'!BG68</f>
        <v>287.5</v>
      </c>
      <c r="G68">
        <f>'Monthly Data'!CD68</f>
        <v>0</v>
      </c>
      <c r="I68" s="6">
        <f t="shared" si="16"/>
        <v>-912678.24653403205</v>
      </c>
      <c r="J68" s="6">
        <f t="shared" si="17"/>
        <v>23764999.536230937</v>
      </c>
      <c r="K68" s="6">
        <f t="shared" si="18"/>
        <v>1460165.9026204536</v>
      </c>
      <c r="L68" s="6">
        <f t="shared" si="21"/>
        <v>0</v>
      </c>
      <c r="M68" s="6">
        <f t="shared" si="22"/>
        <v>24312487.192317359</v>
      </c>
      <c r="N68" s="6">
        <f t="shared" si="19"/>
        <v>-884063.29433081299</v>
      </c>
      <c r="O68" s="15">
        <f t="shared" si="20"/>
        <v>3.5086679615103832E-2</v>
      </c>
    </row>
    <row r="69" spans="1:15">
      <c r="A69" s="245">
        <v>42948</v>
      </c>
      <c r="B69">
        <f t="shared" si="9"/>
        <v>8</v>
      </c>
      <c r="C69">
        <f t="shared" si="10"/>
        <v>2017</v>
      </c>
      <c r="D69" s="6">
        <v>25935068.388610668</v>
      </c>
      <c r="E69">
        <v>31</v>
      </c>
      <c r="F69">
        <f>'Monthly Data'!BG69</f>
        <v>287.5</v>
      </c>
      <c r="G69">
        <f>'Monthly Data'!CD69</f>
        <v>0</v>
      </c>
      <c r="I69" s="6">
        <f t="shared" si="16"/>
        <v>-912678.24653403205</v>
      </c>
      <c r="J69" s="6">
        <f t="shared" si="17"/>
        <v>23764999.536230937</v>
      </c>
      <c r="K69" s="6">
        <f t="shared" si="18"/>
        <v>1460165.9026204536</v>
      </c>
      <c r="L69" s="6">
        <f t="shared" si="21"/>
        <v>0</v>
      </c>
      <c r="M69" s="6">
        <f t="shared" si="22"/>
        <v>24312487.192317359</v>
      </c>
      <c r="N69" s="6">
        <f t="shared" si="19"/>
        <v>-1622581.1962933093</v>
      </c>
      <c r="O69" s="15">
        <f t="shared" si="20"/>
        <v>6.2563212557629602E-2</v>
      </c>
    </row>
    <row r="70" spans="1:15">
      <c r="A70" s="245">
        <v>42979</v>
      </c>
      <c r="B70">
        <f t="shared" si="9"/>
        <v>9</v>
      </c>
      <c r="C70">
        <f t="shared" si="10"/>
        <v>2017</v>
      </c>
      <c r="D70" s="6">
        <v>23196321.158298172</v>
      </c>
      <c r="E70">
        <v>30</v>
      </c>
      <c r="F70">
        <f>'Monthly Data'!BG70</f>
        <v>287.5</v>
      </c>
      <c r="G70">
        <f>'Monthly Data'!CD70</f>
        <v>1</v>
      </c>
      <c r="I70" s="6">
        <f t="shared" si="16"/>
        <v>-912678.24653403205</v>
      </c>
      <c r="J70" s="6">
        <f t="shared" si="17"/>
        <v>22998386.64796542</v>
      </c>
      <c r="K70" s="6">
        <f t="shared" si="18"/>
        <v>1460165.9026204536</v>
      </c>
      <c r="L70" s="6">
        <f t="shared" si="21"/>
        <v>-580482.53600244795</v>
      </c>
      <c r="M70" s="6">
        <f t="shared" si="22"/>
        <v>22965391.768049393</v>
      </c>
      <c r="N70" s="6">
        <f t="shared" si="19"/>
        <v>-230929.39024877921</v>
      </c>
      <c r="O70" s="15">
        <f t="shared" si="20"/>
        <v>9.9554316683603643E-3</v>
      </c>
    </row>
    <row r="71" spans="1:15">
      <c r="A71" s="245">
        <v>43009</v>
      </c>
      <c r="B71">
        <f t="shared" si="9"/>
        <v>10</v>
      </c>
      <c r="C71">
        <f t="shared" si="10"/>
        <v>2017</v>
      </c>
      <c r="D71" s="6">
        <v>21727825.500520673</v>
      </c>
      <c r="E71">
        <v>31</v>
      </c>
      <c r="F71">
        <f>'Monthly Data'!BG71</f>
        <v>287.5</v>
      </c>
      <c r="G71">
        <f>'Monthly Data'!CD71</f>
        <v>1</v>
      </c>
      <c r="I71" s="6">
        <f t="shared" si="16"/>
        <v>-912678.24653403205</v>
      </c>
      <c r="J71" s="6">
        <f t="shared" si="17"/>
        <v>23764999.536230937</v>
      </c>
      <c r="K71" s="6">
        <f t="shared" si="18"/>
        <v>1460165.9026204536</v>
      </c>
      <c r="L71" s="6">
        <f t="shared" si="21"/>
        <v>-580482.53600244795</v>
      </c>
      <c r="M71" s="6">
        <f t="shared" si="22"/>
        <v>23732004.656314909</v>
      </c>
      <c r="N71" s="6">
        <f t="shared" si="19"/>
        <v>2004179.1557942368</v>
      </c>
      <c r="O71" s="15">
        <f t="shared" si="20"/>
        <v>9.2240208563264176E-2</v>
      </c>
    </row>
    <row r="72" spans="1:15">
      <c r="A72" s="245">
        <v>43040</v>
      </c>
      <c r="B72">
        <f t="shared" si="9"/>
        <v>11</v>
      </c>
      <c r="C72">
        <f t="shared" si="10"/>
        <v>2017</v>
      </c>
      <c r="D72" s="6">
        <v>22779673.47253067</v>
      </c>
      <c r="E72">
        <v>30</v>
      </c>
      <c r="F72">
        <f>'Monthly Data'!BG72</f>
        <v>287.5</v>
      </c>
      <c r="G72">
        <f>'Monthly Data'!CD72</f>
        <v>0</v>
      </c>
      <c r="I72" s="6">
        <f t="shared" si="16"/>
        <v>-912678.24653403205</v>
      </c>
      <c r="J72" s="6">
        <f t="shared" si="17"/>
        <v>22998386.64796542</v>
      </c>
      <c r="K72" s="6">
        <f t="shared" si="18"/>
        <v>1460165.9026204536</v>
      </c>
      <c r="L72" s="6">
        <f t="shared" si="21"/>
        <v>0</v>
      </c>
      <c r="M72" s="6">
        <f t="shared" si="22"/>
        <v>23545874.304051843</v>
      </c>
      <c r="N72" s="6">
        <f t="shared" si="19"/>
        <v>766200.83152117208</v>
      </c>
      <c r="O72" s="15">
        <f t="shared" si="20"/>
        <v>3.3635285968655823E-2</v>
      </c>
    </row>
    <row r="73" spans="1:15">
      <c r="A73" s="245">
        <v>43070</v>
      </c>
      <c r="B73">
        <f t="shared" si="9"/>
        <v>12</v>
      </c>
      <c r="C73">
        <f t="shared" si="10"/>
        <v>2017</v>
      </c>
      <c r="D73" s="6">
        <v>24346987.087623172</v>
      </c>
      <c r="E73">
        <v>31</v>
      </c>
      <c r="F73">
        <f>'Monthly Data'!BG73</f>
        <v>287.5</v>
      </c>
      <c r="G73">
        <f>'Monthly Data'!CD73</f>
        <v>0</v>
      </c>
      <c r="I73" s="6">
        <f t="shared" si="16"/>
        <v>-912678.24653403205</v>
      </c>
      <c r="J73" s="6">
        <f t="shared" si="17"/>
        <v>23764999.536230937</v>
      </c>
      <c r="K73" s="6">
        <f t="shared" si="18"/>
        <v>1460165.9026204536</v>
      </c>
      <c r="L73" s="6">
        <f t="shared" si="21"/>
        <v>0</v>
      </c>
      <c r="M73" s="6">
        <f t="shared" si="22"/>
        <v>24312487.192317359</v>
      </c>
      <c r="N73" s="6">
        <f t="shared" si="19"/>
        <v>-34499.895305812359</v>
      </c>
      <c r="O73" s="15">
        <f t="shared" si="20"/>
        <v>1.4170088143411566E-3</v>
      </c>
    </row>
    <row r="74" spans="1:15">
      <c r="A74" s="245">
        <v>43101</v>
      </c>
      <c r="B74">
        <f t="shared" si="9"/>
        <v>1</v>
      </c>
      <c r="C74">
        <f t="shared" si="10"/>
        <v>2018</v>
      </c>
      <c r="D74" s="6">
        <v>24030797.076124121</v>
      </c>
      <c r="E74">
        <v>31</v>
      </c>
      <c r="F74">
        <f>'Monthly Data'!BG74</f>
        <v>277</v>
      </c>
      <c r="G74">
        <f>'Monthly Data'!CD74</f>
        <v>0</v>
      </c>
      <c r="I74" s="6">
        <f t="shared" si="16"/>
        <v>-912678.24653403205</v>
      </c>
      <c r="J74" s="6">
        <f t="shared" si="17"/>
        <v>23764999.536230937</v>
      </c>
      <c r="K74" s="6">
        <f t="shared" si="18"/>
        <v>1406838.1044377936</v>
      </c>
      <c r="L74" s="6">
        <f t="shared" si="21"/>
        <v>0</v>
      </c>
      <c r="M74" s="6">
        <f t="shared" si="22"/>
        <v>24259159.3941347</v>
      </c>
      <c r="N74" s="6">
        <f t="shared" si="19"/>
        <v>228362.31801057979</v>
      </c>
      <c r="O74" s="15">
        <f t="shared" si="20"/>
        <v>9.5029023501459284E-3</v>
      </c>
    </row>
    <row r="75" spans="1:15">
      <c r="A75" s="245">
        <v>43132</v>
      </c>
      <c r="B75">
        <f t="shared" si="9"/>
        <v>2</v>
      </c>
      <c r="C75">
        <f t="shared" si="10"/>
        <v>2018</v>
      </c>
      <c r="D75" s="6">
        <v>23607900.000506617</v>
      </c>
      <c r="E75">
        <v>28</v>
      </c>
      <c r="F75">
        <f>'Monthly Data'!BG75</f>
        <v>277</v>
      </c>
      <c r="G75">
        <f>'Monthly Data'!CD75</f>
        <v>0</v>
      </c>
      <c r="I75" s="6">
        <f t="shared" si="16"/>
        <v>-912678.24653403205</v>
      </c>
      <c r="J75" s="6">
        <f t="shared" si="17"/>
        <v>21465160.871434394</v>
      </c>
      <c r="K75" s="6">
        <f t="shared" si="18"/>
        <v>1406838.1044377936</v>
      </c>
      <c r="L75" s="6">
        <f t="shared" si="21"/>
        <v>0</v>
      </c>
      <c r="M75" s="6">
        <f t="shared" si="22"/>
        <v>21959320.729338158</v>
      </c>
      <c r="N75" s="6">
        <f t="shared" si="19"/>
        <v>-1648579.2711684592</v>
      </c>
      <c r="O75" s="15">
        <f t="shared" si="20"/>
        <v>6.9831678003256598E-2</v>
      </c>
    </row>
    <row r="76" spans="1:15">
      <c r="A76" s="245">
        <v>43160</v>
      </c>
      <c r="B76">
        <f t="shared" si="9"/>
        <v>3</v>
      </c>
      <c r="C76">
        <f t="shared" si="10"/>
        <v>2018</v>
      </c>
      <c r="D76" s="6">
        <v>24184575.780379117</v>
      </c>
      <c r="E76">
        <v>31</v>
      </c>
      <c r="F76">
        <f>'Monthly Data'!BG76</f>
        <v>277</v>
      </c>
      <c r="G76">
        <f>'Monthly Data'!CD76</f>
        <v>0</v>
      </c>
      <c r="I76" s="6">
        <f t="shared" si="16"/>
        <v>-912678.24653403205</v>
      </c>
      <c r="J76" s="6">
        <f t="shared" si="17"/>
        <v>23764999.536230937</v>
      </c>
      <c r="K76" s="6">
        <f t="shared" si="18"/>
        <v>1406838.1044377936</v>
      </c>
      <c r="L76" s="6">
        <f t="shared" si="21"/>
        <v>0</v>
      </c>
      <c r="M76" s="6">
        <f t="shared" si="22"/>
        <v>24259159.3941347</v>
      </c>
      <c r="N76" s="6">
        <f t="shared" si="19"/>
        <v>74583.613755583763</v>
      </c>
      <c r="O76" s="15">
        <f t="shared" si="20"/>
        <v>3.0839330998765442E-3</v>
      </c>
    </row>
    <row r="77" spans="1:15">
      <c r="A77" s="245">
        <v>43191</v>
      </c>
      <c r="B77">
        <f t="shared" si="9"/>
        <v>4</v>
      </c>
      <c r="C77">
        <f t="shared" si="10"/>
        <v>2018</v>
      </c>
      <c r="D77" s="6">
        <v>20447079.493624117</v>
      </c>
      <c r="E77">
        <v>30</v>
      </c>
      <c r="F77">
        <f>'Monthly Data'!BG77</f>
        <v>277</v>
      </c>
      <c r="G77">
        <f>'Monthly Data'!CD77</f>
        <v>0</v>
      </c>
      <c r="I77" s="6">
        <f t="shared" si="16"/>
        <v>-912678.24653403205</v>
      </c>
      <c r="J77" s="6">
        <f t="shared" si="17"/>
        <v>22998386.64796542</v>
      </c>
      <c r="K77" s="6">
        <f t="shared" si="18"/>
        <v>1406838.1044377936</v>
      </c>
      <c r="L77" s="6">
        <f t="shared" si="21"/>
        <v>0</v>
      </c>
      <c r="M77" s="6">
        <f t="shared" si="22"/>
        <v>23492546.505869184</v>
      </c>
      <c r="N77" s="6">
        <f t="shared" si="19"/>
        <v>3045467.0122450665</v>
      </c>
      <c r="O77" s="15">
        <f t="shared" si="20"/>
        <v>0.14894386326393044</v>
      </c>
    </row>
    <row r="78" spans="1:15">
      <c r="A78" s="245">
        <v>43221</v>
      </c>
      <c r="B78">
        <f t="shared" si="9"/>
        <v>5</v>
      </c>
      <c r="C78">
        <f t="shared" si="10"/>
        <v>2018</v>
      </c>
      <c r="D78" s="6">
        <v>20467367.670296621</v>
      </c>
      <c r="E78">
        <v>31</v>
      </c>
      <c r="F78">
        <f>'Monthly Data'!BG78</f>
        <v>277</v>
      </c>
      <c r="G78">
        <f>'Monthly Data'!CD78</f>
        <v>0</v>
      </c>
      <c r="I78" s="6">
        <f t="shared" si="16"/>
        <v>-912678.24653403205</v>
      </c>
      <c r="J78" s="6">
        <f t="shared" si="17"/>
        <v>23764999.536230937</v>
      </c>
      <c r="K78" s="6">
        <f t="shared" si="18"/>
        <v>1406838.1044377936</v>
      </c>
      <c r="L78" s="6">
        <f t="shared" si="21"/>
        <v>0</v>
      </c>
      <c r="M78" s="6">
        <f t="shared" si="22"/>
        <v>24259159.3941347</v>
      </c>
      <c r="N78" s="6">
        <f t="shared" si="19"/>
        <v>3791791.7238380797</v>
      </c>
      <c r="O78" s="15">
        <f t="shared" si="20"/>
        <v>0.18526035125371487</v>
      </c>
    </row>
    <row r="79" spans="1:15">
      <c r="A79" s="245">
        <v>43252</v>
      </c>
      <c r="B79">
        <f t="shared" si="9"/>
        <v>6</v>
      </c>
      <c r="C79">
        <f t="shared" si="10"/>
        <v>2018</v>
      </c>
      <c r="D79" s="6">
        <v>23114127.887111623</v>
      </c>
      <c r="E79">
        <v>30</v>
      </c>
      <c r="F79">
        <f>'Monthly Data'!BG79</f>
        <v>277</v>
      </c>
      <c r="G79">
        <f>'Monthly Data'!CD79</f>
        <v>0</v>
      </c>
      <c r="I79" s="6">
        <f t="shared" si="16"/>
        <v>-912678.24653403205</v>
      </c>
      <c r="J79" s="6">
        <f t="shared" si="17"/>
        <v>22998386.64796542</v>
      </c>
      <c r="K79" s="6">
        <f t="shared" si="18"/>
        <v>1406838.1044377936</v>
      </c>
      <c r="L79" s="6">
        <f t="shared" si="21"/>
        <v>0</v>
      </c>
      <c r="M79" s="6">
        <f t="shared" si="22"/>
        <v>23492546.505869184</v>
      </c>
      <c r="N79" s="6">
        <f t="shared" si="19"/>
        <v>378418.61875756085</v>
      </c>
      <c r="O79" s="15">
        <f t="shared" si="20"/>
        <v>1.6371745479896133E-2</v>
      </c>
    </row>
    <row r="80" spans="1:15">
      <c r="A80" s="245">
        <v>43282</v>
      </c>
      <c r="B80">
        <f t="shared" si="9"/>
        <v>7</v>
      </c>
      <c r="C80">
        <f t="shared" si="10"/>
        <v>2018</v>
      </c>
      <c r="D80" s="6">
        <v>24129130.22400412</v>
      </c>
      <c r="E80">
        <v>31</v>
      </c>
      <c r="F80">
        <f>'Monthly Data'!BG80</f>
        <v>277</v>
      </c>
      <c r="G80">
        <f>'Monthly Data'!CD80</f>
        <v>0</v>
      </c>
      <c r="I80" s="6">
        <f t="shared" si="16"/>
        <v>-912678.24653403205</v>
      </c>
      <c r="J80" s="6">
        <f t="shared" si="17"/>
        <v>23764999.536230937</v>
      </c>
      <c r="K80" s="6">
        <f t="shared" si="18"/>
        <v>1406838.1044377936</v>
      </c>
      <c r="L80" s="6">
        <f t="shared" si="21"/>
        <v>0</v>
      </c>
      <c r="M80" s="6">
        <f t="shared" si="22"/>
        <v>24259159.3941347</v>
      </c>
      <c r="N80" s="6">
        <f t="shared" si="19"/>
        <v>130029.17013058066</v>
      </c>
      <c r="O80" s="15">
        <f t="shared" si="20"/>
        <v>5.3888875779378557E-3</v>
      </c>
    </row>
    <row r="81" spans="1:15">
      <c r="A81" s="245">
        <v>43313</v>
      </c>
      <c r="B81">
        <f t="shared" si="9"/>
        <v>8</v>
      </c>
      <c r="C81">
        <f t="shared" si="10"/>
        <v>2018</v>
      </c>
      <c r="D81" s="6">
        <v>23113894.718846615</v>
      </c>
      <c r="E81">
        <v>31</v>
      </c>
      <c r="F81">
        <f>'Monthly Data'!BG81</f>
        <v>277</v>
      </c>
      <c r="G81">
        <f>'Monthly Data'!CD81</f>
        <v>0</v>
      </c>
      <c r="I81" s="6">
        <f t="shared" si="16"/>
        <v>-912678.24653403205</v>
      </c>
      <c r="J81" s="6">
        <f t="shared" si="17"/>
        <v>23764999.536230937</v>
      </c>
      <c r="K81" s="6">
        <f t="shared" si="18"/>
        <v>1406838.1044377936</v>
      </c>
      <c r="L81" s="6">
        <f t="shared" si="21"/>
        <v>0</v>
      </c>
      <c r="M81" s="6">
        <f t="shared" si="22"/>
        <v>24259159.3941347</v>
      </c>
      <c r="N81" s="6">
        <f t="shared" si="19"/>
        <v>1145264.6752880849</v>
      </c>
      <c r="O81" s="15">
        <f t="shared" si="20"/>
        <v>4.9548753648785054E-2</v>
      </c>
    </row>
    <row r="82" spans="1:15">
      <c r="A82" s="245">
        <v>43344</v>
      </c>
      <c r="B82">
        <f t="shared" si="9"/>
        <v>9</v>
      </c>
      <c r="C82">
        <f t="shared" si="10"/>
        <v>2018</v>
      </c>
      <c r="D82" s="6">
        <v>25785716.361446619</v>
      </c>
      <c r="E82">
        <v>30</v>
      </c>
      <c r="F82">
        <f>'Monthly Data'!BG82</f>
        <v>277</v>
      </c>
      <c r="G82">
        <f>'Monthly Data'!CD82</f>
        <v>1</v>
      </c>
      <c r="I82" s="6">
        <f t="shared" si="16"/>
        <v>-912678.24653403205</v>
      </c>
      <c r="J82" s="6">
        <f t="shared" si="17"/>
        <v>22998386.64796542</v>
      </c>
      <c r="K82" s="6">
        <f t="shared" si="18"/>
        <v>1406838.1044377936</v>
      </c>
      <c r="L82" s="6">
        <f t="shared" si="21"/>
        <v>-580482.53600244795</v>
      </c>
      <c r="M82" s="6">
        <f t="shared" si="22"/>
        <v>22912063.969866734</v>
      </c>
      <c r="N82" s="6">
        <f t="shared" si="19"/>
        <v>-2873652.391579885</v>
      </c>
      <c r="O82" s="15">
        <f t="shared" si="20"/>
        <v>0.11144357408182817</v>
      </c>
    </row>
    <row r="83" spans="1:15">
      <c r="A83" s="245">
        <v>43374</v>
      </c>
      <c r="B83">
        <f t="shared" si="9"/>
        <v>10</v>
      </c>
      <c r="C83">
        <f t="shared" si="10"/>
        <v>2018</v>
      </c>
      <c r="D83" s="6">
        <v>26978514.377389114</v>
      </c>
      <c r="E83">
        <v>31</v>
      </c>
      <c r="F83">
        <f>'Monthly Data'!BG83</f>
        <v>277</v>
      </c>
      <c r="G83">
        <f>'Monthly Data'!CD83</f>
        <v>1</v>
      </c>
      <c r="I83" s="6">
        <f t="shared" si="16"/>
        <v>-912678.24653403205</v>
      </c>
      <c r="J83" s="6">
        <f t="shared" si="17"/>
        <v>23764999.536230937</v>
      </c>
      <c r="K83" s="6">
        <f t="shared" si="18"/>
        <v>1406838.1044377936</v>
      </c>
      <c r="L83" s="6">
        <f t="shared" si="21"/>
        <v>-580482.53600244795</v>
      </c>
      <c r="M83" s="6">
        <f t="shared" si="22"/>
        <v>23678676.858132251</v>
      </c>
      <c r="N83" s="6">
        <f t="shared" si="19"/>
        <v>-3299837.5192568637</v>
      </c>
      <c r="O83" s="15">
        <f t="shared" si="20"/>
        <v>0.12231353710204595</v>
      </c>
    </row>
    <row r="84" spans="1:15">
      <c r="A84" s="245">
        <v>43405</v>
      </c>
      <c r="B84">
        <f t="shared" si="9"/>
        <v>11</v>
      </c>
      <c r="C84">
        <f t="shared" si="10"/>
        <v>2018</v>
      </c>
      <c r="D84" s="6">
        <v>25502858.161976617</v>
      </c>
      <c r="E84">
        <v>30</v>
      </c>
      <c r="F84">
        <f>'Monthly Data'!BG84</f>
        <v>277</v>
      </c>
      <c r="G84">
        <f>'Monthly Data'!CD84</f>
        <v>0</v>
      </c>
      <c r="I84" s="6">
        <f t="shared" si="16"/>
        <v>-912678.24653403205</v>
      </c>
      <c r="J84" s="6">
        <f t="shared" si="17"/>
        <v>22998386.64796542</v>
      </c>
      <c r="K84" s="6">
        <f t="shared" si="18"/>
        <v>1406838.1044377936</v>
      </c>
      <c r="L84" s="6">
        <f t="shared" si="21"/>
        <v>0</v>
      </c>
      <c r="M84" s="6">
        <f t="shared" si="22"/>
        <v>23492546.505869184</v>
      </c>
      <c r="N84" s="6">
        <f t="shared" si="19"/>
        <v>-2010311.6561074331</v>
      </c>
      <c r="O84" s="15">
        <f t="shared" si="20"/>
        <v>7.8826915922102378E-2</v>
      </c>
    </row>
    <row r="85" spans="1:15">
      <c r="A85" s="245">
        <v>43435</v>
      </c>
      <c r="B85">
        <f t="shared" si="9"/>
        <v>12</v>
      </c>
      <c r="C85">
        <f t="shared" si="10"/>
        <v>2018</v>
      </c>
      <c r="D85" s="6">
        <v>26590020.965354118</v>
      </c>
      <c r="E85">
        <v>31</v>
      </c>
      <c r="F85">
        <f>'Monthly Data'!BG85</f>
        <v>277</v>
      </c>
      <c r="G85">
        <f>'Monthly Data'!CD85</f>
        <v>0</v>
      </c>
      <c r="I85" s="6">
        <f t="shared" si="16"/>
        <v>-912678.24653403205</v>
      </c>
      <c r="J85" s="6">
        <f t="shared" si="17"/>
        <v>23764999.536230937</v>
      </c>
      <c r="K85" s="6">
        <f t="shared" si="18"/>
        <v>1406838.1044377936</v>
      </c>
      <c r="L85" s="6">
        <f t="shared" si="21"/>
        <v>0</v>
      </c>
      <c r="M85" s="6">
        <f t="shared" si="22"/>
        <v>24259159.3941347</v>
      </c>
      <c r="N85" s="6">
        <f t="shared" si="19"/>
        <v>-2330861.5712194182</v>
      </c>
      <c r="O85" s="15">
        <f t="shared" si="20"/>
        <v>8.7659260376531878E-2</v>
      </c>
    </row>
    <row r="86" spans="1:15">
      <c r="A86" s="245">
        <v>43466</v>
      </c>
      <c r="B86">
        <f t="shared" ref="B86:B97" si="23">MONTH(A86)</f>
        <v>1</v>
      </c>
      <c r="C86">
        <f t="shared" ref="C86:C97" si="24">YEAR(A86)</f>
        <v>2019</v>
      </c>
      <c r="D86" s="6">
        <v>27118039.413846616</v>
      </c>
      <c r="E86">
        <v>31</v>
      </c>
      <c r="F86">
        <f>'Monthly Data'!BG86</f>
        <v>274.8</v>
      </c>
      <c r="G86">
        <f>'Monthly Data'!CD86</f>
        <v>0</v>
      </c>
      <c r="I86" s="6">
        <f t="shared" si="16"/>
        <v>-912678.24653403205</v>
      </c>
      <c r="J86" s="6">
        <f t="shared" si="17"/>
        <v>23764999.536230937</v>
      </c>
      <c r="K86" s="6">
        <f t="shared" si="18"/>
        <v>1395664.661009046</v>
      </c>
      <c r="L86" s="6">
        <f t="shared" si="21"/>
        <v>0</v>
      </c>
      <c r="M86" s="6">
        <f t="shared" si="22"/>
        <v>24247985.950705953</v>
      </c>
      <c r="N86" s="6">
        <f t="shared" si="19"/>
        <v>-2870053.4631406628</v>
      </c>
      <c r="O86" s="15">
        <f t="shared" si="20"/>
        <v>0.10583558122845703</v>
      </c>
    </row>
    <row r="87" spans="1:15">
      <c r="A87" s="245">
        <v>43497</v>
      </c>
      <c r="B87">
        <f t="shared" si="23"/>
        <v>2</v>
      </c>
      <c r="C87">
        <f t="shared" si="24"/>
        <v>2019</v>
      </c>
      <c r="D87" s="6">
        <v>23388651.413846616</v>
      </c>
      <c r="E87">
        <v>28</v>
      </c>
      <c r="F87">
        <f>'Monthly Data'!BG87</f>
        <v>274.8</v>
      </c>
      <c r="G87">
        <f>'Monthly Data'!CD87</f>
        <v>0</v>
      </c>
      <c r="I87" s="6">
        <f t="shared" si="16"/>
        <v>-912678.24653403205</v>
      </c>
      <c r="J87" s="6">
        <f t="shared" si="17"/>
        <v>21465160.871434394</v>
      </c>
      <c r="K87" s="6">
        <f t="shared" si="18"/>
        <v>1395664.661009046</v>
      </c>
      <c r="L87" s="6">
        <f t="shared" si="21"/>
        <v>0</v>
      </c>
      <c r="M87" s="6">
        <f t="shared" si="22"/>
        <v>21948147.285909411</v>
      </c>
      <c r="N87" s="6">
        <f t="shared" si="19"/>
        <v>-1440504.1279372051</v>
      </c>
      <c r="O87" s="15">
        <f t="shared" si="20"/>
        <v>6.1589875467740467E-2</v>
      </c>
    </row>
    <row r="88" spans="1:15">
      <c r="A88" s="245">
        <v>43525</v>
      </c>
      <c r="B88">
        <f t="shared" si="23"/>
        <v>3</v>
      </c>
      <c r="C88">
        <f t="shared" si="24"/>
        <v>2019</v>
      </c>
      <c r="D88" s="6">
        <v>26455697.413846616</v>
      </c>
      <c r="E88">
        <v>31</v>
      </c>
      <c r="F88">
        <f>'Monthly Data'!BG88</f>
        <v>274.8</v>
      </c>
      <c r="G88">
        <f>'Monthly Data'!CD88</f>
        <v>0</v>
      </c>
      <c r="I88" s="6">
        <f t="shared" si="16"/>
        <v>-912678.24653403205</v>
      </c>
      <c r="J88" s="6">
        <f t="shared" si="17"/>
        <v>23764999.536230937</v>
      </c>
      <c r="K88" s="6">
        <f t="shared" si="18"/>
        <v>1395664.661009046</v>
      </c>
      <c r="L88" s="6">
        <f t="shared" si="21"/>
        <v>0</v>
      </c>
      <c r="M88" s="6">
        <f t="shared" si="22"/>
        <v>24247985.950705953</v>
      </c>
      <c r="N88" s="6">
        <f t="shared" si="19"/>
        <v>-2207711.4631406628</v>
      </c>
      <c r="O88" s="15">
        <f t="shared" si="20"/>
        <v>8.3449376843309803E-2</v>
      </c>
    </row>
    <row r="89" spans="1:15">
      <c r="A89" s="245">
        <v>43556</v>
      </c>
      <c r="B89">
        <f t="shared" si="23"/>
        <v>4</v>
      </c>
      <c r="C89">
        <f t="shared" si="24"/>
        <v>2019</v>
      </c>
      <c r="D89" s="6">
        <v>24975526.413846616</v>
      </c>
      <c r="E89">
        <v>30</v>
      </c>
      <c r="F89">
        <f>'Monthly Data'!BG89</f>
        <v>274.8</v>
      </c>
      <c r="G89">
        <f>'Monthly Data'!CD89</f>
        <v>0</v>
      </c>
      <c r="I89" s="6">
        <f t="shared" si="16"/>
        <v>-912678.24653403205</v>
      </c>
      <c r="J89" s="6">
        <f t="shared" si="17"/>
        <v>22998386.64796542</v>
      </c>
      <c r="K89" s="6">
        <f t="shared" si="18"/>
        <v>1395664.661009046</v>
      </c>
      <c r="L89" s="6">
        <f t="shared" si="21"/>
        <v>0</v>
      </c>
      <c r="M89" s="6">
        <f t="shared" si="22"/>
        <v>23481373.062440436</v>
      </c>
      <c r="N89" s="6">
        <f t="shared" si="19"/>
        <v>-1494153.3514061794</v>
      </c>
      <c r="O89" s="15">
        <f t="shared" si="20"/>
        <v>5.9824699053302427E-2</v>
      </c>
    </row>
    <row r="90" spans="1:15">
      <c r="A90" s="245">
        <v>43586</v>
      </c>
      <c r="B90">
        <f t="shared" si="23"/>
        <v>5</v>
      </c>
      <c r="C90">
        <f t="shared" si="24"/>
        <v>2019</v>
      </c>
      <c r="D90" s="6">
        <v>24814589.413846616</v>
      </c>
      <c r="E90">
        <v>31</v>
      </c>
      <c r="F90">
        <f>'Monthly Data'!BG90</f>
        <v>274.8</v>
      </c>
      <c r="G90">
        <f>'Monthly Data'!CD90</f>
        <v>0</v>
      </c>
      <c r="I90" s="6">
        <f t="shared" si="16"/>
        <v>-912678.24653403205</v>
      </c>
      <c r="J90" s="6">
        <f t="shared" si="17"/>
        <v>23764999.536230937</v>
      </c>
      <c r="K90" s="6">
        <f t="shared" si="18"/>
        <v>1395664.661009046</v>
      </c>
      <c r="L90" s="6">
        <f t="shared" si="21"/>
        <v>0</v>
      </c>
      <c r="M90" s="6">
        <f t="shared" si="22"/>
        <v>24247985.950705953</v>
      </c>
      <c r="N90" s="6">
        <f t="shared" si="19"/>
        <v>-566603.46314066276</v>
      </c>
      <c r="O90" s="15">
        <f t="shared" si="20"/>
        <v>2.2833481291634684E-2</v>
      </c>
    </row>
    <row r="91" spans="1:15">
      <c r="A91" s="245">
        <v>43617</v>
      </c>
      <c r="B91">
        <f t="shared" si="23"/>
        <v>6</v>
      </c>
      <c r="C91">
        <f t="shared" si="24"/>
        <v>2019</v>
      </c>
      <c r="D91" s="6">
        <v>24769202.413846616</v>
      </c>
      <c r="E91">
        <v>30</v>
      </c>
      <c r="F91">
        <f>'Monthly Data'!BG91</f>
        <v>274.8</v>
      </c>
      <c r="G91">
        <f>'Monthly Data'!CD91</f>
        <v>0</v>
      </c>
      <c r="I91" s="6">
        <f t="shared" si="16"/>
        <v>-912678.24653403205</v>
      </c>
      <c r="J91" s="6">
        <f t="shared" si="17"/>
        <v>22998386.64796542</v>
      </c>
      <c r="K91" s="6">
        <f t="shared" si="18"/>
        <v>1395664.661009046</v>
      </c>
      <c r="L91" s="6">
        <f t="shared" si="21"/>
        <v>0</v>
      </c>
      <c r="M91" s="6">
        <f t="shared" si="22"/>
        <v>23481373.062440436</v>
      </c>
      <c r="N91" s="6">
        <f t="shared" si="19"/>
        <v>-1287829.3514061794</v>
      </c>
      <c r="O91" s="15">
        <f t="shared" si="20"/>
        <v>5.1993169981373724E-2</v>
      </c>
    </row>
    <row r="92" spans="1:15">
      <c r="A92" s="245">
        <v>43647</v>
      </c>
      <c r="B92">
        <f t="shared" si="23"/>
        <v>7</v>
      </c>
      <c r="C92">
        <f t="shared" si="24"/>
        <v>2019</v>
      </c>
      <c r="D92" s="6">
        <v>25659112.413846616</v>
      </c>
      <c r="E92">
        <v>31</v>
      </c>
      <c r="F92">
        <f>'Monthly Data'!BG92</f>
        <v>274.8</v>
      </c>
      <c r="G92">
        <f>'Monthly Data'!CD92</f>
        <v>0</v>
      </c>
      <c r="I92" s="6">
        <f t="shared" si="16"/>
        <v>-912678.24653403205</v>
      </c>
      <c r="J92" s="6">
        <f t="shared" si="17"/>
        <v>23764999.536230937</v>
      </c>
      <c r="K92" s="6">
        <f t="shared" si="18"/>
        <v>1395664.661009046</v>
      </c>
      <c r="L92" s="6">
        <f t="shared" si="21"/>
        <v>0</v>
      </c>
      <c r="M92" s="6">
        <f t="shared" si="22"/>
        <v>24247985.950705953</v>
      </c>
      <c r="N92" s="6">
        <f t="shared" si="19"/>
        <v>-1411126.4631406628</v>
      </c>
      <c r="O92" s="15">
        <f t="shared" si="20"/>
        <v>5.4995139363400822E-2</v>
      </c>
    </row>
    <row r="93" spans="1:15">
      <c r="A93" s="245">
        <v>43678</v>
      </c>
      <c r="B93">
        <f t="shared" si="23"/>
        <v>8</v>
      </c>
      <c r="C93">
        <f t="shared" si="24"/>
        <v>2019</v>
      </c>
      <c r="D93" s="6">
        <v>25800358.413846616</v>
      </c>
      <c r="E93">
        <v>31</v>
      </c>
      <c r="F93">
        <f>'Monthly Data'!BG93</f>
        <v>274.8</v>
      </c>
      <c r="G93">
        <f>'Monthly Data'!CD93</f>
        <v>0</v>
      </c>
      <c r="I93" s="6">
        <f t="shared" si="16"/>
        <v>-912678.24653403205</v>
      </c>
      <c r="J93" s="6">
        <f t="shared" si="17"/>
        <v>23764999.536230937</v>
      </c>
      <c r="K93" s="6">
        <f t="shared" si="18"/>
        <v>1395664.661009046</v>
      </c>
      <c r="L93" s="6">
        <f t="shared" si="21"/>
        <v>0</v>
      </c>
      <c r="M93" s="6">
        <f t="shared" si="22"/>
        <v>24247985.950705953</v>
      </c>
      <c r="N93" s="6">
        <f t="shared" si="19"/>
        <v>-1552372.4631406628</v>
      </c>
      <c r="O93" s="15">
        <f t="shared" si="20"/>
        <v>6.0168639452215157E-2</v>
      </c>
    </row>
    <row r="94" spans="1:15">
      <c r="A94" s="245">
        <v>43709</v>
      </c>
      <c r="B94">
        <f t="shared" si="23"/>
        <v>9</v>
      </c>
      <c r="C94">
        <f t="shared" si="24"/>
        <v>2019</v>
      </c>
      <c r="D94" s="6">
        <v>20481893.413846616</v>
      </c>
      <c r="E94">
        <v>30</v>
      </c>
      <c r="F94">
        <f>'Monthly Data'!BG94</f>
        <v>274.8</v>
      </c>
      <c r="G94">
        <f>'Monthly Data'!CD94</f>
        <v>1</v>
      </c>
      <c r="I94" s="6">
        <f t="shared" si="16"/>
        <v>-912678.24653403205</v>
      </c>
      <c r="J94" s="6">
        <f t="shared" si="17"/>
        <v>22998386.64796542</v>
      </c>
      <c r="K94" s="6">
        <f t="shared" si="18"/>
        <v>1395664.661009046</v>
      </c>
      <c r="L94" s="6">
        <f t="shared" si="21"/>
        <v>-580482.53600244795</v>
      </c>
      <c r="M94" s="6">
        <f t="shared" si="22"/>
        <v>22900890.526437987</v>
      </c>
      <c r="N94" s="6">
        <f t="shared" si="19"/>
        <v>2418997.1125913709</v>
      </c>
      <c r="O94" s="15">
        <f t="shared" si="20"/>
        <v>0.11810417443906958</v>
      </c>
    </row>
    <row r="95" spans="1:15">
      <c r="A95" s="245">
        <v>43739</v>
      </c>
      <c r="B95">
        <f t="shared" si="23"/>
        <v>10</v>
      </c>
      <c r="C95">
        <f t="shared" si="24"/>
        <v>2019</v>
      </c>
      <c r="D95" s="6">
        <v>21270461.413846616</v>
      </c>
      <c r="E95">
        <v>31</v>
      </c>
      <c r="F95">
        <f>'Monthly Data'!BG95</f>
        <v>274.8</v>
      </c>
      <c r="G95">
        <f>'Monthly Data'!CD95</f>
        <v>1</v>
      </c>
      <c r="I95" s="6">
        <f t="shared" si="16"/>
        <v>-912678.24653403205</v>
      </c>
      <c r="J95" s="6">
        <f t="shared" si="17"/>
        <v>23764999.536230937</v>
      </c>
      <c r="K95" s="6">
        <f t="shared" si="18"/>
        <v>1395664.661009046</v>
      </c>
      <c r="L95" s="6">
        <f t="shared" si="21"/>
        <v>-580482.53600244795</v>
      </c>
      <c r="M95" s="6">
        <f t="shared" si="22"/>
        <v>23667503.414703503</v>
      </c>
      <c r="N95" s="6">
        <f t="shared" si="19"/>
        <v>2397042.0008568875</v>
      </c>
      <c r="O95" s="15">
        <f t="shared" si="20"/>
        <v>0.1126934650931674</v>
      </c>
    </row>
    <row r="96" spans="1:15">
      <c r="A96" s="245">
        <v>43770</v>
      </c>
      <c r="B96">
        <f t="shared" si="23"/>
        <v>11</v>
      </c>
      <c r="C96">
        <f t="shared" si="24"/>
        <v>2019</v>
      </c>
      <c r="D96" s="6">
        <v>22400751.413846616</v>
      </c>
      <c r="E96">
        <v>30</v>
      </c>
      <c r="F96">
        <f>'Monthly Data'!BG96</f>
        <v>274.8</v>
      </c>
      <c r="G96">
        <f>'Monthly Data'!CD96</f>
        <v>0</v>
      </c>
      <c r="I96" s="6">
        <f t="shared" si="16"/>
        <v>-912678.24653403205</v>
      </c>
      <c r="J96" s="6">
        <f t="shared" si="17"/>
        <v>22998386.64796542</v>
      </c>
      <c r="K96" s="6">
        <f t="shared" si="18"/>
        <v>1395664.661009046</v>
      </c>
      <c r="L96" s="6">
        <f t="shared" si="21"/>
        <v>0</v>
      </c>
      <c r="M96" s="6">
        <f t="shared" si="22"/>
        <v>23481373.062440436</v>
      </c>
      <c r="N96" s="6">
        <f t="shared" si="19"/>
        <v>1080621.6485938206</v>
      </c>
      <c r="O96" s="15">
        <f t="shared" si="20"/>
        <v>4.824041964618446E-2</v>
      </c>
    </row>
    <row r="97" spans="1:15">
      <c r="A97" s="245">
        <v>43800</v>
      </c>
      <c r="B97">
        <f t="shared" si="23"/>
        <v>12</v>
      </c>
      <c r="C97">
        <f t="shared" si="24"/>
        <v>2019</v>
      </c>
      <c r="D97" s="6">
        <v>24791802.413846616</v>
      </c>
      <c r="E97">
        <v>31</v>
      </c>
      <c r="F97">
        <f>'Monthly Data'!BG97</f>
        <v>274.8</v>
      </c>
      <c r="G97">
        <f>'Monthly Data'!CD97</f>
        <v>0</v>
      </c>
      <c r="I97" s="6">
        <f t="shared" si="16"/>
        <v>-912678.24653403205</v>
      </c>
      <c r="J97" s="6">
        <f t="shared" si="17"/>
        <v>23764999.536230937</v>
      </c>
      <c r="K97" s="6">
        <f t="shared" si="18"/>
        <v>1395664.661009046</v>
      </c>
      <c r="L97" s="6">
        <f t="shared" si="21"/>
        <v>0</v>
      </c>
      <c r="M97" s="6">
        <f t="shared" si="22"/>
        <v>24247985.950705953</v>
      </c>
      <c r="N97" s="6">
        <f t="shared" si="19"/>
        <v>-543816.46314066276</v>
      </c>
      <c r="O97" s="15">
        <f t="shared" si="20"/>
        <v>2.1935333868139117E-2</v>
      </c>
    </row>
    <row r="98" spans="1:15">
      <c r="A98" s="245">
        <v>43831</v>
      </c>
      <c r="B98">
        <f t="shared" ref="B98:B119" si="25">MONTH(A98)</f>
        <v>1</v>
      </c>
      <c r="C98">
        <f t="shared" ref="C98:C119" si="26">YEAR(A98)</f>
        <v>2020</v>
      </c>
      <c r="D98" s="6">
        <v>25135181.158154547</v>
      </c>
      <c r="E98">
        <v>31</v>
      </c>
      <c r="F98">
        <f>'Monthly Data'!BG98</f>
        <v>261.60000000000002</v>
      </c>
      <c r="G98">
        <f>'Monthly Data'!CD98</f>
        <v>0</v>
      </c>
      <c r="I98" s="6">
        <f t="shared" ref="I98:I133" si="27">$R$7</f>
        <v>-912678.24653403205</v>
      </c>
      <c r="J98" s="6">
        <f t="shared" ref="J98:J133" si="28">E98*$R$8</f>
        <v>23764999.536230937</v>
      </c>
      <c r="K98" s="6">
        <f t="shared" ref="K98:K133" si="29">F98*$R$9</f>
        <v>1328624.0004365591</v>
      </c>
      <c r="L98" s="6">
        <f t="shared" si="21"/>
        <v>0</v>
      </c>
      <c r="M98" s="6">
        <f t="shared" si="22"/>
        <v>24180945.290133465</v>
      </c>
      <c r="N98" s="6">
        <f t="shared" ref="N98:N129" si="30">M98-D98</f>
        <v>-954235.86802108213</v>
      </c>
      <c r="O98" s="15">
        <f t="shared" ref="O98:O133" si="31">ABS(M98-D98)/D98</f>
        <v>3.7964153192964027E-2</v>
      </c>
    </row>
    <row r="99" spans="1:15">
      <c r="A99" s="245">
        <v>43862</v>
      </c>
      <c r="B99">
        <f t="shared" si="25"/>
        <v>2</v>
      </c>
      <c r="C99">
        <f t="shared" si="26"/>
        <v>2020</v>
      </c>
      <c r="D99" s="6">
        <v>23552584.265354544</v>
      </c>
      <c r="E99">
        <v>29</v>
      </c>
      <c r="F99">
        <f>'Monthly Data'!BG99</f>
        <v>261.60000000000002</v>
      </c>
      <c r="G99">
        <f>'Monthly Data'!CD99</f>
        <v>0</v>
      </c>
      <c r="I99" s="6">
        <f t="shared" si="27"/>
        <v>-912678.24653403205</v>
      </c>
      <c r="J99" s="6">
        <f t="shared" si="28"/>
        <v>22231773.759699907</v>
      </c>
      <c r="K99" s="6">
        <f t="shared" si="29"/>
        <v>1328624.0004365591</v>
      </c>
      <c r="L99" s="6">
        <f t="shared" si="21"/>
        <v>0</v>
      </c>
      <c r="M99" s="6">
        <f t="shared" si="22"/>
        <v>22647719.513602436</v>
      </c>
      <c r="N99" s="6">
        <f t="shared" si="30"/>
        <v>-904864.75175210834</v>
      </c>
      <c r="O99" s="15">
        <f t="shared" si="31"/>
        <v>3.8418915799534964E-2</v>
      </c>
    </row>
    <row r="100" spans="1:15">
      <c r="A100" s="245">
        <v>43891</v>
      </c>
      <c r="B100">
        <f t="shared" si="25"/>
        <v>3</v>
      </c>
      <c r="C100">
        <f t="shared" si="26"/>
        <v>2020</v>
      </c>
      <c r="D100" s="6">
        <v>24259809.83423955</v>
      </c>
      <c r="E100">
        <v>31</v>
      </c>
      <c r="F100">
        <f>'Monthly Data'!BG100</f>
        <v>261.60000000000002</v>
      </c>
      <c r="G100">
        <f>'Monthly Data'!CD100</f>
        <v>0</v>
      </c>
      <c r="I100" s="6">
        <f t="shared" si="27"/>
        <v>-912678.24653403205</v>
      </c>
      <c r="J100" s="6">
        <f t="shared" si="28"/>
        <v>23764999.536230937</v>
      </c>
      <c r="K100" s="6">
        <f t="shared" si="29"/>
        <v>1328624.0004365591</v>
      </c>
      <c r="L100" s="6">
        <f t="shared" si="21"/>
        <v>0</v>
      </c>
      <c r="M100" s="6">
        <f t="shared" si="22"/>
        <v>24180945.290133465</v>
      </c>
      <c r="N100" s="6">
        <f t="shared" si="30"/>
        <v>-78864.544106084853</v>
      </c>
      <c r="O100" s="15">
        <f t="shared" si="31"/>
        <v>3.2508310924506036E-3</v>
      </c>
    </row>
    <row r="101" spans="1:15">
      <c r="A101" s="245">
        <v>43922</v>
      </c>
      <c r="B101">
        <f t="shared" si="25"/>
        <v>4</v>
      </c>
      <c r="C101">
        <f t="shared" si="26"/>
        <v>2020</v>
      </c>
      <c r="D101" s="6">
        <v>22330141.532002047</v>
      </c>
      <c r="E101">
        <v>30</v>
      </c>
      <c r="F101">
        <f>'Monthly Data'!BG101</f>
        <v>261.60000000000002</v>
      </c>
      <c r="G101">
        <f>'Monthly Data'!CD101</f>
        <v>0</v>
      </c>
      <c r="I101" s="6">
        <f t="shared" si="27"/>
        <v>-912678.24653403205</v>
      </c>
      <c r="J101" s="6">
        <f t="shared" si="28"/>
        <v>22998386.64796542</v>
      </c>
      <c r="K101" s="6">
        <f t="shared" si="29"/>
        <v>1328624.0004365591</v>
      </c>
      <c r="L101" s="6">
        <f t="shared" si="21"/>
        <v>0</v>
      </c>
      <c r="M101" s="6">
        <f t="shared" si="22"/>
        <v>23414332.401867948</v>
      </c>
      <c r="N101" s="6">
        <f t="shared" si="30"/>
        <v>1084190.8698659018</v>
      </c>
      <c r="O101" s="15">
        <f t="shared" si="31"/>
        <v>4.8552798839725797E-2</v>
      </c>
    </row>
    <row r="102" spans="1:15">
      <c r="A102" s="245">
        <v>43952</v>
      </c>
      <c r="B102">
        <f t="shared" si="25"/>
        <v>5</v>
      </c>
      <c r="C102">
        <f t="shared" si="26"/>
        <v>2020</v>
      </c>
      <c r="D102" s="6">
        <v>24861819.821774546</v>
      </c>
      <c r="E102">
        <v>31</v>
      </c>
      <c r="F102">
        <f>'Monthly Data'!BG102</f>
        <v>261.60000000000002</v>
      </c>
      <c r="G102">
        <f>'Monthly Data'!CD102</f>
        <v>0</v>
      </c>
      <c r="I102" s="6">
        <f t="shared" si="27"/>
        <v>-912678.24653403205</v>
      </c>
      <c r="J102" s="6">
        <f t="shared" si="28"/>
        <v>23764999.536230937</v>
      </c>
      <c r="K102" s="6">
        <f t="shared" si="29"/>
        <v>1328624.0004365591</v>
      </c>
      <c r="L102" s="6">
        <f t="shared" si="21"/>
        <v>0</v>
      </c>
      <c r="M102" s="6">
        <f t="shared" si="22"/>
        <v>24180945.290133465</v>
      </c>
      <c r="N102" s="6">
        <f t="shared" si="30"/>
        <v>-680874.53164108098</v>
      </c>
      <c r="O102" s="15">
        <f t="shared" si="31"/>
        <v>2.7386351301796324E-2</v>
      </c>
    </row>
    <row r="103" spans="1:15">
      <c r="A103" s="245">
        <v>43983</v>
      </c>
      <c r="B103">
        <f t="shared" si="25"/>
        <v>6</v>
      </c>
      <c r="C103">
        <f t="shared" si="26"/>
        <v>2020</v>
      </c>
      <c r="D103" s="6">
        <v>21367813.809547048</v>
      </c>
      <c r="E103">
        <v>30</v>
      </c>
      <c r="F103">
        <f>'Monthly Data'!BG103</f>
        <v>261.60000000000002</v>
      </c>
      <c r="G103">
        <f>'Monthly Data'!CD103</f>
        <v>0</v>
      </c>
      <c r="I103" s="6">
        <f t="shared" si="27"/>
        <v>-912678.24653403205</v>
      </c>
      <c r="J103" s="6">
        <f t="shared" si="28"/>
        <v>22998386.64796542</v>
      </c>
      <c r="K103" s="6">
        <f t="shared" si="29"/>
        <v>1328624.0004365591</v>
      </c>
      <c r="L103" s="6">
        <f t="shared" si="21"/>
        <v>0</v>
      </c>
      <c r="M103" s="6">
        <f t="shared" si="22"/>
        <v>23414332.401867948</v>
      </c>
      <c r="N103" s="6">
        <f t="shared" si="30"/>
        <v>2046518.5923209004</v>
      </c>
      <c r="O103" s="15">
        <f t="shared" si="31"/>
        <v>9.5775759306107613E-2</v>
      </c>
    </row>
    <row r="104" spans="1:15">
      <c r="A104" s="245">
        <v>44013</v>
      </c>
      <c r="B104">
        <f t="shared" si="25"/>
        <v>7</v>
      </c>
      <c r="C104">
        <f t="shared" si="26"/>
        <v>2020</v>
      </c>
      <c r="D104" s="6">
        <v>24684480.062722046</v>
      </c>
      <c r="E104">
        <v>31</v>
      </c>
      <c r="F104">
        <f>'Monthly Data'!BG104</f>
        <v>261.60000000000002</v>
      </c>
      <c r="G104">
        <f>'Monthly Data'!CD104</f>
        <v>0</v>
      </c>
      <c r="I104" s="6">
        <f t="shared" si="27"/>
        <v>-912678.24653403205</v>
      </c>
      <c r="J104" s="6">
        <f t="shared" si="28"/>
        <v>23764999.536230937</v>
      </c>
      <c r="K104" s="6">
        <f t="shared" si="29"/>
        <v>1328624.0004365591</v>
      </c>
      <c r="L104" s="6">
        <f t="shared" si="21"/>
        <v>0</v>
      </c>
      <c r="M104" s="6">
        <f t="shared" si="22"/>
        <v>24180945.290133465</v>
      </c>
      <c r="N104" s="6">
        <f t="shared" si="30"/>
        <v>-503534.77258858085</v>
      </c>
      <c r="O104" s="15">
        <f t="shared" si="31"/>
        <v>2.0398840539040071E-2</v>
      </c>
    </row>
    <row r="105" spans="1:15">
      <c r="A105" s="245">
        <v>44044</v>
      </c>
      <c r="B105">
        <f t="shared" si="25"/>
        <v>8</v>
      </c>
      <c r="C105">
        <f t="shared" si="26"/>
        <v>2020</v>
      </c>
      <c r="D105" s="6">
        <v>23738014.514782045</v>
      </c>
      <c r="E105">
        <v>31</v>
      </c>
      <c r="F105">
        <f>'Monthly Data'!BG105</f>
        <v>261.60000000000002</v>
      </c>
      <c r="G105">
        <f>'Monthly Data'!CD105</f>
        <v>0</v>
      </c>
      <c r="I105" s="6">
        <f t="shared" si="27"/>
        <v>-912678.24653403205</v>
      </c>
      <c r="J105" s="6">
        <f t="shared" si="28"/>
        <v>23764999.536230937</v>
      </c>
      <c r="K105" s="6">
        <f t="shared" si="29"/>
        <v>1328624.0004365591</v>
      </c>
      <c r="L105" s="6">
        <f t="shared" si="21"/>
        <v>0</v>
      </c>
      <c r="M105" s="6">
        <f t="shared" si="22"/>
        <v>24180945.290133465</v>
      </c>
      <c r="N105" s="6">
        <f t="shared" si="30"/>
        <v>442930.77535142004</v>
      </c>
      <c r="O105" s="15">
        <f t="shared" si="31"/>
        <v>1.8659133225973887E-2</v>
      </c>
    </row>
    <row r="106" spans="1:15">
      <c r="A106" s="245">
        <v>44075</v>
      </c>
      <c r="B106">
        <f t="shared" si="25"/>
        <v>9</v>
      </c>
      <c r="C106">
        <f t="shared" si="26"/>
        <v>2020</v>
      </c>
      <c r="D106" s="6">
        <v>23865840.855869547</v>
      </c>
      <c r="E106">
        <v>30</v>
      </c>
      <c r="F106">
        <f>'Monthly Data'!BG106</f>
        <v>261.60000000000002</v>
      </c>
      <c r="G106">
        <f>'Monthly Data'!CD106</f>
        <v>1</v>
      </c>
      <c r="I106" s="6">
        <f t="shared" si="27"/>
        <v>-912678.24653403205</v>
      </c>
      <c r="J106" s="6">
        <f t="shared" si="28"/>
        <v>22998386.64796542</v>
      </c>
      <c r="K106" s="6">
        <f t="shared" si="29"/>
        <v>1328624.0004365591</v>
      </c>
      <c r="L106" s="6">
        <f t="shared" si="21"/>
        <v>-580482.53600244795</v>
      </c>
      <c r="M106" s="6">
        <f t="shared" si="22"/>
        <v>22833849.865865499</v>
      </c>
      <c r="N106" s="6">
        <f t="shared" si="30"/>
        <v>-1031990.9900040478</v>
      </c>
      <c r="O106" s="15">
        <f t="shared" si="31"/>
        <v>4.324134214404772E-2</v>
      </c>
    </row>
    <row r="107" spans="1:15">
      <c r="A107" s="245">
        <v>44105</v>
      </c>
      <c r="B107">
        <f t="shared" si="25"/>
        <v>10</v>
      </c>
      <c r="C107">
        <f t="shared" si="26"/>
        <v>2020</v>
      </c>
      <c r="D107" s="6">
        <v>22132964.788529545</v>
      </c>
      <c r="E107">
        <v>31</v>
      </c>
      <c r="F107">
        <f>'Monthly Data'!BG107</f>
        <v>261.60000000000002</v>
      </c>
      <c r="G107">
        <f>'Monthly Data'!CD107</f>
        <v>1</v>
      </c>
      <c r="I107" s="6">
        <f t="shared" si="27"/>
        <v>-912678.24653403205</v>
      </c>
      <c r="J107" s="6">
        <f t="shared" si="28"/>
        <v>23764999.536230937</v>
      </c>
      <c r="K107" s="6">
        <f t="shared" si="29"/>
        <v>1328624.0004365591</v>
      </c>
      <c r="L107" s="6">
        <f t="shared" si="21"/>
        <v>-580482.53600244795</v>
      </c>
      <c r="M107" s="6">
        <f t="shared" si="22"/>
        <v>23600462.754131015</v>
      </c>
      <c r="N107" s="6">
        <f t="shared" si="30"/>
        <v>1467497.9656014703</v>
      </c>
      <c r="O107" s="15">
        <f t="shared" si="31"/>
        <v>6.6303722959068015E-2</v>
      </c>
    </row>
    <row r="108" spans="1:15">
      <c r="A108" s="245">
        <v>44136</v>
      </c>
      <c r="B108">
        <f t="shared" si="25"/>
        <v>11</v>
      </c>
      <c r="C108">
        <f t="shared" si="26"/>
        <v>2020</v>
      </c>
      <c r="D108" s="6">
        <v>23376192.536737047</v>
      </c>
      <c r="E108">
        <v>30</v>
      </c>
      <c r="F108">
        <f>'Monthly Data'!BG108</f>
        <v>261.60000000000002</v>
      </c>
      <c r="G108">
        <f>'Monthly Data'!CD108</f>
        <v>0</v>
      </c>
      <c r="I108" s="6">
        <f t="shared" si="27"/>
        <v>-912678.24653403205</v>
      </c>
      <c r="J108" s="6">
        <f t="shared" si="28"/>
        <v>22998386.64796542</v>
      </c>
      <c r="K108" s="6">
        <f t="shared" si="29"/>
        <v>1328624.0004365591</v>
      </c>
      <c r="L108" s="6">
        <f t="shared" si="21"/>
        <v>0</v>
      </c>
      <c r="M108" s="6">
        <f t="shared" si="22"/>
        <v>23414332.401867948</v>
      </c>
      <c r="N108" s="6">
        <f t="shared" si="30"/>
        <v>38139.865130901337</v>
      </c>
      <c r="O108" s="15">
        <f t="shared" si="31"/>
        <v>1.6315687454645283E-3</v>
      </c>
    </row>
    <row r="109" spans="1:15">
      <c r="A109" s="245">
        <v>44166</v>
      </c>
      <c r="B109">
        <f t="shared" si="25"/>
        <v>12</v>
      </c>
      <c r="C109">
        <f t="shared" si="26"/>
        <v>2020</v>
      </c>
      <c r="D109" s="6">
        <v>23288263.563187048</v>
      </c>
      <c r="E109">
        <v>31</v>
      </c>
      <c r="F109">
        <f>'Monthly Data'!BG109</f>
        <v>261.60000000000002</v>
      </c>
      <c r="G109">
        <f>'Monthly Data'!CD109</f>
        <v>0</v>
      </c>
      <c r="I109" s="6">
        <f t="shared" si="27"/>
        <v>-912678.24653403205</v>
      </c>
      <c r="J109" s="6">
        <f t="shared" si="28"/>
        <v>23764999.536230937</v>
      </c>
      <c r="K109" s="6">
        <f t="shared" si="29"/>
        <v>1328624.0004365591</v>
      </c>
      <c r="L109" s="6">
        <f t="shared" si="21"/>
        <v>0</v>
      </c>
      <c r="M109" s="6">
        <f t="shared" si="22"/>
        <v>24180945.290133465</v>
      </c>
      <c r="N109" s="6">
        <f t="shared" si="30"/>
        <v>892681.72694641724</v>
      </c>
      <c r="O109" s="15">
        <f t="shared" si="31"/>
        <v>3.8331828585001289E-2</v>
      </c>
    </row>
    <row r="110" spans="1:15">
      <c r="A110" s="245">
        <v>44197</v>
      </c>
      <c r="B110">
        <f t="shared" si="25"/>
        <v>1</v>
      </c>
      <c r="C110">
        <f t="shared" si="26"/>
        <v>2021</v>
      </c>
      <c r="D110" s="6">
        <v>25406993.664126188</v>
      </c>
      <c r="E110">
        <v>31</v>
      </c>
      <c r="F110">
        <f>'Monthly Data'!BG110</f>
        <v>257.5</v>
      </c>
      <c r="G110">
        <f>'Monthly Data'!CD110</f>
        <v>0</v>
      </c>
      <c r="I110" s="6">
        <f t="shared" si="27"/>
        <v>-912678.24653403205</v>
      </c>
      <c r="J110" s="6">
        <f t="shared" si="28"/>
        <v>23764999.536230937</v>
      </c>
      <c r="K110" s="6">
        <f t="shared" si="29"/>
        <v>1307800.7649557106</v>
      </c>
      <c r="L110" s="6">
        <f t="shared" si="21"/>
        <v>0</v>
      </c>
      <c r="M110" s="6">
        <f t="shared" si="22"/>
        <v>24160122.054652616</v>
      </c>
      <c r="N110" s="6">
        <f t="shared" si="30"/>
        <v>-1246871.6094735712</v>
      </c>
      <c r="O110" s="15">
        <f t="shared" si="31"/>
        <v>4.9075920825458051E-2</v>
      </c>
    </row>
    <row r="111" spans="1:15">
      <c r="A111" s="245">
        <v>44228</v>
      </c>
      <c r="B111">
        <f t="shared" si="25"/>
        <v>2</v>
      </c>
      <c r="C111">
        <f t="shared" si="26"/>
        <v>2021</v>
      </c>
      <c r="D111" s="6">
        <v>21350590.100496188</v>
      </c>
      <c r="E111">
        <v>28</v>
      </c>
      <c r="F111">
        <f>'Monthly Data'!BG111</f>
        <v>257.5</v>
      </c>
      <c r="G111">
        <f>'Monthly Data'!CD111</f>
        <v>0</v>
      </c>
      <c r="I111" s="6">
        <f t="shared" si="27"/>
        <v>-912678.24653403205</v>
      </c>
      <c r="J111" s="6">
        <f t="shared" si="28"/>
        <v>21465160.871434394</v>
      </c>
      <c r="K111" s="6">
        <f t="shared" si="29"/>
        <v>1307800.7649557106</v>
      </c>
      <c r="L111" s="6">
        <f t="shared" si="21"/>
        <v>0</v>
      </c>
      <c r="M111" s="6">
        <f t="shared" si="22"/>
        <v>21860283.389856074</v>
      </c>
      <c r="N111" s="6">
        <f t="shared" si="30"/>
        <v>509693.2893598862</v>
      </c>
      <c r="O111" s="15">
        <f t="shared" si="31"/>
        <v>2.387256216155079E-2</v>
      </c>
    </row>
    <row r="112" spans="1:15">
      <c r="A112" s="245">
        <v>44256</v>
      </c>
      <c r="B112">
        <f t="shared" si="25"/>
        <v>3</v>
      </c>
      <c r="C112">
        <f t="shared" si="26"/>
        <v>2021</v>
      </c>
      <c r="D112" s="6">
        <v>23427258.600996185</v>
      </c>
      <c r="E112">
        <v>31</v>
      </c>
      <c r="F112">
        <f>'Monthly Data'!BG112</f>
        <v>257.5</v>
      </c>
      <c r="G112">
        <f>'Monthly Data'!CD112</f>
        <v>0</v>
      </c>
      <c r="I112" s="6">
        <f t="shared" si="27"/>
        <v>-912678.24653403205</v>
      </c>
      <c r="J112" s="6">
        <f t="shared" si="28"/>
        <v>23764999.536230937</v>
      </c>
      <c r="K112" s="6">
        <f t="shared" si="29"/>
        <v>1307800.7649557106</v>
      </c>
      <c r="L112" s="6">
        <f t="shared" si="21"/>
        <v>0</v>
      </c>
      <c r="M112" s="6">
        <f t="shared" si="22"/>
        <v>24160122.054652616</v>
      </c>
      <c r="N112" s="6">
        <f t="shared" si="30"/>
        <v>732863.45365643129</v>
      </c>
      <c r="O112" s="15">
        <f t="shared" si="31"/>
        <v>3.1282510093830103E-2</v>
      </c>
    </row>
    <row r="113" spans="1:15">
      <c r="A113" s="245">
        <v>44287</v>
      </c>
      <c r="B113">
        <f t="shared" si="25"/>
        <v>4</v>
      </c>
      <c r="C113">
        <f t="shared" si="26"/>
        <v>2021</v>
      </c>
      <c r="D113" s="6">
        <v>21701795.657121189</v>
      </c>
      <c r="E113">
        <v>30</v>
      </c>
      <c r="F113">
        <f>'Monthly Data'!BG113</f>
        <v>257.5</v>
      </c>
      <c r="G113">
        <f>'Monthly Data'!CD113</f>
        <v>0</v>
      </c>
      <c r="I113" s="6">
        <f t="shared" si="27"/>
        <v>-912678.24653403205</v>
      </c>
      <c r="J113" s="6">
        <f t="shared" si="28"/>
        <v>22998386.64796542</v>
      </c>
      <c r="K113" s="6">
        <f t="shared" si="29"/>
        <v>1307800.7649557106</v>
      </c>
      <c r="L113" s="6">
        <f t="shared" si="21"/>
        <v>0</v>
      </c>
      <c r="M113" s="6">
        <f t="shared" si="22"/>
        <v>23393509.1663871</v>
      </c>
      <c r="N113" s="6">
        <f t="shared" si="30"/>
        <v>1691713.5092659108</v>
      </c>
      <c r="O113" s="15">
        <f t="shared" si="31"/>
        <v>7.7952697370956725E-2</v>
      </c>
    </row>
    <row r="114" spans="1:15">
      <c r="A114" s="245">
        <v>44317</v>
      </c>
      <c r="B114">
        <f t="shared" si="25"/>
        <v>5</v>
      </c>
      <c r="C114">
        <f t="shared" si="26"/>
        <v>2021</v>
      </c>
      <c r="D114" s="6">
        <v>22631028.191158686</v>
      </c>
      <c r="E114">
        <v>31</v>
      </c>
      <c r="F114">
        <f>'Monthly Data'!BG114</f>
        <v>257.5</v>
      </c>
      <c r="G114">
        <f>'Monthly Data'!CD114</f>
        <v>0</v>
      </c>
      <c r="I114" s="6">
        <f t="shared" si="27"/>
        <v>-912678.24653403205</v>
      </c>
      <c r="J114" s="6">
        <f t="shared" si="28"/>
        <v>23764999.536230937</v>
      </c>
      <c r="K114" s="6">
        <f t="shared" si="29"/>
        <v>1307800.7649557106</v>
      </c>
      <c r="L114" s="6">
        <f t="shared" si="21"/>
        <v>0</v>
      </c>
      <c r="M114" s="6">
        <f t="shared" si="22"/>
        <v>24160122.054652616</v>
      </c>
      <c r="N114" s="6">
        <f t="shared" si="30"/>
        <v>1529093.8634939305</v>
      </c>
      <c r="O114" s="15">
        <f t="shared" si="31"/>
        <v>6.7566256847813269E-2</v>
      </c>
    </row>
    <row r="115" spans="1:15">
      <c r="A115" s="245">
        <v>44348</v>
      </c>
      <c r="B115">
        <f t="shared" si="25"/>
        <v>6</v>
      </c>
      <c r="C115">
        <f t="shared" si="26"/>
        <v>2021</v>
      </c>
      <c r="D115" s="6">
        <v>21965382.119848687</v>
      </c>
      <c r="E115">
        <v>30</v>
      </c>
      <c r="F115">
        <f>'Monthly Data'!BG115</f>
        <v>257.5</v>
      </c>
      <c r="G115">
        <f>'Monthly Data'!CD115</f>
        <v>0</v>
      </c>
      <c r="I115" s="6">
        <f t="shared" si="27"/>
        <v>-912678.24653403205</v>
      </c>
      <c r="J115" s="6">
        <f t="shared" si="28"/>
        <v>22998386.64796542</v>
      </c>
      <c r="K115" s="6">
        <f t="shared" si="29"/>
        <v>1307800.7649557106</v>
      </c>
      <c r="L115" s="6">
        <f t="shared" si="21"/>
        <v>0</v>
      </c>
      <c r="M115" s="6">
        <f t="shared" si="22"/>
        <v>23393509.1663871</v>
      </c>
      <c r="N115" s="6">
        <f t="shared" si="30"/>
        <v>1428127.0465384126</v>
      </c>
      <c r="O115" s="15">
        <f t="shared" si="31"/>
        <v>6.5017172874397983E-2</v>
      </c>
    </row>
    <row r="116" spans="1:15">
      <c r="A116" s="245">
        <v>44378</v>
      </c>
      <c r="B116">
        <f t="shared" si="25"/>
        <v>7</v>
      </c>
      <c r="C116">
        <f t="shared" si="26"/>
        <v>2021</v>
      </c>
      <c r="D116" s="6">
        <v>22130628.408666186</v>
      </c>
      <c r="E116">
        <v>31</v>
      </c>
      <c r="F116">
        <f>'Monthly Data'!BG116</f>
        <v>257.5</v>
      </c>
      <c r="G116">
        <f>'Monthly Data'!CD116</f>
        <v>0</v>
      </c>
      <c r="I116" s="6">
        <f t="shared" si="27"/>
        <v>-912678.24653403205</v>
      </c>
      <c r="J116" s="6">
        <f t="shared" si="28"/>
        <v>23764999.536230937</v>
      </c>
      <c r="K116" s="6">
        <f t="shared" si="29"/>
        <v>1307800.7649557106</v>
      </c>
      <c r="L116" s="6">
        <f t="shared" si="21"/>
        <v>0</v>
      </c>
      <c r="M116" s="6">
        <f t="shared" si="22"/>
        <v>24160122.054652616</v>
      </c>
      <c r="N116" s="6">
        <f t="shared" si="30"/>
        <v>2029493.6459864303</v>
      </c>
      <c r="O116" s="15">
        <f t="shared" si="31"/>
        <v>9.1705197363112209E-2</v>
      </c>
    </row>
    <row r="117" spans="1:15">
      <c r="A117" s="245">
        <v>44409</v>
      </c>
      <c r="B117">
        <f t="shared" si="25"/>
        <v>8</v>
      </c>
      <c r="C117">
        <f t="shared" si="26"/>
        <v>2021</v>
      </c>
      <c r="D117" s="6">
        <v>18777590.640283685</v>
      </c>
      <c r="E117">
        <v>31</v>
      </c>
      <c r="F117">
        <f>'Monthly Data'!BG117</f>
        <v>257.5</v>
      </c>
      <c r="G117">
        <f>'Monthly Data'!CD117</f>
        <v>0</v>
      </c>
      <c r="I117" s="6">
        <f t="shared" si="27"/>
        <v>-912678.24653403205</v>
      </c>
      <c r="J117" s="6">
        <f t="shared" si="28"/>
        <v>23764999.536230937</v>
      </c>
      <c r="K117" s="6">
        <f t="shared" si="29"/>
        <v>1307800.7649557106</v>
      </c>
      <c r="L117" s="6">
        <f t="shared" si="21"/>
        <v>0</v>
      </c>
      <c r="M117" s="6">
        <f t="shared" si="22"/>
        <v>24160122.054652616</v>
      </c>
      <c r="N117" s="6">
        <f t="shared" si="30"/>
        <v>5382531.4143689312</v>
      </c>
      <c r="O117" s="15">
        <f t="shared" si="31"/>
        <v>0.286646541480234</v>
      </c>
    </row>
    <row r="118" spans="1:15">
      <c r="A118" s="245">
        <v>44440</v>
      </c>
      <c r="B118">
        <f t="shared" si="25"/>
        <v>9</v>
      </c>
      <c r="C118">
        <f t="shared" si="26"/>
        <v>2021</v>
      </c>
      <c r="D118" s="6">
        <v>21741887.325028688</v>
      </c>
      <c r="E118">
        <v>30</v>
      </c>
      <c r="F118">
        <f>'Monthly Data'!BG118</f>
        <v>257.5</v>
      </c>
      <c r="G118">
        <f>'Monthly Data'!CD118</f>
        <v>1</v>
      </c>
      <c r="I118" s="6">
        <f t="shared" si="27"/>
        <v>-912678.24653403205</v>
      </c>
      <c r="J118" s="6">
        <f t="shared" si="28"/>
        <v>22998386.64796542</v>
      </c>
      <c r="K118" s="6">
        <f t="shared" si="29"/>
        <v>1307800.7649557106</v>
      </c>
      <c r="L118" s="6">
        <f t="shared" si="21"/>
        <v>-580482.53600244795</v>
      </c>
      <c r="M118" s="6">
        <f t="shared" si="22"/>
        <v>22813026.63038465</v>
      </c>
      <c r="N118" s="6">
        <f t="shared" si="30"/>
        <v>1071139.3053559624</v>
      </c>
      <c r="O118" s="15">
        <f t="shared" si="31"/>
        <v>4.9266160262126601E-2</v>
      </c>
    </row>
    <row r="119" spans="1:15">
      <c r="A119" s="245">
        <v>44470</v>
      </c>
      <c r="B119">
        <f t="shared" si="25"/>
        <v>10</v>
      </c>
      <c r="C119">
        <f t="shared" si="26"/>
        <v>2021</v>
      </c>
      <c r="D119" s="6">
        <v>22983543.448978685</v>
      </c>
      <c r="E119">
        <v>31</v>
      </c>
      <c r="F119">
        <f>'Monthly Data'!BG119</f>
        <v>257.5</v>
      </c>
      <c r="G119">
        <f>'Monthly Data'!CD119</f>
        <v>1</v>
      </c>
      <c r="I119" s="6">
        <f t="shared" si="27"/>
        <v>-912678.24653403205</v>
      </c>
      <c r="J119" s="6">
        <f t="shared" si="28"/>
        <v>23764999.536230937</v>
      </c>
      <c r="K119" s="6">
        <f t="shared" si="29"/>
        <v>1307800.7649557106</v>
      </c>
      <c r="L119" s="6">
        <f t="shared" si="21"/>
        <v>-580482.53600244795</v>
      </c>
      <c r="M119" s="6">
        <f t="shared" si="22"/>
        <v>23579639.518650167</v>
      </c>
      <c r="N119" s="6">
        <f t="shared" si="30"/>
        <v>596096.06967148185</v>
      </c>
      <c r="O119" s="15">
        <f t="shared" si="31"/>
        <v>2.5935777526853478E-2</v>
      </c>
    </row>
    <row r="120" spans="1:15">
      <c r="A120" s="245">
        <v>44501</v>
      </c>
      <c r="B120">
        <f t="shared" ref="B120:B121" si="32">MONTH(A120)</f>
        <v>11</v>
      </c>
      <c r="C120">
        <f t="shared" ref="C120:C121" si="33">YEAR(A120)</f>
        <v>2021</v>
      </c>
      <c r="D120" s="6">
        <v>23676449.115096185</v>
      </c>
      <c r="E120">
        <v>30</v>
      </c>
      <c r="F120">
        <f>'Monthly Data'!BG120</f>
        <v>257.5</v>
      </c>
      <c r="G120">
        <f>'Monthly Data'!CD120</f>
        <v>0</v>
      </c>
      <c r="I120" s="6">
        <f t="shared" si="27"/>
        <v>-912678.24653403205</v>
      </c>
      <c r="J120" s="6">
        <f t="shared" si="28"/>
        <v>22998386.64796542</v>
      </c>
      <c r="K120" s="6">
        <f t="shared" si="29"/>
        <v>1307800.7649557106</v>
      </c>
      <c r="L120" s="6">
        <f t="shared" si="21"/>
        <v>0</v>
      </c>
      <c r="M120" s="6">
        <f t="shared" si="22"/>
        <v>23393509.1663871</v>
      </c>
      <c r="N120" s="6">
        <f t="shared" si="30"/>
        <v>-282939.94870908558</v>
      </c>
      <c r="O120" s="15">
        <f t="shared" si="31"/>
        <v>1.1950269541418781E-2</v>
      </c>
    </row>
    <row r="121" spans="1:15">
      <c r="A121" s="245">
        <v>44531</v>
      </c>
      <c r="B121">
        <f t="shared" si="32"/>
        <v>12</v>
      </c>
      <c r="C121">
        <f t="shared" si="33"/>
        <v>2021</v>
      </c>
      <c r="D121" s="6">
        <v>22944041.230536185</v>
      </c>
      <c r="E121">
        <v>31</v>
      </c>
      <c r="F121">
        <f>'Monthly Data'!BG121</f>
        <v>257.5</v>
      </c>
      <c r="G121">
        <f>'Monthly Data'!CD121</f>
        <v>0</v>
      </c>
      <c r="I121" s="6">
        <f t="shared" si="27"/>
        <v>-912678.24653403205</v>
      </c>
      <c r="J121" s="6">
        <f t="shared" si="28"/>
        <v>23764999.536230937</v>
      </c>
      <c r="K121" s="6">
        <f t="shared" si="29"/>
        <v>1307800.7649557106</v>
      </c>
      <c r="L121" s="6">
        <f t="shared" si="21"/>
        <v>0</v>
      </c>
      <c r="M121" s="6">
        <f t="shared" si="22"/>
        <v>24160122.054652616</v>
      </c>
      <c r="N121" s="6">
        <f t="shared" si="30"/>
        <v>1216080.8241164312</v>
      </c>
      <c r="O121" s="15">
        <f t="shared" si="31"/>
        <v>5.3002032723771055E-2</v>
      </c>
    </row>
    <row r="122" spans="1:15">
      <c r="A122" s="245">
        <v>44562</v>
      </c>
      <c r="B122">
        <f t="shared" ref="B122:B133" si="34">MONTH(A122)</f>
        <v>1</v>
      </c>
      <c r="C122">
        <f t="shared" ref="C122:C133" si="35">YEAR(A122)</f>
        <v>2022</v>
      </c>
      <c r="D122" s="6">
        <f>'Monthly Data'!X122</f>
        <v>22653738.07476015</v>
      </c>
      <c r="E122">
        <f>'Monthly Data'!CF122</f>
        <v>31</v>
      </c>
      <c r="F122">
        <f>'Monthly Data'!BG122</f>
        <v>266.89875000000001</v>
      </c>
      <c r="G122">
        <f>'Monthly Data'!CD122</f>
        <v>0</v>
      </c>
      <c r="I122" s="6">
        <f t="shared" si="27"/>
        <v>-912678.24653403205</v>
      </c>
      <c r="J122" s="6">
        <f t="shared" si="28"/>
        <v>23764999.536230937</v>
      </c>
      <c r="K122" s="6">
        <f t="shared" si="29"/>
        <v>1355535.4928765942</v>
      </c>
      <c r="L122" s="6">
        <f t="shared" si="21"/>
        <v>0</v>
      </c>
      <c r="M122" s="6">
        <f t="shared" si="22"/>
        <v>24207856.782573499</v>
      </c>
      <c r="N122" s="6">
        <f t="shared" si="30"/>
        <v>1554118.7078133486</v>
      </c>
      <c r="O122" s="15">
        <f t="shared" si="31"/>
        <v>6.8603190461749133E-2</v>
      </c>
    </row>
    <row r="123" spans="1:15">
      <c r="A123" s="245">
        <v>44593</v>
      </c>
      <c r="B123">
        <f t="shared" si="34"/>
        <v>2</v>
      </c>
      <c r="C123">
        <f t="shared" si="35"/>
        <v>2022</v>
      </c>
      <c r="D123" s="6">
        <f>'Monthly Data'!X123</f>
        <v>20311859.07476015</v>
      </c>
      <c r="E123">
        <f>'Monthly Data'!CF123</f>
        <v>28</v>
      </c>
      <c r="F123">
        <f>'Monthly Data'!BG123</f>
        <v>266.89875000000001</v>
      </c>
      <c r="G123">
        <f>'Monthly Data'!CD123</f>
        <v>0</v>
      </c>
      <c r="I123" s="6">
        <f t="shared" si="27"/>
        <v>-912678.24653403205</v>
      </c>
      <c r="J123" s="6">
        <f t="shared" si="28"/>
        <v>21465160.871434394</v>
      </c>
      <c r="K123" s="6">
        <f t="shared" si="29"/>
        <v>1355535.4928765942</v>
      </c>
      <c r="L123" s="6">
        <f t="shared" si="21"/>
        <v>0</v>
      </c>
      <c r="M123" s="6">
        <f t="shared" si="22"/>
        <v>21908018.117776956</v>
      </c>
      <c r="N123" s="6">
        <f t="shared" si="30"/>
        <v>1596159.0430168062</v>
      </c>
      <c r="O123" s="15">
        <f t="shared" si="31"/>
        <v>7.8582617038743627E-2</v>
      </c>
    </row>
    <row r="124" spans="1:15">
      <c r="A124" s="245">
        <v>44621</v>
      </c>
      <c r="B124">
        <f t="shared" si="34"/>
        <v>3</v>
      </c>
      <c r="C124">
        <f t="shared" si="35"/>
        <v>2022</v>
      </c>
      <c r="D124" s="6">
        <f>'Monthly Data'!X124</f>
        <v>22553351.07476015</v>
      </c>
      <c r="E124">
        <f>'Monthly Data'!CF124</f>
        <v>31</v>
      </c>
      <c r="F124">
        <f>'Monthly Data'!BG124</f>
        <v>266.89875000000001</v>
      </c>
      <c r="G124">
        <f>'Monthly Data'!CD124</f>
        <v>0</v>
      </c>
      <c r="I124" s="6">
        <f t="shared" si="27"/>
        <v>-912678.24653403205</v>
      </c>
      <c r="J124" s="6">
        <f t="shared" si="28"/>
        <v>23764999.536230937</v>
      </c>
      <c r="K124" s="6">
        <f t="shared" si="29"/>
        <v>1355535.4928765942</v>
      </c>
      <c r="L124" s="6">
        <f t="shared" si="21"/>
        <v>0</v>
      </c>
      <c r="M124" s="6">
        <f t="shared" si="22"/>
        <v>24207856.782573499</v>
      </c>
      <c r="N124" s="6">
        <f t="shared" si="30"/>
        <v>1654505.7078133486</v>
      </c>
      <c r="O124" s="15">
        <f t="shared" si="31"/>
        <v>7.3359639653059583E-2</v>
      </c>
    </row>
    <row r="125" spans="1:15">
      <c r="A125" s="245">
        <v>44652</v>
      </c>
      <c r="B125">
        <f t="shared" si="34"/>
        <v>4</v>
      </c>
      <c r="C125">
        <f t="shared" si="35"/>
        <v>2022</v>
      </c>
      <c r="D125" s="6">
        <f>'Monthly Data'!X125</f>
        <v>17022579.07476015</v>
      </c>
      <c r="E125">
        <f>'Monthly Data'!CF125</f>
        <v>30</v>
      </c>
      <c r="F125">
        <f>'Monthly Data'!BG125</f>
        <v>266.89875000000001</v>
      </c>
      <c r="G125">
        <f>'Monthly Data'!CD125</f>
        <v>0</v>
      </c>
      <c r="I125" s="6">
        <f t="shared" si="27"/>
        <v>-912678.24653403205</v>
      </c>
      <c r="J125" s="6">
        <f t="shared" si="28"/>
        <v>22998386.64796542</v>
      </c>
      <c r="K125" s="6">
        <f t="shared" si="29"/>
        <v>1355535.4928765942</v>
      </c>
      <c r="L125" s="6">
        <f t="shared" si="21"/>
        <v>0</v>
      </c>
      <c r="M125" s="6">
        <f t="shared" si="22"/>
        <v>23441243.894307982</v>
      </c>
      <c r="N125" s="6">
        <f t="shared" si="30"/>
        <v>6418664.819547832</v>
      </c>
      <c r="O125" s="15">
        <f t="shared" si="31"/>
        <v>0.37706770468553524</v>
      </c>
    </row>
    <row r="126" spans="1:15">
      <c r="A126" s="245">
        <v>44682</v>
      </c>
      <c r="B126">
        <f t="shared" si="34"/>
        <v>5</v>
      </c>
      <c r="C126">
        <f t="shared" si="35"/>
        <v>2022</v>
      </c>
      <c r="D126" s="6">
        <f>'Monthly Data'!X126</f>
        <v>18687813.07476015</v>
      </c>
      <c r="E126">
        <f>'Monthly Data'!CF126</f>
        <v>31</v>
      </c>
      <c r="F126">
        <f>'Monthly Data'!BG126</f>
        <v>266.89875000000001</v>
      </c>
      <c r="G126">
        <f>'Monthly Data'!CD126</f>
        <v>0</v>
      </c>
      <c r="I126" s="6">
        <f t="shared" si="27"/>
        <v>-912678.24653403205</v>
      </c>
      <c r="J126" s="6">
        <f t="shared" si="28"/>
        <v>23764999.536230937</v>
      </c>
      <c r="K126" s="6">
        <f t="shared" si="29"/>
        <v>1355535.4928765942</v>
      </c>
      <c r="L126" s="6">
        <f t="shared" si="21"/>
        <v>0</v>
      </c>
      <c r="M126" s="6">
        <f t="shared" si="22"/>
        <v>24207856.782573499</v>
      </c>
      <c r="N126" s="6">
        <f t="shared" si="30"/>
        <v>5520043.7078133486</v>
      </c>
      <c r="O126" s="15">
        <f t="shared" si="31"/>
        <v>0.29538200568095074</v>
      </c>
    </row>
    <row r="127" spans="1:15">
      <c r="A127" s="245">
        <v>44713</v>
      </c>
      <c r="B127">
        <f t="shared" si="34"/>
        <v>6</v>
      </c>
      <c r="C127">
        <f t="shared" si="35"/>
        <v>2022</v>
      </c>
      <c r="D127" s="6">
        <f>'Monthly Data'!X127</f>
        <v>21452022.07476015</v>
      </c>
      <c r="E127">
        <f>'Monthly Data'!CF127</f>
        <v>30</v>
      </c>
      <c r="F127">
        <f>'Monthly Data'!BG127</f>
        <v>266.89875000000001</v>
      </c>
      <c r="G127">
        <f>'Monthly Data'!CD127</f>
        <v>0</v>
      </c>
      <c r="I127" s="6">
        <f t="shared" si="27"/>
        <v>-912678.24653403205</v>
      </c>
      <c r="J127" s="6">
        <f t="shared" si="28"/>
        <v>22998386.64796542</v>
      </c>
      <c r="K127" s="6">
        <f t="shared" si="29"/>
        <v>1355535.4928765942</v>
      </c>
      <c r="L127" s="6">
        <f t="shared" si="21"/>
        <v>0</v>
      </c>
      <c r="M127" s="6">
        <f t="shared" si="22"/>
        <v>23441243.894307982</v>
      </c>
      <c r="N127" s="6">
        <f t="shared" si="30"/>
        <v>1989221.819547832</v>
      </c>
      <c r="O127" s="15">
        <f t="shared" si="31"/>
        <v>9.2728872486491365E-2</v>
      </c>
    </row>
    <row r="128" spans="1:15">
      <c r="A128" s="245">
        <v>44743</v>
      </c>
      <c r="B128">
        <f t="shared" si="34"/>
        <v>7</v>
      </c>
      <c r="C128">
        <f t="shared" si="35"/>
        <v>2022</v>
      </c>
      <c r="D128" s="6">
        <f>'Monthly Data'!X128</f>
        <v>23905745.07476015</v>
      </c>
      <c r="E128">
        <f>'Monthly Data'!CF128</f>
        <v>31</v>
      </c>
      <c r="F128">
        <f>'Monthly Data'!BG128</f>
        <v>266.89875000000001</v>
      </c>
      <c r="G128">
        <f>'Monthly Data'!CD128</f>
        <v>0</v>
      </c>
      <c r="I128" s="6">
        <f t="shared" si="27"/>
        <v>-912678.24653403205</v>
      </c>
      <c r="J128" s="6">
        <f t="shared" si="28"/>
        <v>23764999.536230937</v>
      </c>
      <c r="K128" s="6">
        <f t="shared" si="29"/>
        <v>1355535.4928765942</v>
      </c>
      <c r="L128" s="6">
        <f t="shared" si="21"/>
        <v>0</v>
      </c>
      <c r="M128" s="6">
        <f t="shared" si="22"/>
        <v>24207856.782573499</v>
      </c>
      <c r="N128" s="6">
        <f t="shared" si="30"/>
        <v>302111.70781334862</v>
      </c>
      <c r="O128" s="15">
        <f t="shared" si="31"/>
        <v>1.2637619403560035E-2</v>
      </c>
    </row>
    <row r="129" spans="1:19">
      <c r="A129" s="245">
        <v>44774</v>
      </c>
      <c r="B129">
        <f t="shared" si="34"/>
        <v>8</v>
      </c>
      <c r="C129">
        <f t="shared" si="35"/>
        <v>2022</v>
      </c>
      <c r="D129" s="6">
        <f>'Monthly Data'!X129</f>
        <v>25461774.07476015</v>
      </c>
      <c r="E129">
        <f>'Monthly Data'!CF129</f>
        <v>31</v>
      </c>
      <c r="F129">
        <f>'Monthly Data'!BG129</f>
        <v>266.89875000000001</v>
      </c>
      <c r="G129">
        <f>'Monthly Data'!CD129</f>
        <v>0</v>
      </c>
      <c r="I129" s="6">
        <f t="shared" si="27"/>
        <v>-912678.24653403205</v>
      </c>
      <c r="J129" s="6">
        <f t="shared" si="28"/>
        <v>23764999.536230937</v>
      </c>
      <c r="K129" s="6">
        <f t="shared" si="29"/>
        <v>1355535.4928765942</v>
      </c>
      <c r="L129" s="6">
        <f t="shared" si="21"/>
        <v>0</v>
      </c>
      <c r="M129" s="6">
        <f t="shared" si="22"/>
        <v>24207856.782573499</v>
      </c>
      <c r="N129" s="6">
        <f t="shared" si="30"/>
        <v>-1253917.2921866514</v>
      </c>
      <c r="O129" s="15">
        <f t="shared" si="31"/>
        <v>4.9247051226867948E-2</v>
      </c>
    </row>
    <row r="130" spans="1:19">
      <c r="A130" s="245">
        <v>44805</v>
      </c>
      <c r="B130">
        <f t="shared" si="34"/>
        <v>9</v>
      </c>
      <c r="C130">
        <f t="shared" si="35"/>
        <v>2022</v>
      </c>
      <c r="D130" s="6">
        <f>'Monthly Data'!X130</f>
        <v>25562066.07476015</v>
      </c>
      <c r="E130">
        <f>'Monthly Data'!CF130</f>
        <v>30</v>
      </c>
      <c r="F130">
        <f>'Monthly Data'!BG130</f>
        <v>266.89875000000001</v>
      </c>
      <c r="G130">
        <f>'Monthly Data'!CD130</f>
        <v>1</v>
      </c>
      <c r="I130" s="6">
        <f t="shared" si="27"/>
        <v>-912678.24653403205</v>
      </c>
      <c r="J130" s="6">
        <f t="shared" si="28"/>
        <v>22998386.64796542</v>
      </c>
      <c r="K130" s="6">
        <f t="shared" si="29"/>
        <v>1355535.4928765942</v>
      </c>
      <c r="L130" s="6">
        <f t="shared" si="21"/>
        <v>-580482.53600244795</v>
      </c>
      <c r="M130" s="6">
        <f t="shared" si="22"/>
        <v>22860761.358305532</v>
      </c>
      <c r="N130" s="6">
        <f t="shared" ref="N130:N133" si="36">M130-D130</f>
        <v>-2701304.7164546177</v>
      </c>
      <c r="O130" s="15">
        <f t="shared" si="31"/>
        <v>0.10567630599788926</v>
      </c>
    </row>
    <row r="131" spans="1:19">
      <c r="A131" s="245">
        <v>44835</v>
      </c>
      <c r="B131">
        <f t="shared" si="34"/>
        <v>10</v>
      </c>
      <c r="C131">
        <f t="shared" si="35"/>
        <v>2022</v>
      </c>
      <c r="D131" s="6">
        <f>'Monthly Data'!X131</f>
        <v>25496596.07476015</v>
      </c>
      <c r="E131">
        <f>'Monthly Data'!CF131</f>
        <v>31</v>
      </c>
      <c r="F131">
        <f>'Monthly Data'!BG131</f>
        <v>266.89875000000001</v>
      </c>
      <c r="G131">
        <f>'Monthly Data'!CD131</f>
        <v>1</v>
      </c>
      <c r="I131" s="6">
        <f t="shared" si="27"/>
        <v>-912678.24653403205</v>
      </c>
      <c r="J131" s="6">
        <f t="shared" si="28"/>
        <v>23764999.536230937</v>
      </c>
      <c r="K131" s="6">
        <f t="shared" si="29"/>
        <v>1355535.4928765942</v>
      </c>
      <c r="L131" s="6">
        <f t="shared" ref="L131:L133" si="37">G131*$R$10</f>
        <v>-580482.53600244795</v>
      </c>
      <c r="M131" s="6">
        <f t="shared" ref="M131:M133" si="38">SUM(I131:L131)</f>
        <v>23627374.246571049</v>
      </c>
      <c r="N131" s="6">
        <f t="shared" si="36"/>
        <v>-1869221.8281891011</v>
      </c>
      <c r="O131" s="15">
        <f t="shared" si="31"/>
        <v>7.3312603090555303E-2</v>
      </c>
    </row>
    <row r="132" spans="1:19">
      <c r="A132" s="245">
        <v>44866</v>
      </c>
      <c r="B132">
        <f t="shared" si="34"/>
        <v>11</v>
      </c>
      <c r="C132">
        <f t="shared" si="35"/>
        <v>2022</v>
      </c>
      <c r="D132" s="6">
        <f>'Monthly Data'!X132</f>
        <v>23740830.07476015</v>
      </c>
      <c r="E132">
        <f>'Monthly Data'!CF132</f>
        <v>30</v>
      </c>
      <c r="F132">
        <f>'Monthly Data'!BG132</f>
        <v>266.89875000000001</v>
      </c>
      <c r="G132">
        <f>'Monthly Data'!CD132</f>
        <v>0</v>
      </c>
      <c r="I132" s="6">
        <f t="shared" si="27"/>
        <v>-912678.24653403205</v>
      </c>
      <c r="J132" s="6">
        <f t="shared" si="28"/>
        <v>22998386.64796542</v>
      </c>
      <c r="K132" s="6">
        <f t="shared" si="29"/>
        <v>1355535.4928765942</v>
      </c>
      <c r="L132" s="6">
        <f t="shared" si="37"/>
        <v>0</v>
      </c>
      <c r="M132" s="6">
        <f t="shared" si="38"/>
        <v>23441243.894307982</v>
      </c>
      <c r="N132" s="6">
        <f t="shared" si="36"/>
        <v>-299586.18045216799</v>
      </c>
      <c r="O132" s="15">
        <f t="shared" si="31"/>
        <v>1.2619027199502614E-2</v>
      </c>
    </row>
    <row r="133" spans="1:19">
      <c r="A133" s="245">
        <v>44896</v>
      </c>
      <c r="B133">
        <f t="shared" si="34"/>
        <v>12</v>
      </c>
      <c r="C133">
        <f t="shared" si="35"/>
        <v>2022</v>
      </c>
      <c r="D133" s="6">
        <f>'Monthly Data'!X133</f>
        <v>26320404.07476015</v>
      </c>
      <c r="E133">
        <f>'Monthly Data'!CF133</f>
        <v>31</v>
      </c>
      <c r="F133">
        <f>'Monthly Data'!BG133</f>
        <v>266.89875000000001</v>
      </c>
      <c r="G133">
        <f>'Monthly Data'!CD133</f>
        <v>0</v>
      </c>
      <c r="I133" s="6">
        <f t="shared" si="27"/>
        <v>-912678.24653403205</v>
      </c>
      <c r="J133" s="6">
        <f t="shared" si="28"/>
        <v>23764999.536230937</v>
      </c>
      <c r="K133" s="6">
        <f t="shared" si="29"/>
        <v>1355535.4928765942</v>
      </c>
      <c r="L133" s="6">
        <f t="shared" si="37"/>
        <v>0</v>
      </c>
      <c r="M133" s="6">
        <f t="shared" si="38"/>
        <v>24207856.782573499</v>
      </c>
      <c r="N133" s="6">
        <f t="shared" si="36"/>
        <v>-2112547.2921866514</v>
      </c>
      <c r="O133" s="15">
        <f t="shared" si="31"/>
        <v>8.0262722646134085E-2</v>
      </c>
    </row>
    <row r="134" spans="1:19">
      <c r="A134" s="20"/>
      <c r="O134" s="16">
        <f>AVERAGE(O2:O121)</f>
        <v>4.7071607112621705E-2</v>
      </c>
    </row>
    <row r="135" spans="1:19">
      <c r="A135" s="20"/>
      <c r="O135" s="16"/>
    </row>
    <row r="136" spans="1:19">
      <c r="A136" s="20"/>
    </row>
    <row r="137" spans="1:19">
      <c r="A137" s="20"/>
      <c r="M137" s="6"/>
      <c r="Q137">
        <v>1</v>
      </c>
      <c r="R137" s="6">
        <f t="shared" ref="R137:R148" si="39">SUMIF($B$2:$B$97,$Q137,N$2:N$97)</f>
        <v>-4034128.8004114367</v>
      </c>
      <c r="S137" s="15">
        <f t="shared" ref="S137:S148" si="40">SUMIF($B$2:$B$121,$Q137,O$2:O$121)</f>
        <v>0.47171359384893585</v>
      </c>
    </row>
    <row r="138" spans="1:19">
      <c r="A138" s="20"/>
      <c r="M138" s="6"/>
      <c r="Q138">
        <v>2</v>
      </c>
      <c r="R138" s="6">
        <f t="shared" si="39"/>
        <v>-6326630.9516227506</v>
      </c>
      <c r="S138" s="15">
        <f t="shared" si="40"/>
        <v>0.39098181843826268</v>
      </c>
    </row>
    <row r="139" spans="1:19">
      <c r="A139" s="20"/>
      <c r="M139" s="6"/>
      <c r="Q139">
        <v>3</v>
      </c>
      <c r="R139" s="6">
        <f t="shared" si="39"/>
        <v>-5876761.0239764377</v>
      </c>
      <c r="S139" s="15">
        <f t="shared" si="40"/>
        <v>0.38002378043755181</v>
      </c>
    </row>
    <row r="140" spans="1:19">
      <c r="A140" s="20"/>
      <c r="M140" s="6"/>
      <c r="Q140">
        <v>4</v>
      </c>
      <c r="R140" s="6">
        <f t="shared" si="39"/>
        <v>-1920650.4484855644</v>
      </c>
      <c r="S140" s="15">
        <f t="shared" si="40"/>
        <v>0.67607500355636851</v>
      </c>
    </row>
    <row r="141" spans="1:19">
      <c r="A141" s="20"/>
      <c r="M141" s="6"/>
      <c r="Q141">
        <v>5</v>
      </c>
      <c r="R141" s="6">
        <f t="shared" si="39"/>
        <v>2939018.2413510531</v>
      </c>
      <c r="S141" s="15">
        <f t="shared" si="40"/>
        <v>0.52927049850318841</v>
      </c>
    </row>
    <row r="142" spans="1:19">
      <c r="A142" s="20"/>
      <c r="M142" s="6"/>
      <c r="Q142">
        <v>6</v>
      </c>
      <c r="R142" s="6">
        <f t="shared" si="39"/>
        <v>3610919.0350944251</v>
      </c>
      <c r="S142" s="15">
        <f t="shared" si="40"/>
        <v>0.47062201713310747</v>
      </c>
    </row>
    <row r="143" spans="1:19">
      <c r="A143" s="20"/>
      <c r="M143" s="6"/>
      <c r="Q143">
        <v>7</v>
      </c>
      <c r="R143" s="6">
        <f t="shared" si="39"/>
        <v>-4129461.7331314385</v>
      </c>
      <c r="S143" s="15">
        <f t="shared" si="40"/>
        <v>0.29002288561478967</v>
      </c>
    </row>
    <row r="144" spans="1:19">
      <c r="A144" s="20"/>
      <c r="M144" s="6"/>
      <c r="Q144">
        <v>8</v>
      </c>
      <c r="R144" s="6">
        <f t="shared" si="39"/>
        <v>-5892960.4777714349</v>
      </c>
      <c r="S144" s="15">
        <f t="shared" si="40"/>
        <v>0.64780126347021283</v>
      </c>
    </row>
    <row r="145" spans="1:19">
      <c r="A145" s="20"/>
      <c r="M145" s="6"/>
      <c r="Q145">
        <v>9</v>
      </c>
      <c r="R145" s="6">
        <f t="shared" si="39"/>
        <v>-2068710.0493351743</v>
      </c>
      <c r="S145" s="15">
        <f t="shared" si="40"/>
        <v>0.48536337912643962</v>
      </c>
    </row>
    <row r="146" spans="1:19">
      <c r="A146" s="20"/>
      <c r="M146" s="6"/>
      <c r="Q146">
        <v>10</v>
      </c>
      <c r="R146" s="6">
        <f t="shared" si="39"/>
        <v>3479101.2910414599</v>
      </c>
      <c r="S146" s="15">
        <f t="shared" si="40"/>
        <v>0.60161642504398183</v>
      </c>
    </row>
    <row r="147" spans="1:19">
      <c r="A147" s="20"/>
      <c r="M147" s="6"/>
      <c r="Q147">
        <v>11</v>
      </c>
      <c r="R147" s="6">
        <f t="shared" si="39"/>
        <v>451229.39319442585</v>
      </c>
      <c r="S147" s="15">
        <f t="shared" si="40"/>
        <v>0.3760643286576949</v>
      </c>
    </row>
    <row r="148" spans="1:19">
      <c r="A148" s="20"/>
      <c r="M148" s="6"/>
      <c r="Q148">
        <v>12</v>
      </c>
      <c r="R148" s="6">
        <f t="shared" si="39"/>
        <v>-5487640.8358114399</v>
      </c>
      <c r="S148" s="15">
        <f t="shared" si="40"/>
        <v>0.32903785968407223</v>
      </c>
    </row>
    <row r="149" spans="1:19">
      <c r="A149" s="20"/>
      <c r="M149" s="6"/>
      <c r="O149" s="6"/>
      <c r="P149" s="15"/>
    </row>
    <row r="150" spans="1:19">
      <c r="A150" s="20"/>
      <c r="M150" s="6"/>
      <c r="O150" s="6"/>
      <c r="P150" s="15"/>
    </row>
    <row r="151" spans="1:19">
      <c r="A151" s="20"/>
      <c r="M151" s="6"/>
      <c r="R151" s="6"/>
      <c r="S151" s="15"/>
    </row>
    <row r="152" spans="1:19">
      <c r="A152" s="20"/>
      <c r="M152" s="6"/>
      <c r="R152" s="6"/>
      <c r="S152" s="15"/>
    </row>
    <row r="153" spans="1:19">
      <c r="A153" s="20"/>
      <c r="M153" s="6"/>
      <c r="Q153">
        <v>2012</v>
      </c>
      <c r="R153" s="6">
        <f t="shared" ref="R153:R162" si="41">SUMIF($C$2:$C$121,$Q153,N$2:N$121)</f>
        <v>-1829996.2896037772</v>
      </c>
      <c r="S153" s="15">
        <f t="shared" ref="S153:S162" si="42">SUMIF($C$2:$C$121,$Q153,O$2:O$121)</f>
        <v>0.43010691170187348</v>
      </c>
    </row>
    <row r="154" spans="1:19">
      <c r="A154" s="20"/>
      <c r="M154" s="6"/>
      <c r="Q154">
        <v>2013</v>
      </c>
      <c r="R154" s="6">
        <f t="shared" si="41"/>
        <v>5383769.9011485875</v>
      </c>
      <c r="S154" s="15">
        <f t="shared" si="42"/>
        <v>0.51429158983235712</v>
      </c>
    </row>
    <row r="155" spans="1:19">
      <c r="A155" s="20"/>
      <c r="M155" s="6"/>
      <c r="Q155">
        <v>2014</v>
      </c>
      <c r="R155" s="6">
        <f t="shared" si="41"/>
        <v>-456226.01716084033</v>
      </c>
      <c r="S155" s="15">
        <f t="shared" si="42"/>
        <v>0.38514875978414104</v>
      </c>
    </row>
    <row r="156" spans="1:19">
      <c r="A156" s="20"/>
      <c r="M156" s="6"/>
      <c r="Q156">
        <v>2015</v>
      </c>
      <c r="R156" s="6">
        <f t="shared" si="41"/>
        <v>-3894426.0654601008</v>
      </c>
      <c r="S156" s="15">
        <f t="shared" si="42"/>
        <v>0.44401562830481045</v>
      </c>
    </row>
    <row r="157" spans="1:19">
      <c r="A157" s="20"/>
      <c r="M157" s="6"/>
      <c r="Q157">
        <v>2016</v>
      </c>
      <c r="R157" s="6">
        <f t="shared" si="41"/>
        <v>-8883085.323344443</v>
      </c>
      <c r="S157" s="15">
        <f t="shared" si="42"/>
        <v>0.35960819637636326</v>
      </c>
    </row>
    <row r="158" spans="1:19">
      <c r="A158" s="20"/>
      <c r="M158" s="6"/>
      <c r="Q158">
        <v>2017</v>
      </c>
      <c r="R158" s="6">
        <f t="shared" si="41"/>
        <v>-4729877.4405857548</v>
      </c>
      <c r="S158" s="15">
        <f t="shared" si="42"/>
        <v>0.55239466482431576</v>
      </c>
    </row>
    <row r="159" spans="1:19">
      <c r="A159" s="20"/>
      <c r="M159" s="6"/>
      <c r="Q159">
        <v>2018</v>
      </c>
      <c r="R159" s="6">
        <f t="shared" si="41"/>
        <v>-3369325.2773065232</v>
      </c>
      <c r="S159" s="15">
        <f t="shared" si="42"/>
        <v>0.88817540216005164</v>
      </c>
    </row>
    <row r="160" spans="1:19">
      <c r="A160" s="20"/>
      <c r="M160" s="6"/>
      <c r="Q160">
        <v>2019</v>
      </c>
      <c r="R160" s="6">
        <f t="shared" si="41"/>
        <v>-7477509.8475514613</v>
      </c>
      <c r="S160" s="15">
        <f t="shared" si="42"/>
        <v>0.80166335572799463</v>
      </c>
    </row>
    <row r="161" spans="1:19">
      <c r="A161" s="20"/>
      <c r="O161" s="15"/>
      <c r="Q161">
        <v>2020</v>
      </c>
      <c r="R161" s="6">
        <f t="shared" si="41"/>
        <v>1817594.3371040262</v>
      </c>
      <c r="S161" s="15">
        <f t="shared" si="42"/>
        <v>0.43991524573117485</v>
      </c>
    </row>
    <row r="162" spans="1:19">
      <c r="A162" s="20"/>
      <c r="O162" s="15"/>
      <c r="Q162">
        <v>2021</v>
      </c>
      <c r="R162" s="6">
        <f t="shared" si="41"/>
        <v>14657020.863631152</v>
      </c>
      <c r="S162" s="15">
        <f t="shared" si="42"/>
        <v>0.83327309907152303</v>
      </c>
    </row>
    <row r="163" spans="1:19">
      <c r="A163" s="20"/>
      <c r="O163" s="15"/>
    </row>
    <row r="164" spans="1:19">
      <c r="A164" s="20"/>
      <c r="O164" s="15"/>
    </row>
    <row r="165" spans="1:19">
      <c r="A165" s="20"/>
      <c r="O165" s="15"/>
    </row>
    <row r="166" spans="1:19">
      <c r="A166" s="20"/>
      <c r="O166" s="15"/>
    </row>
    <row r="167" spans="1:19">
      <c r="A167" s="20"/>
      <c r="O167" s="15"/>
    </row>
    <row r="168" spans="1:19">
      <c r="A168" s="20"/>
      <c r="O168" s="15"/>
    </row>
    <row r="169" spans="1:19">
      <c r="A169" s="20"/>
      <c r="O169" s="15"/>
    </row>
    <row r="170" spans="1:19">
      <c r="A170" s="20"/>
      <c r="O170" s="15"/>
    </row>
    <row r="171" spans="1:19">
      <c r="A171" s="20"/>
      <c r="O171" s="15"/>
    </row>
    <row r="172" spans="1:19">
      <c r="A172" s="20"/>
      <c r="O172" s="15"/>
    </row>
    <row r="173" spans="1:19">
      <c r="A173" s="20"/>
      <c r="O173" s="15"/>
    </row>
    <row r="174" spans="1:19">
      <c r="A174" s="20"/>
      <c r="O174" s="15"/>
    </row>
    <row r="175" spans="1:19">
      <c r="A175" s="20"/>
      <c r="O175" s="15"/>
    </row>
    <row r="176" spans="1:19">
      <c r="A176" s="20"/>
      <c r="O176" s="15"/>
    </row>
    <row r="177" spans="1:15">
      <c r="A177" s="20"/>
      <c r="O177" s="15"/>
    </row>
    <row r="178" spans="1:15">
      <c r="A178" s="20"/>
      <c r="O178" s="15"/>
    </row>
    <row r="179" spans="1:15">
      <c r="A179" s="20"/>
      <c r="O179" s="15"/>
    </row>
    <row r="180" spans="1:15">
      <c r="A180" s="20"/>
      <c r="O180" s="1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Monthly Data</vt:lpstr>
      <vt:lpstr>Historic CDM</vt:lpstr>
      <vt:lpstr>Weather</vt:lpstr>
      <vt:lpstr>Economic Variables</vt:lpstr>
      <vt:lpstr>Res Predicted Monthly</vt:lpstr>
      <vt:lpstr>GS&lt;50 Predicted Monthly</vt:lpstr>
      <vt:lpstr>GS&gt;50 Predicted Monthly</vt:lpstr>
      <vt:lpstr>Int Predicted Monthly</vt:lpstr>
      <vt:lpstr>LU Predicted Monthly</vt:lpstr>
      <vt:lpstr>Model Summary</vt:lpstr>
      <vt:lpstr>Res Normalized Monthly</vt:lpstr>
      <vt:lpstr>GS&lt;50 Normalized Monthly</vt:lpstr>
      <vt:lpstr>GS&gt;50 Normalized Monthly</vt:lpstr>
      <vt:lpstr>Int Normalized Monthly</vt:lpstr>
      <vt:lpstr>LU Normalized Monthly</vt:lpstr>
      <vt:lpstr>Normalized Annual Summary</vt:lpstr>
      <vt:lpstr>Connection Count</vt:lpstr>
      <vt:lpstr>CDM Forecast</vt:lpstr>
      <vt:lpstr>CDM Adjustment</vt:lpstr>
      <vt:lpstr>kW Forecast</vt:lpstr>
      <vt:lpstr>Summary Tables (Class Adj)</vt:lpstr>
      <vt:lpstr>Summary Tables (Actuals)</vt:lpstr>
      <vt:lpstr>Variance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2012-06-22T18:05:52Z</dcterms:created>
  <dcterms:modified xsi:type="dcterms:W3CDTF">2023-02-13T20:51:18Z</dcterms:modified>
</cp:coreProperties>
</file>