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1 -2023 Rebasing\2.Interrogatories\Draft responses\Filing attachments\"/>
    </mc:Choice>
  </mc:AlternateContent>
  <bookViews>
    <workbookView xWindow="0" yWindow="0" windowWidth="25200" windowHeight="11250" activeTab="3"/>
  </bookViews>
  <sheets>
    <sheet name="SEC 30" sheetId="2" r:id="rId1"/>
    <sheet name="2022 Summarized " sheetId="1" r:id="rId2"/>
    <sheet name="2023 summarized" sheetId="4" r:id="rId3"/>
    <sheet name="Number of GSGT50 customers" sheetId="5" r:id="rId4"/>
  </sheets>
  <definedNames>
    <definedName name="_xlnm._FilterDatabase" localSheetId="1" hidden="1">'2022 Summarized '!$A$3:$I$75</definedName>
    <definedName name="_xlnm._FilterDatabase" localSheetId="2" hidden="1">'2023 summarized'!$A$3:$O$77</definedName>
    <definedName name="_xlnm.Print_Titles" localSheetId="1">'2022 Summarized 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  <c r="E26" i="5" s="1"/>
  <c r="E28" i="5" s="1"/>
  <c r="E23" i="5" l="1"/>
  <c r="E4" i="1"/>
  <c r="B74" i="4" l="1"/>
  <c r="B73" i="4"/>
  <c r="B72" i="4"/>
  <c r="B71" i="4"/>
  <c r="B70" i="4"/>
  <c r="B69" i="4"/>
  <c r="B68" i="4"/>
  <c r="B67" i="4"/>
  <c r="F66" i="4"/>
  <c r="G66" i="4" s="1"/>
  <c r="B65" i="4"/>
  <c r="B63" i="4"/>
  <c r="F61" i="4"/>
  <c r="G61" i="4" s="1"/>
  <c r="F60" i="4"/>
  <c r="G60" i="4" s="1"/>
  <c r="F58" i="4"/>
  <c r="G58" i="4" s="1"/>
  <c r="B57" i="4"/>
  <c r="F56" i="4"/>
  <c r="G56" i="4" s="1"/>
  <c r="B55" i="4"/>
  <c r="F54" i="4"/>
  <c r="G54" i="4" s="1"/>
  <c r="F53" i="4"/>
  <c r="G53" i="4" s="1"/>
  <c r="F52" i="4"/>
  <c r="G52" i="4" s="1"/>
  <c r="B51" i="4"/>
  <c r="F50" i="4"/>
  <c r="G50" i="4" s="1"/>
  <c r="B49" i="4"/>
  <c r="F47" i="4"/>
  <c r="G47" i="4" s="1"/>
  <c r="F46" i="4"/>
  <c r="G46" i="4" s="1"/>
  <c r="F45" i="4"/>
  <c r="G45" i="4" s="1"/>
  <c r="F44" i="4"/>
  <c r="G44" i="4" s="1"/>
  <c r="C43" i="4"/>
  <c r="B43" i="4"/>
  <c r="F43" i="4" s="1"/>
  <c r="G43" i="4" s="1"/>
  <c r="F42" i="4"/>
  <c r="G42" i="4" s="1"/>
  <c r="B41" i="4"/>
  <c r="F40" i="4"/>
  <c r="G40" i="4" s="1"/>
  <c r="F39" i="4"/>
  <c r="G39" i="4" s="1"/>
  <c r="F38" i="4"/>
  <c r="G38" i="4" s="1"/>
  <c r="C37" i="4"/>
  <c r="B37" i="4"/>
  <c r="F37" i="4" s="1"/>
  <c r="G37" i="4" s="1"/>
  <c r="F36" i="4"/>
  <c r="G36" i="4" s="1"/>
  <c r="F35" i="4"/>
  <c r="G35" i="4" s="1"/>
  <c r="F34" i="4"/>
  <c r="G34" i="4" s="1"/>
  <c r="B33" i="4"/>
  <c r="B32" i="4"/>
  <c r="F31" i="4"/>
  <c r="G31" i="4" s="1"/>
  <c r="F30" i="4"/>
  <c r="G30" i="4" s="1"/>
  <c r="F29" i="4"/>
  <c r="G29" i="4" s="1"/>
  <c r="F28" i="4"/>
  <c r="G28" i="4" s="1"/>
  <c r="B27" i="4"/>
  <c r="B26" i="4"/>
  <c r="B25" i="4"/>
  <c r="F24" i="4"/>
  <c r="G24" i="4" s="1"/>
  <c r="C23" i="4"/>
  <c r="B23" i="4"/>
  <c r="F23" i="4" s="1"/>
  <c r="G23" i="4" s="1"/>
  <c r="F22" i="4"/>
  <c r="G22" i="4" s="1"/>
  <c r="B21" i="4"/>
  <c r="B20" i="4"/>
  <c r="F19" i="4"/>
  <c r="G19" i="4" s="1"/>
  <c r="F18" i="4"/>
  <c r="G18" i="4" s="1"/>
  <c r="F17" i="4"/>
  <c r="G17" i="4" s="1"/>
  <c r="F16" i="4"/>
  <c r="G16" i="4" s="1"/>
  <c r="B15" i="4"/>
  <c r="F14" i="4"/>
  <c r="G14" i="4" s="1"/>
  <c r="B13" i="4"/>
  <c r="C12" i="4"/>
  <c r="B12" i="4"/>
  <c r="F12" i="4" s="1"/>
  <c r="G12" i="4" s="1"/>
  <c r="B11" i="4"/>
  <c r="F10" i="4"/>
  <c r="G10" i="4" s="1"/>
  <c r="B9" i="4"/>
  <c r="F8" i="4"/>
  <c r="G8" i="4" s="1"/>
  <c r="F7" i="4"/>
  <c r="G7" i="4" s="1"/>
  <c r="B6" i="4"/>
  <c r="F5" i="4"/>
  <c r="G5" i="4" s="1"/>
  <c r="I4" i="4"/>
  <c r="C73" i="4" s="1"/>
  <c r="F73" i="4" s="1"/>
  <c r="G73" i="4" s="1"/>
  <c r="G4" i="4"/>
  <c r="F4" i="4"/>
  <c r="F55" i="4" l="1"/>
  <c r="G55" i="4" s="1"/>
  <c r="F74" i="4"/>
  <c r="G74" i="4" s="1"/>
  <c r="G79" i="4" s="1"/>
  <c r="F41" i="4"/>
  <c r="G41" i="4" s="1"/>
  <c r="F49" i="4"/>
  <c r="G49" i="4" s="1"/>
  <c r="G80" i="4"/>
  <c r="C49" i="4"/>
  <c r="C55" i="4"/>
  <c r="C63" i="4"/>
  <c r="F63" i="4" s="1"/>
  <c r="G63" i="4" s="1"/>
  <c r="C65" i="4"/>
  <c r="F65" i="4" s="1"/>
  <c r="G65" i="4" s="1"/>
  <c r="C15" i="4"/>
  <c r="F15" i="4" s="1"/>
  <c r="G15" i="4" s="1"/>
  <c r="C21" i="4"/>
  <c r="F21" i="4" s="1"/>
  <c r="G21" i="4" s="1"/>
  <c r="C26" i="4"/>
  <c r="F26" i="4" s="1"/>
  <c r="G26" i="4" s="1"/>
  <c r="C32" i="4"/>
  <c r="F32" i="4" s="1"/>
  <c r="G32" i="4" s="1"/>
  <c r="C41" i="4"/>
  <c r="C68" i="4"/>
  <c r="F68" i="4" s="1"/>
  <c r="G68" i="4" s="1"/>
  <c r="C70" i="4"/>
  <c r="F70" i="4" s="1"/>
  <c r="G70" i="4" s="1"/>
  <c r="C72" i="4"/>
  <c r="F72" i="4" s="1"/>
  <c r="G72" i="4" s="1"/>
  <c r="C74" i="4"/>
  <c r="B48" i="4"/>
  <c r="F48" i="4" s="1"/>
  <c r="G48" i="4" s="1"/>
  <c r="B59" i="4"/>
  <c r="F59" i="4" s="1"/>
  <c r="G59" i="4" s="1"/>
  <c r="B62" i="4"/>
  <c r="B64" i="4"/>
  <c r="C11" i="4"/>
  <c r="F11" i="4" s="1"/>
  <c r="G11" i="4" s="1"/>
  <c r="C13" i="4"/>
  <c r="F13" i="4" s="1"/>
  <c r="G13" i="4" s="1"/>
  <c r="C48" i="4"/>
  <c r="C59" i="4"/>
  <c r="C62" i="4"/>
  <c r="C64" i="4"/>
  <c r="C6" i="4"/>
  <c r="F6" i="4" s="1"/>
  <c r="C9" i="4"/>
  <c r="F9" i="4" s="1"/>
  <c r="G9" i="4" s="1"/>
  <c r="C20" i="4"/>
  <c r="F20" i="4" s="1"/>
  <c r="G20" i="4" s="1"/>
  <c r="C25" i="4"/>
  <c r="F25" i="4" s="1"/>
  <c r="G25" i="4" s="1"/>
  <c r="C27" i="4"/>
  <c r="F27" i="4" s="1"/>
  <c r="G27" i="4" s="1"/>
  <c r="C33" i="4"/>
  <c r="F33" i="4" s="1"/>
  <c r="G33" i="4" s="1"/>
  <c r="C51" i="4"/>
  <c r="F51" i="4" s="1"/>
  <c r="G51" i="4" s="1"/>
  <c r="C57" i="4"/>
  <c r="F57" i="4" s="1"/>
  <c r="G57" i="4" s="1"/>
  <c r="C67" i="4"/>
  <c r="F67" i="4" s="1"/>
  <c r="G67" i="4" s="1"/>
  <c r="C69" i="4"/>
  <c r="F69" i="4" s="1"/>
  <c r="G69" i="4" s="1"/>
  <c r="C71" i="4"/>
  <c r="F71" i="4" s="1"/>
  <c r="G71" i="4" s="1"/>
  <c r="D24" i="2"/>
  <c r="C24" i="2"/>
  <c r="H24" i="2" s="1"/>
  <c r="B22" i="2"/>
  <c r="B21" i="2"/>
  <c r="H20" i="2"/>
  <c r="H19" i="2"/>
  <c r="D19" i="2"/>
  <c r="C19" i="2"/>
  <c r="F19" i="2" s="1"/>
  <c r="G19" i="2" s="1"/>
  <c r="C18" i="2"/>
  <c r="F18" i="2" s="1"/>
  <c r="G18" i="2" s="1"/>
  <c r="H17" i="2"/>
  <c r="C17" i="2"/>
  <c r="F17" i="2" s="1"/>
  <c r="G17" i="2" s="1"/>
  <c r="C16" i="2"/>
  <c r="F16" i="2" s="1"/>
  <c r="G16" i="2" s="1"/>
  <c r="H15" i="2"/>
  <c r="C15" i="2"/>
  <c r="F15" i="2" s="1"/>
  <c r="G15" i="2" s="1"/>
  <c r="D14" i="2"/>
  <c r="D22" i="2" s="1"/>
  <c r="C14" i="2"/>
  <c r="F14" i="2" s="1"/>
  <c r="G14" i="2" s="1"/>
  <c r="H13" i="2"/>
  <c r="F13" i="2"/>
  <c r="G13" i="2" s="1"/>
  <c r="C13" i="2"/>
  <c r="C12" i="2"/>
  <c r="H12" i="2" s="1"/>
  <c r="D11" i="2"/>
  <c r="C11" i="2"/>
  <c r="H11" i="2" s="1"/>
  <c r="H10" i="2"/>
  <c r="G10" i="2"/>
  <c r="F10" i="2"/>
  <c r="D10" i="2"/>
  <c r="C10" i="2"/>
  <c r="D9" i="2"/>
  <c r="D21" i="2" s="1"/>
  <c r="C9" i="2"/>
  <c r="F9" i="2" s="1"/>
  <c r="F4" i="1"/>
  <c r="G4" i="1"/>
  <c r="H4" i="1" s="1"/>
  <c r="E5" i="1"/>
  <c r="F5" i="1"/>
  <c r="G5" i="1"/>
  <c r="H5" i="1" s="1"/>
  <c r="E6" i="1"/>
  <c r="F6" i="1" s="1"/>
  <c r="G6" i="1"/>
  <c r="H6" i="1" s="1"/>
  <c r="E7" i="1"/>
  <c r="F7" i="1"/>
  <c r="G7" i="1"/>
  <c r="H7" i="1"/>
  <c r="E8" i="1"/>
  <c r="F8" i="1" s="1"/>
  <c r="G8" i="1"/>
  <c r="H8" i="1"/>
  <c r="E9" i="1"/>
  <c r="F9" i="1" s="1"/>
  <c r="G9" i="1"/>
  <c r="H9" i="1"/>
  <c r="E10" i="1"/>
  <c r="F10" i="1" s="1"/>
  <c r="G10" i="1"/>
  <c r="H10" i="1"/>
  <c r="E11" i="1"/>
  <c r="F11" i="1" s="1"/>
  <c r="G11" i="1"/>
  <c r="H11" i="1"/>
  <c r="E12" i="1"/>
  <c r="F12" i="1" s="1"/>
  <c r="G12" i="1"/>
  <c r="H12" i="1"/>
  <c r="E13" i="1"/>
  <c r="F13" i="1"/>
  <c r="G13" i="1"/>
  <c r="H13" i="1" s="1"/>
  <c r="E14" i="1"/>
  <c r="F14" i="1" s="1"/>
  <c r="G14" i="1"/>
  <c r="H14" i="1"/>
  <c r="E15" i="1"/>
  <c r="F15" i="1"/>
  <c r="G15" i="1"/>
  <c r="H15" i="1" s="1"/>
  <c r="E16" i="1"/>
  <c r="F16" i="1" s="1"/>
  <c r="G16" i="1"/>
  <c r="H16" i="1"/>
  <c r="E17" i="1"/>
  <c r="F17" i="1"/>
  <c r="G17" i="1"/>
  <c r="H17" i="1"/>
  <c r="E18" i="1"/>
  <c r="F18" i="1" s="1"/>
  <c r="G18" i="1"/>
  <c r="H18" i="1" s="1"/>
  <c r="E19" i="1"/>
  <c r="F19" i="1"/>
  <c r="G19" i="1"/>
  <c r="H19" i="1" s="1"/>
  <c r="E20" i="1"/>
  <c r="F20" i="1" s="1"/>
  <c r="G20" i="1"/>
  <c r="H20" i="1" s="1"/>
  <c r="E21" i="1"/>
  <c r="F21" i="1" s="1"/>
  <c r="G21" i="1"/>
  <c r="H21" i="1" s="1"/>
  <c r="E22" i="1"/>
  <c r="F22" i="1" s="1"/>
  <c r="G22" i="1"/>
  <c r="H22" i="1"/>
  <c r="E23" i="1"/>
  <c r="F23" i="1" s="1"/>
  <c r="G23" i="1"/>
  <c r="H23" i="1" s="1"/>
  <c r="E24" i="1"/>
  <c r="F24" i="1" s="1"/>
  <c r="G24" i="1"/>
  <c r="H24" i="1"/>
  <c r="E25" i="1"/>
  <c r="F25" i="1"/>
  <c r="G25" i="1"/>
  <c r="H25" i="1" s="1"/>
  <c r="E26" i="1"/>
  <c r="F26" i="1" s="1"/>
  <c r="G26" i="1"/>
  <c r="H26" i="1"/>
  <c r="E27" i="1"/>
  <c r="F27" i="1"/>
  <c r="G27" i="1"/>
  <c r="H27" i="1" s="1"/>
  <c r="E28" i="1"/>
  <c r="F28" i="1"/>
  <c r="G28" i="1"/>
  <c r="H28" i="1" s="1"/>
  <c r="H79" i="1" s="1"/>
  <c r="E29" i="1"/>
  <c r="F29" i="1" s="1"/>
  <c r="G29" i="1"/>
  <c r="H29" i="1"/>
  <c r="E30" i="1"/>
  <c r="F30" i="1" s="1"/>
  <c r="G30" i="1"/>
  <c r="H30" i="1"/>
  <c r="E31" i="1"/>
  <c r="F31" i="1" s="1"/>
  <c r="G31" i="1"/>
  <c r="H31" i="1"/>
  <c r="E32" i="1"/>
  <c r="F32" i="1" s="1"/>
  <c r="G32" i="1"/>
  <c r="H32" i="1"/>
  <c r="E33" i="1"/>
  <c r="F33" i="1" s="1"/>
  <c r="G33" i="1"/>
  <c r="H33" i="1" s="1"/>
  <c r="E34" i="1"/>
  <c r="F34" i="1" s="1"/>
  <c r="G34" i="1"/>
  <c r="H34" i="1"/>
  <c r="E35" i="1"/>
  <c r="F35" i="1" s="1"/>
  <c r="G35" i="1"/>
  <c r="H35" i="1"/>
  <c r="E36" i="1"/>
  <c r="F36" i="1" s="1"/>
  <c r="G36" i="1"/>
  <c r="H36" i="1" s="1"/>
  <c r="E37" i="1"/>
  <c r="F37" i="1" s="1"/>
  <c r="G37" i="1"/>
  <c r="H37" i="1"/>
  <c r="E38" i="1"/>
  <c r="F38" i="1" s="1"/>
  <c r="G38" i="1"/>
  <c r="H38" i="1"/>
  <c r="E39" i="1"/>
  <c r="F39" i="1" s="1"/>
  <c r="G39" i="1"/>
  <c r="H39" i="1"/>
  <c r="E40" i="1"/>
  <c r="F40" i="1" s="1"/>
  <c r="G40" i="1"/>
  <c r="H40" i="1"/>
  <c r="E41" i="1"/>
  <c r="F41" i="1" s="1"/>
  <c r="G41" i="1"/>
  <c r="H41" i="1" s="1"/>
  <c r="E42" i="1"/>
  <c r="F42" i="1" s="1"/>
  <c r="G42" i="1"/>
  <c r="H42" i="1"/>
  <c r="E43" i="1"/>
  <c r="F43" i="1" s="1"/>
  <c r="G43" i="1"/>
  <c r="H43" i="1"/>
  <c r="E44" i="1"/>
  <c r="F44" i="1" s="1"/>
  <c r="G44" i="1"/>
  <c r="H44" i="1"/>
  <c r="E45" i="1"/>
  <c r="F45" i="1" s="1"/>
  <c r="G45" i="1"/>
  <c r="H45" i="1"/>
  <c r="E46" i="1"/>
  <c r="F46" i="1" s="1"/>
  <c r="G46" i="1"/>
  <c r="H46" i="1"/>
  <c r="E47" i="1"/>
  <c r="F47" i="1" s="1"/>
  <c r="G47" i="1"/>
  <c r="H47" i="1"/>
  <c r="E48" i="1"/>
  <c r="F48" i="1" s="1"/>
  <c r="G48" i="1"/>
  <c r="H48" i="1"/>
  <c r="E49" i="1"/>
  <c r="F49" i="1" s="1"/>
  <c r="G49" i="1"/>
  <c r="H49" i="1" s="1"/>
  <c r="E50" i="1"/>
  <c r="F50" i="1" s="1"/>
  <c r="G50" i="1"/>
  <c r="H50" i="1"/>
  <c r="E51" i="1"/>
  <c r="F51" i="1" s="1"/>
  <c r="G51" i="1"/>
  <c r="H51" i="1"/>
  <c r="E52" i="1"/>
  <c r="F52" i="1" s="1"/>
  <c r="G52" i="1"/>
  <c r="H52" i="1" s="1"/>
  <c r="E53" i="1"/>
  <c r="F53" i="1" s="1"/>
  <c r="G53" i="1"/>
  <c r="H53" i="1"/>
  <c r="E54" i="1"/>
  <c r="F54" i="1" s="1"/>
  <c r="G54" i="1"/>
  <c r="H54" i="1"/>
  <c r="E55" i="1"/>
  <c r="F55" i="1" s="1"/>
  <c r="G55" i="1"/>
  <c r="H55" i="1"/>
  <c r="E56" i="1"/>
  <c r="F56" i="1" s="1"/>
  <c r="G56" i="1"/>
  <c r="H56" i="1"/>
  <c r="E57" i="1"/>
  <c r="F57" i="1" s="1"/>
  <c r="G57" i="1"/>
  <c r="H57" i="1" s="1"/>
  <c r="E58" i="1"/>
  <c r="F58" i="1" s="1"/>
  <c r="G58" i="1"/>
  <c r="H58" i="1"/>
  <c r="E59" i="1"/>
  <c r="F59" i="1" s="1"/>
  <c r="G59" i="1"/>
  <c r="H59" i="1"/>
  <c r="E60" i="1"/>
  <c r="F60" i="1" s="1"/>
  <c r="G60" i="1"/>
  <c r="H60" i="1" s="1"/>
  <c r="E61" i="1"/>
  <c r="F61" i="1" s="1"/>
  <c r="G61" i="1"/>
  <c r="H61" i="1"/>
  <c r="E62" i="1"/>
  <c r="F62" i="1" s="1"/>
  <c r="G62" i="1"/>
  <c r="H62" i="1"/>
  <c r="E63" i="1"/>
  <c r="F63" i="1" s="1"/>
  <c r="G63" i="1"/>
  <c r="H63" i="1"/>
  <c r="E64" i="1"/>
  <c r="F64" i="1" s="1"/>
  <c r="G64" i="1"/>
  <c r="H64" i="1"/>
  <c r="E65" i="1"/>
  <c r="F65" i="1" s="1"/>
  <c r="G65" i="1"/>
  <c r="H65" i="1" s="1"/>
  <c r="E66" i="1"/>
  <c r="F66" i="1" s="1"/>
  <c r="G66" i="1"/>
  <c r="H66" i="1"/>
  <c r="E67" i="1"/>
  <c r="F67" i="1" s="1"/>
  <c r="G67" i="1"/>
  <c r="H67" i="1"/>
  <c r="E68" i="1"/>
  <c r="F68" i="1" s="1"/>
  <c r="G68" i="1"/>
  <c r="H68" i="1" s="1"/>
  <c r="E69" i="1"/>
  <c r="F69" i="1" s="1"/>
  <c r="G69" i="1"/>
  <c r="H69" i="1"/>
  <c r="E70" i="1"/>
  <c r="F70" i="1" s="1"/>
  <c r="G70" i="1"/>
  <c r="H70" i="1"/>
  <c r="E71" i="1"/>
  <c r="F71" i="1" s="1"/>
  <c r="G71" i="1"/>
  <c r="H71" i="1"/>
  <c r="E72" i="1"/>
  <c r="F72" i="1" s="1"/>
  <c r="G72" i="1"/>
  <c r="H72" i="1"/>
  <c r="E73" i="1"/>
  <c r="F73" i="1" s="1"/>
  <c r="G73" i="1"/>
  <c r="H73" i="1" s="1"/>
  <c r="E74" i="1"/>
  <c r="F74" i="1" s="1"/>
  <c r="G74" i="1"/>
  <c r="H74" i="1"/>
  <c r="F64" i="4" l="1"/>
  <c r="G64" i="4" s="1"/>
  <c r="G6" i="4"/>
  <c r="F76" i="4"/>
  <c r="G76" i="4" s="1"/>
  <c r="G78" i="4" s="1"/>
  <c r="F62" i="4"/>
  <c r="G62" i="4" s="1"/>
  <c r="F75" i="4"/>
  <c r="G75" i="4" s="1"/>
  <c r="G9" i="2"/>
  <c r="H25" i="2"/>
  <c r="F22" i="2"/>
  <c r="F12" i="2"/>
  <c r="G12" i="2" s="1"/>
  <c r="F24" i="2"/>
  <c r="G24" i="2" s="1"/>
  <c r="H9" i="2"/>
  <c r="H14" i="2"/>
  <c r="H22" i="2" s="1"/>
  <c r="H26" i="2" s="1"/>
  <c r="H16" i="2"/>
  <c r="H18" i="2"/>
  <c r="C21" i="2"/>
  <c r="C22" i="2"/>
  <c r="F11" i="2"/>
  <c r="G11" i="2" s="1"/>
  <c r="G22" i="2" s="1"/>
  <c r="G75" i="1"/>
  <c r="E76" i="1"/>
  <c r="E75" i="1"/>
  <c r="G76" i="1"/>
  <c r="H75" i="1"/>
  <c r="H76" i="1"/>
  <c r="H78" i="1" s="1"/>
  <c r="F76" i="1"/>
  <c r="F75" i="1"/>
  <c r="H80" i="1"/>
  <c r="G21" i="2" l="1"/>
  <c r="H21" i="2"/>
  <c r="F21" i="2"/>
  <c r="G25" i="2"/>
  <c r="G26" i="2"/>
</calcChain>
</file>

<file path=xl/sharedStrings.xml><?xml version="1.0" encoding="utf-8"?>
<sst xmlns="http://schemas.openxmlformats.org/spreadsheetml/2006/main" count="235" uniqueCount="144">
  <si>
    <t>*Source -Review of individual rate decisions from OEB website</t>
  </si>
  <si>
    <t>BWP variance from highest</t>
  </si>
  <si>
    <t>BWP variance from lowest</t>
  </si>
  <si>
    <t>BWP variance from average</t>
  </si>
  <si>
    <t>AVERAGE (excluding BWP)</t>
  </si>
  <si>
    <t>AVERAGE (All LDCs)</t>
  </si>
  <si>
    <t>Hearst Power Distribution Co. Ltd.</t>
  </si>
  <si>
    <t>Hydro 2000 Inc.</t>
  </si>
  <si>
    <t>Hydro Hawkesbury Inc.</t>
  </si>
  <si>
    <t>Northern Ontario Wires Inc.</t>
  </si>
  <si>
    <t>E.L.K. Energy Inc.</t>
  </si>
  <si>
    <t>Tillsonburg Hydro Inc.</t>
  </si>
  <si>
    <t>Burlington Hydro Inc.</t>
  </si>
  <si>
    <t>Hydro One Networks Inc.-Woodstock Hydro Services Inc. Rate Zone</t>
  </si>
  <si>
    <t>Milton Hydro Distribution Inc.</t>
  </si>
  <si>
    <t>ERTH Power Corporation-Goderich Rate Zone</t>
  </si>
  <si>
    <t>Orangeville Hydro Limited</t>
  </si>
  <si>
    <t>Ottawa River Power Corporation</t>
  </si>
  <si>
    <t>Hydro One Networks Inc.-Peterborough Distribution Incorporated Rate Zone</t>
  </si>
  <si>
    <t>Alectra Utilities Corporation-Brampton Rate Zone</t>
  </si>
  <si>
    <t>Newmarket-Tay Power Distribution Ltd.-Midland Power Utility Rate Zone</t>
  </si>
  <si>
    <t>ERTH Power Corporation - Main Rate Zone</t>
  </si>
  <si>
    <t>Lakefront Utilities Inc.</t>
  </si>
  <si>
    <t>Entegrus Powerlines Inc.-Main Rate Zone</t>
  </si>
  <si>
    <t>EPCOR Electricity Distribution Ontario Inc.</t>
  </si>
  <si>
    <t>Entegrus Powerlines Inc.-St. Thomas Energy Rate Zone</t>
  </si>
  <si>
    <t>Kingston Hydro Corporation</t>
  </si>
  <si>
    <t>London Hydro Inc.</t>
  </si>
  <si>
    <t>Elexicon Energy Inc.-Veridian Rate Zone</t>
  </si>
  <si>
    <t>Fort Frances Power Corporation</t>
  </si>
  <si>
    <t>Alectra Utilities Corporation-Guelph Rate Zone</t>
  </si>
  <si>
    <t>Essex Powerlines Corporation</t>
  </si>
  <si>
    <t>Hydro One Networks Inc.-Haldimand County Hydro Inc. Rate Zone</t>
  </si>
  <si>
    <t>Niagara Peninsula Energy Inc.</t>
  </si>
  <si>
    <t>Westario Power Inc.</t>
  </si>
  <si>
    <t>Energy Plus Inc.</t>
  </si>
  <si>
    <t>Festival Hydro Inc.</t>
  </si>
  <si>
    <t>Lakeland Power Distribution Ltd.</t>
  </si>
  <si>
    <t>Renfrew Hydro Inc.</t>
  </si>
  <si>
    <t>Sioux Lookout Hydro Inc.</t>
  </si>
  <si>
    <t>Niagara-on-the-Lake Hydro Inc.</t>
  </si>
  <si>
    <t>Grimsby Power Incorporated</t>
  </si>
  <si>
    <t>Synergy North Corporation-Thunder Bay Rate Zone</t>
  </si>
  <si>
    <t>Alectra Utilities Corporation-Enersource Rate Zone</t>
  </si>
  <si>
    <t>Oshawa PUC Networks Inc.</t>
  </si>
  <si>
    <t>Brantford Power Inc.</t>
  </si>
  <si>
    <t>Cooperative Hydro Embrun Inc.</t>
  </si>
  <si>
    <t>Alectra Utilities Corporation-PowerStream Rate Zone</t>
  </si>
  <si>
    <t>Rideau St. Lawrence Distribution Inc.</t>
  </si>
  <si>
    <t>Wasaga Distribution Inc.</t>
  </si>
  <si>
    <t>ENWIN Utilities Ltd.</t>
  </si>
  <si>
    <t>Centre Wellington Hydro Ltd.</t>
  </si>
  <si>
    <t>Bluewater Power Distribution Corporation</t>
  </si>
  <si>
    <t>Elexicon Energy Inc.-Whitby Rate Zone</t>
  </si>
  <si>
    <t>Welland Hydro-Electric System Corp.</t>
  </si>
  <si>
    <t>Wellington North Power Inc.</t>
  </si>
  <si>
    <t>North Bay Hydro Distribution Limited</t>
  </si>
  <si>
    <t>Oakville Hydro Electricity Distribution Inc.</t>
  </si>
  <si>
    <t>Newmarket-Tay Power Distribution Ltd.-Newmarket-Tay Power Main Rate Zone</t>
  </si>
  <si>
    <t>Espanola Regional Hydro Distribution Corporation</t>
  </si>
  <si>
    <t>Hydro One Networks Inc.-Norfolk Power Distribution Inc. Rate Zone</t>
  </si>
  <si>
    <t>Kitchener-Wilmot Hydro Inc.</t>
  </si>
  <si>
    <t>Waterloo North Hydro Inc.</t>
  </si>
  <si>
    <t>InnPower Corporation</t>
  </si>
  <si>
    <t>Greater Sudbury Hydro Inc.</t>
  </si>
  <si>
    <t>Alectra Utilities Corporation-Horizon Utilities Rate Zone</t>
  </si>
  <si>
    <t>Hydro One Networks Inc.-Orillia Power Distribition Corporation Rate Zone</t>
  </si>
  <si>
    <t>Westario</t>
  </si>
  <si>
    <t>Halton Hills Hydro Inc.</t>
  </si>
  <si>
    <t>Welland</t>
  </si>
  <si>
    <t>Chapleau Public Utilities Corporation</t>
  </si>
  <si>
    <t>Wasaga</t>
  </si>
  <si>
    <t>Hydro Ottawa Limited</t>
  </si>
  <si>
    <t>Niagara Peninsula</t>
  </si>
  <si>
    <t>Synergy North Corporation-Kenora Rate Zone</t>
  </si>
  <si>
    <t>Kingston</t>
  </si>
  <si>
    <t>PUC Distribution Inc.</t>
  </si>
  <si>
    <t>Festival</t>
  </si>
  <si>
    <t>Toronto Hydro-Electric System Limited</t>
  </si>
  <si>
    <t>Essex</t>
  </si>
  <si>
    <t>Canadian Niagara Power Inc.</t>
  </si>
  <si>
    <t>ERTH Power</t>
  </si>
  <si>
    <t>Atikokan Hydro Inc.</t>
  </si>
  <si>
    <t>Entegrus</t>
  </si>
  <si>
    <t>Hydro One - UG d - Urban</t>
  </si>
  <si>
    <t>E.L.K</t>
  </si>
  <si>
    <t>Hydro One -  GSd</t>
  </si>
  <si>
    <t>Rank</t>
  </si>
  <si>
    <t>Annual Total without LRAM $</t>
  </si>
  <si>
    <t>Monthly Total Without LRAM $</t>
  </si>
  <si>
    <t>Annual Total with LRAM $</t>
  </si>
  <si>
    <t>Monthly Total with LRAM $</t>
  </si>
  <si>
    <t xml:space="preserve">LRAM </t>
  </si>
  <si>
    <t>DISTRIBUTION VOLUMETRIC rate</t>
  </si>
  <si>
    <t>SERVICE CHARGE</t>
  </si>
  <si>
    <t>Company</t>
  </si>
  <si>
    <t>Bluewater_8-SEC-30-GSGT50 Rate Comparison</t>
  </si>
  <si>
    <t>Bill Comparisons for Schools</t>
  </si>
  <si>
    <t>Comparator Group</t>
  </si>
  <si>
    <t>Monthly Demand</t>
  </si>
  <si>
    <t>kW</t>
  </si>
  <si>
    <t>GS&gt;50</t>
  </si>
  <si>
    <t>LDC</t>
  </si>
  <si>
    <t>Fixed</t>
  </si>
  <si>
    <t>Variable</t>
  </si>
  <si>
    <t>LRAM</t>
  </si>
  <si>
    <t>Other</t>
  </si>
  <si>
    <t>Total</t>
  </si>
  <si>
    <t>Annual</t>
  </si>
  <si>
    <t>w/o LRAM</t>
  </si>
  <si>
    <t>Bluewater</t>
  </si>
  <si>
    <t>Average</t>
  </si>
  <si>
    <t>Average w/o BPDC</t>
  </si>
  <si>
    <t>Bluewater Proposed</t>
  </si>
  <si>
    <t>Increase over 2022</t>
  </si>
  <si>
    <t>Excess to Average</t>
  </si>
  <si>
    <t>SERVICE CHARGE (2022 rates)</t>
  </si>
  <si>
    <t>DISTRIBUTION VOLUMETRIC rate (2022 rates)</t>
  </si>
  <si>
    <t>monthly kW</t>
  </si>
  <si>
    <t>2023 inflation less -.3% stretch factor</t>
  </si>
  <si>
    <t>Note:  the rates highlighted in blue are from the 2023 rate orders</t>
  </si>
  <si>
    <t>The remaining LDCs rates are based on their  2022 rates escalated by 3.4%</t>
  </si>
  <si>
    <t>Enova Power Corp - Kitchener-Wilmot Hydro Inc.</t>
  </si>
  <si>
    <t>Enova Power Corp - Waterloo North Hydro Inc.</t>
  </si>
  <si>
    <t>GrandBridge Energy Inc. (formerly Brantford Power Inc).</t>
  </si>
  <si>
    <t>GrandBridge Energy Inc. (formerly Energy Plus Inc.)</t>
  </si>
  <si>
    <t>Westario Power Inc.A2:L70</t>
  </si>
  <si>
    <t>*Source -Review of individual rate decisions from OEB website for 2023 rates, and escalation of 2022 rates for those not available</t>
  </si>
  <si>
    <t>2022 RATES</t>
  </si>
  <si>
    <t>2023 RATES</t>
  </si>
  <si>
    <t>Distributor/Rate Zone</t>
  </si>
  <si>
    <t>GS&gt;50 Customers</t>
  </si>
  <si>
    <t>Customer number is for total Hydro One area, which includes both the GSd and Ugd-Urban rate classes</t>
  </si>
  <si>
    <t>Not included because subset for Kenora zone not available</t>
  </si>
  <si>
    <t>Not included because subset for Horizon zone not available</t>
  </si>
  <si>
    <t>All Distributors in Ontario</t>
  </si>
  <si>
    <t>Total GS&gt;50 Customers in zones with higher rate then Bluewater (2023 rates, 100 kW demand)</t>
  </si>
  <si>
    <t>Note: not including Hozion and Kenora because subset of Alectra and Synergy customer numbers is not available</t>
  </si>
  <si>
    <t>Percentage of province with higher rate then Bluewater</t>
  </si>
  <si>
    <t>Add 2,000 Horizon customers</t>
  </si>
  <si>
    <t>For Horizon's last rate year before Amalgamation (2016) it reported 2017 GS&gt;50 customers in the 2015 OEB Distibutor Handbook</t>
  </si>
  <si>
    <t>Total GS&gt;50 Customers in zones with higher rate then Bluewater (2023 rates, 100 kW demand) including Horizon</t>
  </si>
  <si>
    <t>Percentage of province with higher rate then Bluewater including Horizon</t>
  </si>
  <si>
    <t>All customer numbers pulled from the 2020 OEB Distributor Yearbook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</si>
</sst>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  <numFmt numFmtId="168" formatCode="0.0%"/>
    <numFmt numFmtId="169" formatCode="_(* #,##0.0000_);_(* \(#,##0.0000\);_(* &quot;-&quot;??_);_(@_)"/>
    <numFmt numFmtId="170" formatCode="0.0000000000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top" wrapText="1"/>
    </xf>
    <xf numFmtId="9" fontId="2" fillId="0" borderId="0" xfId="3" applyFont="1"/>
    <xf numFmtId="9" fontId="2" fillId="0" borderId="0" xfId="3" applyNumberFormat="1" applyFont="1"/>
    <xf numFmtId="0" fontId="4" fillId="2" borderId="1" xfId="0" applyFont="1" applyFill="1" applyBorder="1"/>
    <xf numFmtId="166" fontId="4" fillId="2" borderId="1" xfId="1" applyNumberFormat="1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2" fillId="0" borderId="1" xfId="0" applyFont="1" applyBorder="1"/>
    <xf numFmtId="166" fontId="2" fillId="3" borderId="1" xfId="1" applyNumberFormat="1" applyFont="1" applyFill="1" applyBorder="1"/>
    <xf numFmtId="166" fontId="2" fillId="4" borderId="1" xfId="1" applyNumberFormat="1" applyFont="1" applyFill="1" applyBorder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wrapText="1"/>
    </xf>
    <xf numFmtId="0" fontId="2" fillId="5" borderId="1" xfId="0" applyFont="1" applyFill="1" applyBorder="1"/>
    <xf numFmtId="0" fontId="3" fillId="5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15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0" borderId="0" xfId="0" applyNumberFormat="1"/>
    <xf numFmtId="0" fontId="9" fillId="0" borderId="0" xfId="0" applyFont="1"/>
    <xf numFmtId="0" fontId="9" fillId="0" borderId="0" xfId="0" applyFont="1" applyAlignment="1">
      <alignment horizontal="right"/>
    </xf>
    <xf numFmtId="167" fontId="0" fillId="6" borderId="0" xfId="0" applyNumberFormat="1" applyFill="1"/>
    <xf numFmtId="164" fontId="0" fillId="0" borderId="0" xfId="2" applyFont="1"/>
    <xf numFmtId="167" fontId="0" fillId="0" borderId="0" xfId="0" applyNumberFormat="1"/>
    <xf numFmtId="167" fontId="0" fillId="7" borderId="0" xfId="0" applyNumberFormat="1" applyFill="1"/>
    <xf numFmtId="9" fontId="0" fillId="0" borderId="0" xfId="3" applyFont="1"/>
    <xf numFmtId="10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top" wrapText="1"/>
    </xf>
    <xf numFmtId="0" fontId="0" fillId="0" borderId="2" xfId="0" applyBorder="1"/>
    <xf numFmtId="0" fontId="3" fillId="0" borderId="1" xfId="0" applyFont="1" applyBorder="1" applyAlignment="1">
      <alignment horizontal="left" vertical="top" wrapText="1"/>
    </xf>
    <xf numFmtId="0" fontId="2" fillId="9" borderId="1" xfId="0" applyFont="1" applyFill="1" applyBorder="1"/>
    <xf numFmtId="164" fontId="2" fillId="3" borderId="1" xfId="0" applyNumberFormat="1" applyFont="1" applyFill="1" applyBorder="1"/>
    <xf numFmtId="168" fontId="0" fillId="0" borderId="2" xfId="3" applyNumberFormat="1" applyFont="1" applyBorder="1"/>
    <xf numFmtId="0" fontId="0" fillId="0" borderId="0" xfId="0" applyFill="1"/>
    <xf numFmtId="165" fontId="2" fillId="0" borderId="1" xfId="1" applyFont="1" applyBorder="1"/>
    <xf numFmtId="169" fontId="2" fillId="0" borderId="1" xfId="1" applyNumberFormat="1" applyFont="1" applyBorder="1"/>
    <xf numFmtId="0" fontId="3" fillId="0" borderId="1" xfId="0" applyFont="1" applyBorder="1" applyAlignment="1">
      <alignment horizontal="right" wrapText="1"/>
    </xf>
    <xf numFmtId="0" fontId="3" fillId="10" borderId="1" xfId="0" applyFont="1" applyFill="1" applyBorder="1" applyAlignment="1">
      <alignment horizontal="right" wrapText="1"/>
    </xf>
    <xf numFmtId="0" fontId="2" fillId="0" borderId="3" xfId="0" applyFont="1" applyBorder="1"/>
    <xf numFmtId="0" fontId="3" fillId="0" borderId="4" xfId="0" applyFont="1" applyBorder="1" applyAlignment="1">
      <alignment horizontal="left" vertical="top" wrapText="1"/>
    </xf>
    <xf numFmtId="165" fontId="2" fillId="0" borderId="4" xfId="1" applyFont="1" applyBorder="1"/>
    <xf numFmtId="169" fontId="2" fillId="0" borderId="4" xfId="1" applyNumberFormat="1" applyFont="1" applyBorder="1"/>
    <xf numFmtId="164" fontId="2" fillId="3" borderId="4" xfId="0" applyNumberFormat="1" applyFont="1" applyFill="1" applyBorder="1"/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/>
    <xf numFmtId="0" fontId="9" fillId="0" borderId="5" xfId="0" applyFont="1" applyBorder="1"/>
    <xf numFmtId="0" fontId="2" fillId="0" borderId="5" xfId="0" applyFont="1" applyBorder="1"/>
    <xf numFmtId="0" fontId="11" fillId="0" borderId="0" xfId="0" applyFont="1"/>
    <xf numFmtId="0" fontId="10" fillId="9" borderId="6" xfId="0" applyFont="1" applyFill="1" applyBorder="1"/>
    <xf numFmtId="0" fontId="10" fillId="9" borderId="7" xfId="0" applyFont="1" applyFill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4" applyFont="1" applyAlignment="1">
      <alignment horizontal="center" vertical="center"/>
    </xf>
    <xf numFmtId="3" fontId="10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0" xfId="4" applyAlignment="1">
      <alignment horizontal="center" vertical="center" wrapText="1"/>
    </xf>
    <xf numFmtId="3" fontId="12" fillId="0" borderId="0" xfId="4" applyNumberFormat="1" applyAlignment="1">
      <alignment horizontal="center" vertical="center"/>
    </xf>
    <xf numFmtId="0" fontId="14" fillId="0" borderId="0" xfId="4" applyFont="1" applyAlignment="1">
      <alignment horizontal="center" vertical="center"/>
    </xf>
    <xf numFmtId="3" fontId="12" fillId="5" borderId="0" xfId="4" applyNumberFormat="1" applyFill="1" applyAlignment="1">
      <alignment horizontal="center" vertical="center"/>
    </xf>
    <xf numFmtId="9" fontId="12" fillId="11" borderId="0" xfId="4" applyNumberFormat="1" applyFill="1" applyAlignment="1">
      <alignment horizontal="center" vertical="center"/>
    </xf>
    <xf numFmtId="170" fontId="13" fillId="0" borderId="0" xfId="4" applyNumberFormat="1" applyFont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E3" sqref="E3"/>
    </sheetView>
  </sheetViews>
  <sheetFormatPr defaultRowHeight="14.5" x14ac:dyDescent="0.35"/>
  <cols>
    <col min="1" max="1" width="20.7265625" customWidth="1"/>
    <col min="2" max="7" width="10.7265625" customWidth="1"/>
    <col min="8" max="8" width="10.54296875" bestFit="1" customWidth="1"/>
  </cols>
  <sheetData>
    <row r="2" spans="1:10" ht="18.5" x14ac:dyDescent="0.45">
      <c r="A2" s="24" t="s">
        <v>97</v>
      </c>
    </row>
    <row r="3" spans="1:10" ht="15.5" x14ac:dyDescent="0.35">
      <c r="A3" s="25" t="s">
        <v>98</v>
      </c>
    </row>
    <row r="5" spans="1:10" x14ac:dyDescent="0.35">
      <c r="A5" t="s">
        <v>99</v>
      </c>
      <c r="B5" s="26">
        <v>100</v>
      </c>
      <c r="C5" t="s">
        <v>100</v>
      </c>
    </row>
    <row r="6" spans="1:10" x14ac:dyDescent="0.35">
      <c r="A6" t="s">
        <v>101</v>
      </c>
    </row>
    <row r="8" spans="1:10" ht="15.5" x14ac:dyDescent="0.35">
      <c r="A8" s="27" t="s">
        <v>102</v>
      </c>
      <c r="B8" s="28" t="s">
        <v>103</v>
      </c>
      <c r="C8" s="28" t="s">
        <v>104</v>
      </c>
      <c r="D8" s="28" t="s">
        <v>105</v>
      </c>
      <c r="E8" s="28" t="s">
        <v>106</v>
      </c>
      <c r="F8" s="28" t="s">
        <v>107</v>
      </c>
      <c r="G8" s="28" t="s">
        <v>108</v>
      </c>
      <c r="H8" s="28" t="s">
        <v>109</v>
      </c>
    </row>
    <row r="9" spans="1:10" x14ac:dyDescent="0.35">
      <c r="A9" t="s">
        <v>110</v>
      </c>
      <c r="B9" s="29">
        <v>163.49</v>
      </c>
      <c r="C9" s="29">
        <f>4.7508*$B$5</f>
        <v>475.08</v>
      </c>
      <c r="D9" s="29">
        <f>0.5073*$B$5</f>
        <v>50.73</v>
      </c>
      <c r="E9" s="29"/>
      <c r="F9" s="29">
        <f t="shared" ref="F9:F19" si="0">SUM(B9:E9)</f>
        <v>689.3</v>
      </c>
      <c r="G9" s="29">
        <f t="shared" ref="G9:G19" si="1">+F9*12</f>
        <v>8271.5999999999985</v>
      </c>
      <c r="H9" s="30">
        <f>(B9+C9)*12</f>
        <v>7662.8399999999992</v>
      </c>
    </row>
    <row r="10" spans="1:10" x14ac:dyDescent="0.35">
      <c r="A10" t="s">
        <v>85</v>
      </c>
      <c r="B10" s="31">
        <v>179.82</v>
      </c>
      <c r="C10" s="31">
        <f>1.6095*$B$5</f>
        <v>160.94999999999999</v>
      </c>
      <c r="D10" s="31">
        <f>0.1231*$B$5</f>
        <v>12.31</v>
      </c>
      <c r="E10" s="31"/>
      <c r="F10" s="31">
        <f t="shared" si="0"/>
        <v>353.08</v>
      </c>
      <c r="G10" s="32">
        <f t="shared" si="1"/>
        <v>4236.96</v>
      </c>
      <c r="H10" s="30">
        <f t="shared" ref="H10:H24" si="2">(B10+C10)*12</f>
        <v>4089.24</v>
      </c>
      <c r="J10" s="33"/>
    </row>
    <row r="11" spans="1:10" x14ac:dyDescent="0.35">
      <c r="A11" t="s">
        <v>83</v>
      </c>
      <c r="B11" s="31">
        <v>81.99</v>
      </c>
      <c r="C11" s="31">
        <f>3.9253*$B$5</f>
        <v>392.53</v>
      </c>
      <c r="D11" s="31">
        <f>0.2245*$B$5</f>
        <v>22.45</v>
      </c>
      <c r="E11" s="31"/>
      <c r="F11" s="31">
        <f t="shared" si="0"/>
        <v>496.96999999999997</v>
      </c>
      <c r="G11" s="31">
        <f t="shared" si="1"/>
        <v>5963.6399999999994</v>
      </c>
      <c r="H11" s="30">
        <f t="shared" si="2"/>
        <v>5694.24</v>
      </c>
    </row>
    <row r="12" spans="1:10" x14ac:dyDescent="0.35">
      <c r="A12" t="s">
        <v>81</v>
      </c>
      <c r="B12" s="31">
        <v>133.52000000000001</v>
      </c>
      <c r="C12" s="31">
        <f>3.2293*$B$5</f>
        <v>322.93</v>
      </c>
      <c r="D12" s="31"/>
      <c r="E12" s="31"/>
      <c r="F12" s="31">
        <f t="shared" si="0"/>
        <v>456.45000000000005</v>
      </c>
      <c r="G12" s="31">
        <f t="shared" si="1"/>
        <v>5477.4000000000005</v>
      </c>
      <c r="H12" s="30">
        <f t="shared" si="2"/>
        <v>5477.4000000000005</v>
      </c>
    </row>
    <row r="13" spans="1:10" x14ac:dyDescent="0.35">
      <c r="A13" t="s">
        <v>79</v>
      </c>
      <c r="B13" s="31">
        <v>252.83</v>
      </c>
      <c r="C13" s="31">
        <f>2.445*$B$5</f>
        <v>244.49999999999997</v>
      </c>
      <c r="D13" s="31"/>
      <c r="E13" s="31"/>
      <c r="F13" s="31">
        <f t="shared" si="0"/>
        <v>497.33</v>
      </c>
      <c r="G13" s="31">
        <f t="shared" si="1"/>
        <v>5967.96</v>
      </c>
      <c r="H13" s="30">
        <f t="shared" si="2"/>
        <v>5967.96</v>
      </c>
    </row>
    <row r="14" spans="1:10" x14ac:dyDescent="0.35">
      <c r="A14" t="s">
        <v>77</v>
      </c>
      <c r="B14" s="31">
        <v>254.64</v>
      </c>
      <c r="C14" s="31">
        <f>2.7491*$B$5</f>
        <v>274.90999999999997</v>
      </c>
      <c r="D14" s="31">
        <f>0.1684*$B$5</f>
        <v>16.84</v>
      </c>
      <c r="E14" s="31"/>
      <c r="F14" s="31">
        <f t="shared" si="0"/>
        <v>546.39</v>
      </c>
      <c r="G14" s="31">
        <f t="shared" si="1"/>
        <v>6556.68</v>
      </c>
      <c r="H14" s="30">
        <f t="shared" si="2"/>
        <v>6354.5999999999995</v>
      </c>
    </row>
    <row r="15" spans="1:10" x14ac:dyDescent="0.35">
      <c r="A15" t="s">
        <v>75</v>
      </c>
      <c r="B15" s="31">
        <v>117.69</v>
      </c>
      <c r="C15" s="31">
        <f>3.5786*$B$5</f>
        <v>357.85999999999996</v>
      </c>
      <c r="D15" s="31"/>
      <c r="E15" s="31"/>
      <c r="F15" s="31">
        <f t="shared" si="0"/>
        <v>475.54999999999995</v>
      </c>
      <c r="G15" s="31">
        <f t="shared" si="1"/>
        <v>5706.5999999999995</v>
      </c>
      <c r="H15" s="30">
        <f t="shared" si="2"/>
        <v>5706.5999999999995</v>
      </c>
    </row>
    <row r="16" spans="1:10" x14ac:dyDescent="0.35">
      <c r="A16" t="s">
        <v>73</v>
      </c>
      <c r="B16" s="31">
        <v>134.34</v>
      </c>
      <c r="C16" s="31">
        <f>3.7398*$B$5</f>
        <v>373.97999999999996</v>
      </c>
      <c r="D16" s="31"/>
      <c r="E16" s="31"/>
      <c r="F16" s="31">
        <f t="shared" si="0"/>
        <v>508.31999999999994</v>
      </c>
      <c r="G16" s="31">
        <f t="shared" si="1"/>
        <v>6099.8399999999992</v>
      </c>
      <c r="H16" s="30">
        <f t="shared" si="2"/>
        <v>6099.8399999999992</v>
      </c>
    </row>
    <row r="17" spans="1:9" x14ac:dyDescent="0.35">
      <c r="A17" t="s">
        <v>71</v>
      </c>
      <c r="B17" s="31">
        <v>38.07</v>
      </c>
      <c r="C17" s="31">
        <f>5.7434*$B$5</f>
        <v>574.34</v>
      </c>
      <c r="D17" s="31"/>
      <c r="E17" s="31"/>
      <c r="F17" s="31">
        <f t="shared" si="0"/>
        <v>612.41000000000008</v>
      </c>
      <c r="G17" s="31">
        <f t="shared" si="1"/>
        <v>7348.920000000001</v>
      </c>
      <c r="H17" s="30">
        <f t="shared" si="2"/>
        <v>7348.920000000001</v>
      </c>
    </row>
    <row r="18" spans="1:9" x14ac:dyDescent="0.35">
      <c r="A18" t="s">
        <v>69</v>
      </c>
      <c r="B18" s="31">
        <v>309.45</v>
      </c>
      <c r="C18" s="31">
        <f>3.3368*$B$5</f>
        <v>333.68</v>
      </c>
      <c r="D18" s="31"/>
      <c r="E18" s="31"/>
      <c r="F18" s="31">
        <f t="shared" si="0"/>
        <v>643.13</v>
      </c>
      <c r="G18" s="31">
        <f t="shared" si="1"/>
        <v>7717.5599999999995</v>
      </c>
      <c r="H18" s="30">
        <f t="shared" si="2"/>
        <v>7717.5599999999995</v>
      </c>
    </row>
    <row r="19" spans="1:9" x14ac:dyDescent="0.35">
      <c r="A19" t="s">
        <v>67</v>
      </c>
      <c r="B19" s="31">
        <v>250.14</v>
      </c>
      <c r="C19" s="31">
        <f>2.6398*$B$5</f>
        <v>263.98</v>
      </c>
      <c r="D19" s="31">
        <f>-0.1003*$B$5</f>
        <v>-10.029999999999999</v>
      </c>
      <c r="E19" s="31"/>
      <c r="F19" s="31">
        <f t="shared" si="0"/>
        <v>504.09000000000003</v>
      </c>
      <c r="G19" s="31">
        <f t="shared" si="1"/>
        <v>6049.08</v>
      </c>
      <c r="H19" s="30">
        <f t="shared" si="2"/>
        <v>6169.4400000000005</v>
      </c>
    </row>
    <row r="20" spans="1:9" x14ac:dyDescent="0.35">
      <c r="B20" s="31"/>
      <c r="C20" s="31"/>
      <c r="D20" s="31"/>
      <c r="E20" s="31"/>
      <c r="F20" s="31"/>
      <c r="H20" s="30">
        <f t="shared" si="2"/>
        <v>0</v>
      </c>
    </row>
    <row r="21" spans="1:9" x14ac:dyDescent="0.35">
      <c r="A21" t="s">
        <v>111</v>
      </c>
      <c r="B21" s="31">
        <f>AVERAGE(B9:B19)</f>
        <v>174.18</v>
      </c>
      <c r="C21" s="31">
        <f t="shared" ref="C21:D21" si="3">AVERAGE(C9:C19)</f>
        <v>343.15818181818184</v>
      </c>
      <c r="D21" s="31">
        <f t="shared" si="3"/>
        <v>18.46</v>
      </c>
      <c r="E21" s="31"/>
      <c r="F21" s="31">
        <f t="shared" ref="F21:H21" si="4">AVERAGE(F9:F19)</f>
        <v>525.72909090909081</v>
      </c>
      <c r="G21" s="31">
        <f t="shared" si="4"/>
        <v>6308.7490909090902</v>
      </c>
      <c r="H21" s="31">
        <f t="shared" si="4"/>
        <v>6208.0581818181809</v>
      </c>
    </row>
    <row r="22" spans="1:9" x14ac:dyDescent="0.35">
      <c r="A22" t="s">
        <v>112</v>
      </c>
      <c r="B22" s="31">
        <f>AVERAGE(B10:B19)</f>
        <v>175.24899999999997</v>
      </c>
      <c r="C22" s="31">
        <f t="shared" ref="C22:D22" si="5">AVERAGE(C10:C19)</f>
        <v>329.96600000000001</v>
      </c>
      <c r="D22" s="31">
        <f t="shared" si="5"/>
        <v>10.392499999999998</v>
      </c>
      <c r="F22" s="31">
        <f t="shared" ref="F22:H22" si="6">AVERAGE(F10:F19)</f>
        <v>509.37199999999996</v>
      </c>
      <c r="G22" s="31">
        <f t="shared" si="6"/>
        <v>6112.463999999999</v>
      </c>
      <c r="H22" s="31">
        <f t="shared" si="6"/>
        <v>6062.58</v>
      </c>
      <c r="I22" s="33"/>
    </row>
    <row r="23" spans="1:9" x14ac:dyDescent="0.35">
      <c r="I23" s="33"/>
    </row>
    <row r="24" spans="1:9" x14ac:dyDescent="0.35">
      <c r="A24" t="s">
        <v>113</v>
      </c>
      <c r="B24" s="29">
        <v>163.49</v>
      </c>
      <c r="C24" s="29">
        <f>5.5068*$B$5</f>
        <v>550.68000000000006</v>
      </c>
      <c r="D24" s="29">
        <f>1.1355*$B$5</f>
        <v>113.55</v>
      </c>
      <c r="E24" s="29"/>
      <c r="F24" s="29">
        <f>SUM(B24:E24)</f>
        <v>827.72</v>
      </c>
      <c r="G24" s="29">
        <f>+F24*12</f>
        <v>9932.64</v>
      </c>
      <c r="H24" s="30">
        <f t="shared" si="2"/>
        <v>8570.0400000000009</v>
      </c>
    </row>
    <row r="25" spans="1:9" x14ac:dyDescent="0.35">
      <c r="A25" t="s">
        <v>114</v>
      </c>
      <c r="G25" s="34">
        <f>+(G24-G9)/G9</f>
        <v>0.20081241839547381</v>
      </c>
      <c r="H25" s="34">
        <f>+(H24-H9)/H9</f>
        <v>0.11838952659849374</v>
      </c>
    </row>
    <row r="26" spans="1:9" x14ac:dyDescent="0.35">
      <c r="A26" t="s">
        <v>115</v>
      </c>
      <c r="G26" s="34">
        <f>+(G24-G22)/G22</f>
        <v>0.62498134958340879</v>
      </c>
      <c r="H26" s="34">
        <f>+(H24-H22)/H22</f>
        <v>0.41359619172035683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opLeftCell="A28" workbookViewId="0">
      <selection activeCell="B22" sqref="B22"/>
    </sheetView>
  </sheetViews>
  <sheetFormatPr defaultColWidth="9.1796875" defaultRowHeight="10.5" x14ac:dyDescent="0.25"/>
  <cols>
    <col min="1" max="1" width="24.7265625" style="1" customWidth="1"/>
    <col min="2" max="2" width="11.1796875" style="1" customWidth="1"/>
    <col min="3" max="3" width="11.453125" style="1" customWidth="1"/>
    <col min="4" max="4" width="9.1796875" style="1" customWidth="1"/>
    <col min="5" max="5" width="11.453125" style="1" customWidth="1"/>
    <col min="6" max="8" width="12.26953125" style="1" customWidth="1"/>
    <col min="9" max="16384" width="9.1796875" style="1"/>
  </cols>
  <sheetData>
    <row r="1" spans="1:10" ht="15.5" x14ac:dyDescent="0.35">
      <c r="A1" s="22" t="s">
        <v>96</v>
      </c>
      <c r="D1" s="56" t="s">
        <v>128</v>
      </c>
      <c r="E1" s="57"/>
      <c r="H1" s="23">
        <v>44970</v>
      </c>
    </row>
    <row r="3" spans="1:10" ht="31.5" x14ac:dyDescent="0.25">
      <c r="A3" s="21" t="s">
        <v>95</v>
      </c>
      <c r="B3" s="21" t="s">
        <v>94</v>
      </c>
      <c r="C3" s="21" t="s">
        <v>93</v>
      </c>
      <c r="D3" s="21" t="s">
        <v>92</v>
      </c>
      <c r="E3" s="20" t="s">
        <v>91</v>
      </c>
      <c r="F3" s="20" t="s">
        <v>90</v>
      </c>
      <c r="G3" s="19" t="s">
        <v>89</v>
      </c>
      <c r="H3" s="19" t="s">
        <v>88</v>
      </c>
      <c r="I3" s="18" t="s">
        <v>87</v>
      </c>
      <c r="J3" s="1">
        <v>100</v>
      </c>
    </row>
    <row r="4" spans="1:10" x14ac:dyDescent="0.25">
      <c r="A4" s="12" t="s">
        <v>86</v>
      </c>
      <c r="B4" s="17">
        <v>113.67</v>
      </c>
      <c r="C4" s="9">
        <v>19.383400000000002</v>
      </c>
      <c r="D4" s="9"/>
      <c r="E4" s="11">
        <f>B4+(C4*$J$3)</f>
        <v>2052.0100000000002</v>
      </c>
      <c r="F4" s="11">
        <f t="shared" ref="F4:F35" si="0">E4*12</f>
        <v>24624.120000000003</v>
      </c>
      <c r="G4" s="10">
        <f t="shared" ref="G4:G35" si="1">B4+(C4*$J$3)</f>
        <v>2052.0100000000002</v>
      </c>
      <c r="H4" s="10">
        <f t="shared" ref="H4:H35" si="2">G4*12</f>
        <v>24624.120000000003</v>
      </c>
      <c r="I4" s="9">
        <v>1</v>
      </c>
    </row>
    <row r="5" spans="1:10" x14ac:dyDescent="0.25">
      <c r="A5" s="12" t="s">
        <v>84</v>
      </c>
      <c r="B5" s="17">
        <v>104.78</v>
      </c>
      <c r="C5" s="9">
        <v>11.1722</v>
      </c>
      <c r="D5" s="9">
        <v>0</v>
      </c>
      <c r="E5" s="11">
        <f>B5+(C5*$J$3)</f>
        <v>1222</v>
      </c>
      <c r="F5" s="11">
        <f t="shared" si="0"/>
        <v>14664</v>
      </c>
      <c r="G5" s="10">
        <f t="shared" si="1"/>
        <v>1222</v>
      </c>
      <c r="H5" s="10">
        <f t="shared" si="2"/>
        <v>14664</v>
      </c>
      <c r="I5" s="9">
        <v>2</v>
      </c>
    </row>
    <row r="6" spans="1:10" x14ac:dyDescent="0.25">
      <c r="A6" s="12" t="s">
        <v>82</v>
      </c>
      <c r="B6" s="9">
        <v>612.57000000000005</v>
      </c>
      <c r="C6" s="9">
        <v>4.0716999999999999</v>
      </c>
      <c r="D6" s="9">
        <v>-3.2500000000000001E-2</v>
      </c>
      <c r="E6" s="11">
        <f t="shared" ref="E6:E37" si="3">B6+(C6+D6)*$J$3</f>
        <v>1016.49</v>
      </c>
      <c r="F6" s="11">
        <f t="shared" si="0"/>
        <v>12197.880000000001</v>
      </c>
      <c r="G6" s="10">
        <f t="shared" si="1"/>
        <v>1019.74</v>
      </c>
      <c r="H6" s="10">
        <f t="shared" si="2"/>
        <v>12236.880000000001</v>
      </c>
      <c r="I6" s="9">
        <v>3</v>
      </c>
    </row>
    <row r="7" spans="1:10" x14ac:dyDescent="0.25">
      <c r="A7" s="12" t="s">
        <v>80</v>
      </c>
      <c r="B7" s="9">
        <v>169.7</v>
      </c>
      <c r="C7" s="9">
        <v>8.0124999999999993</v>
      </c>
      <c r="D7" s="9">
        <v>-8.2699999999999996E-2</v>
      </c>
      <c r="E7" s="11">
        <f t="shared" si="3"/>
        <v>962.67999999999984</v>
      </c>
      <c r="F7" s="11">
        <f t="shared" si="0"/>
        <v>11552.159999999998</v>
      </c>
      <c r="G7" s="10">
        <f t="shared" si="1"/>
        <v>970.94999999999982</v>
      </c>
      <c r="H7" s="10">
        <f t="shared" si="2"/>
        <v>11651.399999999998</v>
      </c>
      <c r="I7" s="9">
        <v>4</v>
      </c>
    </row>
    <row r="8" spans="1:10" x14ac:dyDescent="0.25">
      <c r="A8" s="12" t="s">
        <v>78</v>
      </c>
      <c r="B8" s="9">
        <v>52.17</v>
      </c>
      <c r="C8" s="9">
        <v>8.3774999999999995</v>
      </c>
      <c r="D8" s="9">
        <v>0</v>
      </c>
      <c r="E8" s="11">
        <f t="shared" si="3"/>
        <v>889.92</v>
      </c>
      <c r="F8" s="11">
        <f t="shared" si="0"/>
        <v>10679.039999999999</v>
      </c>
      <c r="G8" s="10">
        <f t="shared" si="1"/>
        <v>889.92</v>
      </c>
      <c r="H8" s="10">
        <f t="shared" si="2"/>
        <v>10679.039999999999</v>
      </c>
      <c r="I8" s="9">
        <v>5</v>
      </c>
    </row>
    <row r="9" spans="1:10" x14ac:dyDescent="0.25">
      <c r="A9" s="12" t="s">
        <v>76</v>
      </c>
      <c r="B9" s="9">
        <v>123.27</v>
      </c>
      <c r="C9" s="9">
        <v>7.2478999999999996</v>
      </c>
      <c r="D9" s="9">
        <v>0</v>
      </c>
      <c r="E9" s="11">
        <f t="shared" si="3"/>
        <v>848.06</v>
      </c>
      <c r="F9" s="11">
        <f t="shared" si="0"/>
        <v>10176.719999999999</v>
      </c>
      <c r="G9" s="10">
        <f t="shared" si="1"/>
        <v>848.06</v>
      </c>
      <c r="H9" s="10">
        <f t="shared" si="2"/>
        <v>10176.719999999999</v>
      </c>
      <c r="I9" s="9">
        <v>6</v>
      </c>
    </row>
    <row r="10" spans="1:10" ht="21" x14ac:dyDescent="0.25">
      <c r="A10" s="12" t="s">
        <v>74</v>
      </c>
      <c r="B10" s="9">
        <v>582.85</v>
      </c>
      <c r="C10" s="9">
        <v>1.8572</v>
      </c>
      <c r="D10" s="9">
        <v>0</v>
      </c>
      <c r="E10" s="11">
        <f t="shared" si="3"/>
        <v>768.57</v>
      </c>
      <c r="F10" s="11">
        <f t="shared" si="0"/>
        <v>9222.84</v>
      </c>
      <c r="G10" s="10">
        <f t="shared" si="1"/>
        <v>768.57</v>
      </c>
      <c r="H10" s="10">
        <f t="shared" si="2"/>
        <v>9222.84</v>
      </c>
      <c r="I10" s="9">
        <v>7</v>
      </c>
    </row>
    <row r="11" spans="1:10" x14ac:dyDescent="0.25">
      <c r="A11" s="12" t="s">
        <v>72</v>
      </c>
      <c r="B11" s="9">
        <v>200</v>
      </c>
      <c r="C11" s="9">
        <v>5.6422999999999996</v>
      </c>
      <c r="D11" s="9">
        <v>-1.44E-2</v>
      </c>
      <c r="E11" s="11">
        <f t="shared" si="3"/>
        <v>762.79</v>
      </c>
      <c r="F11" s="11">
        <f t="shared" si="0"/>
        <v>9153.48</v>
      </c>
      <c r="G11" s="10">
        <f t="shared" si="1"/>
        <v>764.23</v>
      </c>
      <c r="H11" s="10">
        <f t="shared" si="2"/>
        <v>9170.76</v>
      </c>
      <c r="I11" s="9">
        <v>8</v>
      </c>
    </row>
    <row r="12" spans="1:10" x14ac:dyDescent="0.25">
      <c r="A12" s="12" t="s">
        <v>70</v>
      </c>
      <c r="B12" s="9">
        <v>205.8</v>
      </c>
      <c r="C12" s="9">
        <v>5.3381999999999996</v>
      </c>
      <c r="D12" s="13">
        <v>0</v>
      </c>
      <c r="E12" s="11">
        <f t="shared" si="3"/>
        <v>739.61999999999989</v>
      </c>
      <c r="F12" s="11">
        <f t="shared" si="0"/>
        <v>8875.4399999999987</v>
      </c>
      <c r="G12" s="10">
        <f t="shared" si="1"/>
        <v>739.61999999999989</v>
      </c>
      <c r="H12" s="10">
        <f t="shared" si="2"/>
        <v>8875.4399999999987</v>
      </c>
      <c r="I12" s="9">
        <v>9</v>
      </c>
    </row>
    <row r="13" spans="1:10" x14ac:dyDescent="0.25">
      <c r="A13" s="12" t="s">
        <v>68</v>
      </c>
      <c r="B13" s="9">
        <v>129.09</v>
      </c>
      <c r="C13" s="9">
        <v>5.7355</v>
      </c>
      <c r="D13" s="9">
        <v>4.7500000000000001E-2</v>
      </c>
      <c r="E13" s="11">
        <f t="shared" si="3"/>
        <v>707.3900000000001</v>
      </c>
      <c r="F13" s="11">
        <f t="shared" si="0"/>
        <v>8488.68</v>
      </c>
      <c r="G13" s="10">
        <f t="shared" si="1"/>
        <v>702.64</v>
      </c>
      <c r="H13" s="10">
        <f t="shared" si="2"/>
        <v>8431.68</v>
      </c>
      <c r="I13" s="9">
        <v>10</v>
      </c>
    </row>
    <row r="14" spans="1:10" ht="21" x14ac:dyDescent="0.25">
      <c r="A14" s="12" t="s">
        <v>66</v>
      </c>
      <c r="B14" s="9">
        <v>340.6</v>
      </c>
      <c r="C14" s="9">
        <v>3.5825</v>
      </c>
      <c r="D14" s="16">
        <v>0</v>
      </c>
      <c r="E14" s="11">
        <f t="shared" si="3"/>
        <v>698.85</v>
      </c>
      <c r="F14" s="11">
        <f t="shared" si="0"/>
        <v>8386.2000000000007</v>
      </c>
      <c r="G14" s="10">
        <f t="shared" si="1"/>
        <v>698.85</v>
      </c>
      <c r="H14" s="10">
        <f t="shared" si="2"/>
        <v>8386.2000000000007</v>
      </c>
      <c r="I14" s="9">
        <v>11</v>
      </c>
    </row>
    <row r="15" spans="1:10" ht="21" x14ac:dyDescent="0.25">
      <c r="A15" s="12" t="s">
        <v>65</v>
      </c>
      <c r="B15" s="9">
        <v>415.65</v>
      </c>
      <c r="C15" s="9">
        <v>2.7913000000000001</v>
      </c>
      <c r="D15" s="9">
        <v>-1.54E-2</v>
      </c>
      <c r="E15" s="11">
        <f t="shared" si="3"/>
        <v>693.24</v>
      </c>
      <c r="F15" s="11">
        <f t="shared" si="0"/>
        <v>8318.880000000001</v>
      </c>
      <c r="G15" s="10">
        <f t="shared" si="1"/>
        <v>694.78</v>
      </c>
      <c r="H15" s="10">
        <f t="shared" si="2"/>
        <v>8337.36</v>
      </c>
      <c r="I15" s="9">
        <v>12</v>
      </c>
    </row>
    <row r="16" spans="1:10" x14ac:dyDescent="0.25">
      <c r="A16" s="12" t="s">
        <v>64</v>
      </c>
      <c r="B16" s="9">
        <v>179.5</v>
      </c>
      <c r="C16" s="9">
        <v>5.1504000000000003</v>
      </c>
      <c r="D16" s="9">
        <v>-4.2000000000000003E-2</v>
      </c>
      <c r="E16" s="11">
        <f t="shared" si="3"/>
        <v>690.34</v>
      </c>
      <c r="F16" s="11">
        <f t="shared" si="0"/>
        <v>8284.08</v>
      </c>
      <c r="G16" s="10">
        <f t="shared" si="1"/>
        <v>694.54000000000008</v>
      </c>
      <c r="H16" s="10">
        <f t="shared" si="2"/>
        <v>8334.4800000000014</v>
      </c>
      <c r="I16" s="9">
        <v>13</v>
      </c>
    </row>
    <row r="17" spans="1:9" x14ac:dyDescent="0.25">
      <c r="A17" s="12" t="s">
        <v>63</v>
      </c>
      <c r="B17" s="9">
        <v>228.74</v>
      </c>
      <c r="C17" s="9">
        <v>4.6353999999999997</v>
      </c>
      <c r="D17" s="13">
        <v>0</v>
      </c>
      <c r="E17" s="11">
        <f t="shared" si="3"/>
        <v>692.28</v>
      </c>
      <c r="F17" s="11">
        <f t="shared" si="0"/>
        <v>8307.36</v>
      </c>
      <c r="G17" s="10">
        <f t="shared" si="1"/>
        <v>692.28</v>
      </c>
      <c r="H17" s="10">
        <f t="shared" si="2"/>
        <v>8307.36</v>
      </c>
      <c r="I17" s="9">
        <v>14</v>
      </c>
    </row>
    <row r="18" spans="1:9" x14ac:dyDescent="0.25">
      <c r="A18" s="12" t="s">
        <v>62</v>
      </c>
      <c r="B18" s="9">
        <v>125.96</v>
      </c>
      <c r="C18" s="9">
        <v>5.6486000000000001</v>
      </c>
      <c r="D18" s="9">
        <v>0.39450000000000002</v>
      </c>
      <c r="E18" s="11">
        <f t="shared" si="3"/>
        <v>730.27</v>
      </c>
      <c r="F18" s="11">
        <f t="shared" si="0"/>
        <v>8763.24</v>
      </c>
      <c r="G18" s="10">
        <f t="shared" si="1"/>
        <v>690.82</v>
      </c>
      <c r="H18" s="10">
        <f t="shared" si="2"/>
        <v>8289.84</v>
      </c>
      <c r="I18" s="9">
        <v>15</v>
      </c>
    </row>
    <row r="19" spans="1:9" x14ac:dyDescent="0.25">
      <c r="A19" s="12" t="s">
        <v>61</v>
      </c>
      <c r="B19" s="9">
        <v>192.88</v>
      </c>
      <c r="C19" s="9">
        <v>4.9657</v>
      </c>
      <c r="D19" s="9">
        <v>0.29270000000000002</v>
      </c>
      <c r="E19" s="11">
        <f t="shared" si="3"/>
        <v>718.72</v>
      </c>
      <c r="F19" s="11">
        <f t="shared" si="0"/>
        <v>8624.64</v>
      </c>
      <c r="G19" s="10">
        <f t="shared" si="1"/>
        <v>689.45</v>
      </c>
      <c r="H19" s="10">
        <f t="shared" si="2"/>
        <v>8273.4000000000015</v>
      </c>
      <c r="I19" s="9">
        <v>16</v>
      </c>
    </row>
    <row r="20" spans="1:9" ht="21" x14ac:dyDescent="0.25">
      <c r="A20" s="12" t="s">
        <v>60</v>
      </c>
      <c r="B20" s="9">
        <v>260.95</v>
      </c>
      <c r="C20" s="9">
        <v>4.2085999999999997</v>
      </c>
      <c r="D20" s="9">
        <v>0.2853</v>
      </c>
      <c r="E20" s="11">
        <f t="shared" si="3"/>
        <v>710.33999999999992</v>
      </c>
      <c r="F20" s="11">
        <f t="shared" si="0"/>
        <v>8524.0799999999981</v>
      </c>
      <c r="G20" s="10">
        <f t="shared" si="1"/>
        <v>681.81</v>
      </c>
      <c r="H20" s="10">
        <f t="shared" si="2"/>
        <v>8181.7199999999993</v>
      </c>
      <c r="I20" s="9">
        <v>17</v>
      </c>
    </row>
    <row r="21" spans="1:9" ht="21" x14ac:dyDescent="0.25">
      <c r="A21" s="12" t="s">
        <v>59</v>
      </c>
      <c r="B21" s="9">
        <v>202.62</v>
      </c>
      <c r="C21" s="9">
        <v>4.7873000000000001</v>
      </c>
      <c r="D21" s="9">
        <v>0.2591</v>
      </c>
      <c r="E21" s="11">
        <f t="shared" si="3"/>
        <v>707.26</v>
      </c>
      <c r="F21" s="11">
        <f t="shared" si="0"/>
        <v>8487.119999999999</v>
      </c>
      <c r="G21" s="10">
        <f t="shared" si="1"/>
        <v>681.35</v>
      </c>
      <c r="H21" s="10">
        <f t="shared" si="2"/>
        <v>8176.2000000000007</v>
      </c>
      <c r="I21" s="9">
        <v>18</v>
      </c>
    </row>
    <row r="22" spans="1:9" ht="21" x14ac:dyDescent="0.25">
      <c r="A22" s="12" t="s">
        <v>58</v>
      </c>
      <c r="B22" s="9">
        <v>148.44999999999999</v>
      </c>
      <c r="C22" s="9">
        <v>5.2648999999999999</v>
      </c>
      <c r="D22" s="9">
        <v>0.35510000000000003</v>
      </c>
      <c r="E22" s="11">
        <f t="shared" si="3"/>
        <v>710.45</v>
      </c>
      <c r="F22" s="11">
        <f t="shared" si="0"/>
        <v>8525.4000000000015</v>
      </c>
      <c r="G22" s="10">
        <f t="shared" si="1"/>
        <v>674.94</v>
      </c>
      <c r="H22" s="10">
        <f t="shared" si="2"/>
        <v>8099.2800000000007</v>
      </c>
      <c r="I22" s="9">
        <v>19</v>
      </c>
    </row>
    <row r="23" spans="1:9" ht="21" x14ac:dyDescent="0.25">
      <c r="A23" s="12" t="s">
        <v>57</v>
      </c>
      <c r="B23" s="9">
        <v>134.09</v>
      </c>
      <c r="C23" s="9">
        <v>5.2431000000000001</v>
      </c>
      <c r="D23" s="9">
        <v>0.1258</v>
      </c>
      <c r="E23" s="11">
        <f t="shared" si="3"/>
        <v>670.98</v>
      </c>
      <c r="F23" s="11">
        <f t="shared" si="0"/>
        <v>8051.76</v>
      </c>
      <c r="G23" s="10">
        <f t="shared" si="1"/>
        <v>658.40000000000009</v>
      </c>
      <c r="H23" s="10">
        <f t="shared" si="2"/>
        <v>7900.8000000000011</v>
      </c>
      <c r="I23" s="9">
        <v>20</v>
      </c>
    </row>
    <row r="24" spans="1:9" ht="34.75" customHeight="1" x14ac:dyDescent="0.25">
      <c r="A24" s="12" t="s">
        <v>56</v>
      </c>
      <c r="B24" s="9">
        <v>356.27</v>
      </c>
      <c r="C24" s="9">
        <v>2.9565000000000001</v>
      </c>
      <c r="D24" s="9">
        <v>0.29699999999999999</v>
      </c>
      <c r="E24" s="11">
        <f t="shared" si="3"/>
        <v>681.62</v>
      </c>
      <c r="F24" s="11">
        <f t="shared" si="0"/>
        <v>8179.4400000000005</v>
      </c>
      <c r="G24" s="10">
        <f t="shared" si="1"/>
        <v>651.92000000000007</v>
      </c>
      <c r="H24" s="10">
        <f t="shared" si="2"/>
        <v>7823.0400000000009</v>
      </c>
      <c r="I24" s="9">
        <v>21</v>
      </c>
    </row>
    <row r="25" spans="1:9" x14ac:dyDescent="0.25">
      <c r="A25" s="12" t="s">
        <v>55</v>
      </c>
      <c r="B25" s="9">
        <v>298.06</v>
      </c>
      <c r="C25" s="9">
        <v>3.4567000000000001</v>
      </c>
      <c r="D25" s="9">
        <v>-3.5900000000000001E-2</v>
      </c>
      <c r="E25" s="11">
        <f t="shared" si="3"/>
        <v>640.1400000000001</v>
      </c>
      <c r="F25" s="11">
        <f t="shared" si="0"/>
        <v>7681.6800000000012</v>
      </c>
      <c r="G25" s="10">
        <f t="shared" si="1"/>
        <v>643.73</v>
      </c>
      <c r="H25" s="10">
        <f t="shared" si="2"/>
        <v>7724.76</v>
      </c>
      <c r="I25" s="9">
        <v>22</v>
      </c>
    </row>
    <row r="26" spans="1:9" x14ac:dyDescent="0.25">
      <c r="A26" s="12" t="s">
        <v>54</v>
      </c>
      <c r="B26" s="9">
        <v>309.45</v>
      </c>
      <c r="C26" s="9">
        <v>3.3368000000000002</v>
      </c>
      <c r="D26" s="9">
        <v>0</v>
      </c>
      <c r="E26" s="11">
        <f t="shared" si="3"/>
        <v>643.13</v>
      </c>
      <c r="F26" s="11">
        <f t="shared" si="0"/>
        <v>7717.5599999999995</v>
      </c>
      <c r="G26" s="10">
        <f t="shared" si="1"/>
        <v>643.13</v>
      </c>
      <c r="H26" s="10">
        <f t="shared" si="2"/>
        <v>7717.5599999999995</v>
      </c>
      <c r="I26" s="9">
        <v>23</v>
      </c>
    </row>
    <row r="27" spans="1:9" x14ac:dyDescent="0.25">
      <c r="A27" s="12" t="s">
        <v>53</v>
      </c>
      <c r="B27" s="9">
        <v>213.88</v>
      </c>
      <c r="C27" s="9">
        <v>4.2717000000000001</v>
      </c>
      <c r="D27" s="9">
        <v>0.20030000000000001</v>
      </c>
      <c r="E27" s="11">
        <f t="shared" si="3"/>
        <v>661.08</v>
      </c>
      <c r="F27" s="11">
        <f t="shared" si="0"/>
        <v>7932.9600000000009</v>
      </c>
      <c r="G27" s="10">
        <f t="shared" si="1"/>
        <v>641.04999999999995</v>
      </c>
      <c r="H27" s="10">
        <f t="shared" si="2"/>
        <v>7692.5999999999995</v>
      </c>
      <c r="I27" s="9">
        <v>24</v>
      </c>
    </row>
    <row r="28" spans="1:9" ht="21" x14ac:dyDescent="0.25">
      <c r="A28" s="15" t="s">
        <v>52</v>
      </c>
      <c r="B28" s="14">
        <v>163.49</v>
      </c>
      <c r="C28" s="14">
        <v>4.7507999999999999</v>
      </c>
      <c r="D28" s="14">
        <v>4.4000000000000003E-3</v>
      </c>
      <c r="E28" s="11">
        <f t="shared" si="3"/>
        <v>639.01</v>
      </c>
      <c r="F28" s="11">
        <f t="shared" si="0"/>
        <v>7668.12</v>
      </c>
      <c r="G28" s="10">
        <f t="shared" si="1"/>
        <v>638.56999999999994</v>
      </c>
      <c r="H28" s="10">
        <f t="shared" si="2"/>
        <v>7662.8399999999992</v>
      </c>
      <c r="I28" s="9">
        <v>25</v>
      </c>
    </row>
    <row r="29" spans="1:9" x14ac:dyDescent="0.25">
      <c r="A29" s="12" t="s">
        <v>51</v>
      </c>
      <c r="B29" s="9">
        <v>183.84</v>
      </c>
      <c r="C29" s="9">
        <v>4.5279999999999996</v>
      </c>
      <c r="D29" s="9">
        <v>0</v>
      </c>
      <c r="E29" s="11">
        <f t="shared" si="3"/>
        <v>636.64</v>
      </c>
      <c r="F29" s="11">
        <f t="shared" si="0"/>
        <v>7639.68</v>
      </c>
      <c r="G29" s="10">
        <f t="shared" si="1"/>
        <v>636.64</v>
      </c>
      <c r="H29" s="10">
        <f t="shared" si="2"/>
        <v>7639.68</v>
      </c>
      <c r="I29" s="9">
        <v>26</v>
      </c>
    </row>
    <row r="30" spans="1:9" x14ac:dyDescent="0.25">
      <c r="A30" s="12" t="s">
        <v>50</v>
      </c>
      <c r="B30" s="9">
        <v>113.28</v>
      </c>
      <c r="C30" s="9">
        <v>5.0438000000000001</v>
      </c>
      <c r="D30" s="13">
        <v>0</v>
      </c>
      <c r="E30" s="11">
        <f t="shared" si="3"/>
        <v>617.66</v>
      </c>
      <c r="F30" s="11">
        <f t="shared" si="0"/>
        <v>7411.92</v>
      </c>
      <c r="G30" s="10">
        <f t="shared" si="1"/>
        <v>617.66</v>
      </c>
      <c r="H30" s="10">
        <f t="shared" si="2"/>
        <v>7411.92</v>
      </c>
      <c r="I30" s="9">
        <v>27</v>
      </c>
    </row>
    <row r="31" spans="1:9" x14ac:dyDescent="0.25">
      <c r="A31" s="12" t="s">
        <v>49</v>
      </c>
      <c r="B31" s="9">
        <v>38.07</v>
      </c>
      <c r="C31" s="9">
        <v>5.7434000000000003</v>
      </c>
      <c r="D31" s="13">
        <v>0</v>
      </c>
      <c r="E31" s="11">
        <f t="shared" si="3"/>
        <v>612.41000000000008</v>
      </c>
      <c r="F31" s="11">
        <f t="shared" si="0"/>
        <v>7348.920000000001</v>
      </c>
      <c r="G31" s="10">
        <f t="shared" si="1"/>
        <v>612.41000000000008</v>
      </c>
      <c r="H31" s="10">
        <f t="shared" si="2"/>
        <v>7348.920000000001</v>
      </c>
      <c r="I31" s="9">
        <v>28</v>
      </c>
    </row>
    <row r="32" spans="1:9" x14ac:dyDescent="0.25">
      <c r="A32" s="12" t="s">
        <v>48</v>
      </c>
      <c r="B32" s="9">
        <v>307.77999999999997</v>
      </c>
      <c r="C32" s="9">
        <v>3.0461</v>
      </c>
      <c r="D32" s="13">
        <v>3.7699999999999997E-2</v>
      </c>
      <c r="E32" s="11">
        <f t="shared" si="3"/>
        <v>616.16</v>
      </c>
      <c r="F32" s="11">
        <f t="shared" si="0"/>
        <v>7393.92</v>
      </c>
      <c r="G32" s="10">
        <f t="shared" si="1"/>
        <v>612.39</v>
      </c>
      <c r="H32" s="10">
        <f t="shared" si="2"/>
        <v>7348.68</v>
      </c>
      <c r="I32" s="9">
        <v>29</v>
      </c>
    </row>
    <row r="33" spans="1:9" ht="21" x14ac:dyDescent="0.25">
      <c r="A33" s="12" t="s">
        <v>47</v>
      </c>
      <c r="B33" s="9">
        <v>153.66</v>
      </c>
      <c r="C33" s="9">
        <v>4.5816999999999997</v>
      </c>
      <c r="D33" s="13">
        <v>0.17449999999999999</v>
      </c>
      <c r="E33" s="11">
        <f t="shared" si="3"/>
        <v>629.28</v>
      </c>
      <c r="F33" s="11">
        <f t="shared" si="0"/>
        <v>7551.36</v>
      </c>
      <c r="G33" s="10">
        <f t="shared" si="1"/>
        <v>611.82999999999993</v>
      </c>
      <c r="H33" s="10">
        <f t="shared" si="2"/>
        <v>7341.9599999999991</v>
      </c>
      <c r="I33" s="9">
        <v>30</v>
      </c>
    </row>
    <row r="34" spans="1:9" x14ac:dyDescent="0.25">
      <c r="A34" s="12" t="s">
        <v>46</v>
      </c>
      <c r="B34" s="9">
        <v>194.7</v>
      </c>
      <c r="C34" s="9">
        <v>4.1379000000000001</v>
      </c>
      <c r="D34" s="13">
        <v>0</v>
      </c>
      <c r="E34" s="11">
        <f t="shared" si="3"/>
        <v>608.49</v>
      </c>
      <c r="F34" s="11">
        <f t="shared" si="0"/>
        <v>7301.88</v>
      </c>
      <c r="G34" s="10">
        <f t="shared" si="1"/>
        <v>608.49</v>
      </c>
      <c r="H34" s="10">
        <f t="shared" si="2"/>
        <v>7301.88</v>
      </c>
      <c r="I34" s="9">
        <v>31</v>
      </c>
    </row>
    <row r="35" spans="1:9" x14ac:dyDescent="0.25">
      <c r="A35" s="12" t="s">
        <v>45</v>
      </c>
      <c r="B35" s="9">
        <v>245.54</v>
      </c>
      <c r="C35" s="9">
        <v>3.4969999999999999</v>
      </c>
      <c r="D35" s="13">
        <v>-3.2000000000000001E-2</v>
      </c>
      <c r="E35" s="11">
        <f t="shared" si="3"/>
        <v>592.04</v>
      </c>
      <c r="F35" s="11">
        <f t="shared" si="0"/>
        <v>7104.48</v>
      </c>
      <c r="G35" s="10">
        <f t="shared" si="1"/>
        <v>595.24</v>
      </c>
      <c r="H35" s="10">
        <f t="shared" si="2"/>
        <v>7142.88</v>
      </c>
      <c r="I35" s="9">
        <v>32</v>
      </c>
    </row>
    <row r="36" spans="1:9" x14ac:dyDescent="0.25">
      <c r="A36" s="12" t="s">
        <v>44</v>
      </c>
      <c r="B36" s="9">
        <v>61.96</v>
      </c>
      <c r="C36" s="9">
        <v>5.3036000000000003</v>
      </c>
      <c r="D36" s="13">
        <v>-0.23880000000000001</v>
      </c>
      <c r="E36" s="11">
        <f t="shared" si="3"/>
        <v>568.44000000000005</v>
      </c>
      <c r="F36" s="11">
        <f t="shared" ref="F36:F67" si="4">E36*12</f>
        <v>6821.2800000000007</v>
      </c>
      <c r="G36" s="10">
        <f t="shared" ref="G36:G67" si="5">B36+(C36*$J$3)</f>
        <v>592.32000000000005</v>
      </c>
      <c r="H36" s="10">
        <f t="shared" ref="H36:H67" si="6">G36*12</f>
        <v>7107.84</v>
      </c>
      <c r="I36" s="9">
        <v>33</v>
      </c>
    </row>
    <row r="37" spans="1:9" ht="21" x14ac:dyDescent="0.25">
      <c r="A37" s="12" t="s">
        <v>43</v>
      </c>
      <c r="B37" s="9">
        <v>83.7</v>
      </c>
      <c r="C37" s="9">
        <v>5.0369999999999999</v>
      </c>
      <c r="D37" s="13">
        <v>0.38779999999999998</v>
      </c>
      <c r="E37" s="11">
        <f t="shared" si="3"/>
        <v>626.18000000000006</v>
      </c>
      <c r="F37" s="11">
        <f t="shared" si="4"/>
        <v>7514.1600000000008</v>
      </c>
      <c r="G37" s="10">
        <f t="shared" si="5"/>
        <v>587.4</v>
      </c>
      <c r="H37" s="10">
        <f t="shared" si="6"/>
        <v>7048.7999999999993</v>
      </c>
      <c r="I37" s="9">
        <v>34</v>
      </c>
    </row>
    <row r="38" spans="1:9" ht="21" x14ac:dyDescent="0.25">
      <c r="A38" s="12" t="s">
        <v>42</v>
      </c>
      <c r="B38" s="9">
        <v>221.95</v>
      </c>
      <c r="C38" s="9">
        <v>3.6086</v>
      </c>
      <c r="D38" s="9">
        <v>0</v>
      </c>
      <c r="E38" s="11">
        <f t="shared" ref="E38:E69" si="7">B38+(C38+D38)*$J$3</f>
        <v>582.80999999999995</v>
      </c>
      <c r="F38" s="11">
        <f t="shared" si="4"/>
        <v>6993.7199999999993</v>
      </c>
      <c r="G38" s="10">
        <f t="shared" si="5"/>
        <v>582.80999999999995</v>
      </c>
      <c r="H38" s="10">
        <f t="shared" si="6"/>
        <v>6993.7199999999993</v>
      </c>
      <c r="I38" s="9">
        <v>35</v>
      </c>
    </row>
    <row r="39" spans="1:9" x14ac:dyDescent="0.25">
      <c r="A39" s="12" t="s">
        <v>41</v>
      </c>
      <c r="B39" s="9">
        <v>219.11</v>
      </c>
      <c r="C39" s="9">
        <v>3.4049999999999998</v>
      </c>
      <c r="D39" s="9">
        <v>0.1236</v>
      </c>
      <c r="E39" s="11">
        <f t="shared" si="7"/>
        <v>571.97</v>
      </c>
      <c r="F39" s="11">
        <f t="shared" si="4"/>
        <v>6863.64</v>
      </c>
      <c r="G39" s="10">
        <f t="shared" si="5"/>
        <v>559.61</v>
      </c>
      <c r="H39" s="10">
        <f t="shared" si="6"/>
        <v>6715.32</v>
      </c>
      <c r="I39" s="9">
        <v>36</v>
      </c>
    </row>
    <row r="40" spans="1:9" x14ac:dyDescent="0.25">
      <c r="A40" s="12" t="s">
        <v>40</v>
      </c>
      <c r="B40" s="9">
        <v>300.64</v>
      </c>
      <c r="C40" s="9">
        <v>2.5164</v>
      </c>
      <c r="D40" s="9">
        <v>0.28199999999999997</v>
      </c>
      <c r="E40" s="11">
        <f t="shared" si="7"/>
        <v>580.48</v>
      </c>
      <c r="F40" s="11">
        <f t="shared" si="4"/>
        <v>6965.76</v>
      </c>
      <c r="G40" s="10">
        <f t="shared" si="5"/>
        <v>552.28</v>
      </c>
      <c r="H40" s="10">
        <f t="shared" si="6"/>
        <v>6627.36</v>
      </c>
      <c r="I40" s="9">
        <v>37</v>
      </c>
    </row>
    <row r="41" spans="1:9" x14ac:dyDescent="0.25">
      <c r="A41" s="12" t="s">
        <v>39</v>
      </c>
      <c r="B41" s="9">
        <v>403.81</v>
      </c>
      <c r="C41" s="9">
        <v>1.4093</v>
      </c>
      <c r="D41" s="9">
        <v>-8.0299999999999996E-2</v>
      </c>
      <c r="E41" s="11">
        <f t="shared" si="7"/>
        <v>536.71</v>
      </c>
      <c r="F41" s="11">
        <f t="shared" si="4"/>
        <v>6440.52</v>
      </c>
      <c r="G41" s="10">
        <f t="shared" si="5"/>
        <v>544.74</v>
      </c>
      <c r="H41" s="10">
        <f t="shared" si="6"/>
        <v>6536.88</v>
      </c>
      <c r="I41" s="9">
        <v>38</v>
      </c>
    </row>
    <row r="42" spans="1:9" x14ac:dyDescent="0.25">
      <c r="A42" s="12" t="s">
        <v>38</v>
      </c>
      <c r="B42" s="9">
        <v>215.86</v>
      </c>
      <c r="C42" s="9">
        <v>3.2656999999999998</v>
      </c>
      <c r="D42" s="9">
        <v>0</v>
      </c>
      <c r="E42" s="11">
        <f t="shared" si="7"/>
        <v>542.43000000000006</v>
      </c>
      <c r="F42" s="11">
        <f t="shared" si="4"/>
        <v>6509.1600000000008</v>
      </c>
      <c r="G42" s="10">
        <f t="shared" si="5"/>
        <v>542.43000000000006</v>
      </c>
      <c r="H42" s="10">
        <f t="shared" si="6"/>
        <v>6509.1600000000008</v>
      </c>
      <c r="I42" s="9">
        <v>39</v>
      </c>
    </row>
    <row r="43" spans="1:9" x14ac:dyDescent="0.25">
      <c r="A43" s="12" t="s">
        <v>37</v>
      </c>
      <c r="B43" s="9">
        <v>250.14</v>
      </c>
      <c r="C43" s="9">
        <v>2.8637000000000001</v>
      </c>
      <c r="D43" s="13">
        <v>0</v>
      </c>
      <c r="E43" s="11">
        <f t="shared" si="7"/>
        <v>536.51</v>
      </c>
      <c r="F43" s="11">
        <f t="shared" si="4"/>
        <v>6438.12</v>
      </c>
      <c r="G43" s="10">
        <f t="shared" si="5"/>
        <v>536.51</v>
      </c>
      <c r="H43" s="10">
        <f t="shared" si="6"/>
        <v>6438.12</v>
      </c>
      <c r="I43" s="9">
        <v>40</v>
      </c>
    </row>
    <row r="44" spans="1:9" x14ac:dyDescent="0.25">
      <c r="A44" s="12" t="s">
        <v>36</v>
      </c>
      <c r="B44" s="9">
        <v>254.64</v>
      </c>
      <c r="C44" s="9">
        <v>2.7490999999999999</v>
      </c>
      <c r="D44" s="9">
        <v>0.16839999999999999</v>
      </c>
      <c r="E44" s="11">
        <f t="shared" si="7"/>
        <v>546.39</v>
      </c>
      <c r="F44" s="11">
        <f t="shared" si="4"/>
        <v>6556.68</v>
      </c>
      <c r="G44" s="10">
        <f t="shared" si="5"/>
        <v>529.54999999999995</v>
      </c>
      <c r="H44" s="10">
        <f t="shared" si="6"/>
        <v>6354.5999999999995</v>
      </c>
      <c r="I44" s="9">
        <v>41</v>
      </c>
    </row>
    <row r="45" spans="1:9" x14ac:dyDescent="0.25">
      <c r="A45" s="12" t="s">
        <v>35</v>
      </c>
      <c r="B45" s="9">
        <v>109.72</v>
      </c>
      <c r="C45" s="9">
        <v>4.0572999999999997</v>
      </c>
      <c r="D45" s="9">
        <v>0</v>
      </c>
      <c r="E45" s="11">
        <f t="shared" si="7"/>
        <v>515.44999999999993</v>
      </c>
      <c r="F45" s="11">
        <f t="shared" si="4"/>
        <v>6185.4</v>
      </c>
      <c r="G45" s="10">
        <f t="shared" si="5"/>
        <v>515.44999999999993</v>
      </c>
      <c r="H45" s="10">
        <f t="shared" si="6"/>
        <v>6185.4</v>
      </c>
      <c r="I45" s="9">
        <v>42</v>
      </c>
    </row>
    <row r="46" spans="1:9" x14ac:dyDescent="0.25">
      <c r="A46" s="12" t="s">
        <v>34</v>
      </c>
      <c r="B46" s="9">
        <v>250.14</v>
      </c>
      <c r="C46" s="9">
        <v>2.6398000000000001</v>
      </c>
      <c r="D46" s="9">
        <v>-0.1003</v>
      </c>
      <c r="E46" s="11">
        <f t="shared" si="7"/>
        <v>504.09000000000003</v>
      </c>
      <c r="F46" s="11">
        <f t="shared" si="4"/>
        <v>6049.08</v>
      </c>
      <c r="G46" s="10">
        <f t="shared" si="5"/>
        <v>514.12</v>
      </c>
      <c r="H46" s="10">
        <f t="shared" si="6"/>
        <v>6169.4400000000005</v>
      </c>
      <c r="I46" s="9">
        <v>43</v>
      </c>
    </row>
    <row r="47" spans="1:9" x14ac:dyDescent="0.25">
      <c r="A47" s="12" t="s">
        <v>33</v>
      </c>
      <c r="B47" s="9">
        <v>134.34</v>
      </c>
      <c r="C47" s="9">
        <v>3.7397999999999998</v>
      </c>
      <c r="D47" s="9">
        <v>0</v>
      </c>
      <c r="E47" s="11">
        <f t="shared" si="7"/>
        <v>508.31999999999994</v>
      </c>
      <c r="F47" s="11">
        <f t="shared" si="4"/>
        <v>6099.8399999999992</v>
      </c>
      <c r="G47" s="10">
        <f t="shared" si="5"/>
        <v>508.31999999999994</v>
      </c>
      <c r="H47" s="10">
        <f t="shared" si="6"/>
        <v>6099.8399999999992</v>
      </c>
      <c r="I47" s="9">
        <v>44</v>
      </c>
    </row>
    <row r="48" spans="1:9" ht="21" x14ac:dyDescent="0.25">
      <c r="A48" s="12" t="s">
        <v>32</v>
      </c>
      <c r="B48" s="9">
        <v>87.49</v>
      </c>
      <c r="C48" s="9">
        <v>4.1167999999999996</v>
      </c>
      <c r="D48" s="9">
        <v>-5.7500000000000002E-2</v>
      </c>
      <c r="E48" s="11">
        <f t="shared" si="7"/>
        <v>493.41999999999996</v>
      </c>
      <c r="F48" s="11">
        <f t="shared" si="4"/>
        <v>5921.0399999999991</v>
      </c>
      <c r="G48" s="10">
        <f t="shared" si="5"/>
        <v>499.16999999999996</v>
      </c>
      <c r="H48" s="10">
        <f t="shared" si="6"/>
        <v>5990.0399999999991</v>
      </c>
      <c r="I48" s="9">
        <v>45</v>
      </c>
    </row>
    <row r="49" spans="1:9" x14ac:dyDescent="0.25">
      <c r="A49" s="12" t="s">
        <v>31</v>
      </c>
      <c r="B49" s="9">
        <v>252.83</v>
      </c>
      <c r="C49" s="9">
        <v>2.4449999999999998</v>
      </c>
      <c r="D49" s="9">
        <v>0</v>
      </c>
      <c r="E49" s="11">
        <f t="shared" si="7"/>
        <v>497.33</v>
      </c>
      <c r="F49" s="11">
        <f t="shared" si="4"/>
        <v>5967.96</v>
      </c>
      <c r="G49" s="10">
        <f t="shared" si="5"/>
        <v>497.33</v>
      </c>
      <c r="H49" s="10">
        <f t="shared" si="6"/>
        <v>5967.96</v>
      </c>
      <c r="I49" s="9">
        <v>46</v>
      </c>
    </row>
    <row r="50" spans="1:9" ht="21" x14ac:dyDescent="0.25">
      <c r="A50" s="12" t="s">
        <v>30</v>
      </c>
      <c r="B50" s="9">
        <v>196.04</v>
      </c>
      <c r="C50" s="9">
        <v>2.9868999999999999</v>
      </c>
      <c r="D50" s="9">
        <v>0.13930000000000001</v>
      </c>
      <c r="E50" s="11">
        <f t="shared" si="7"/>
        <v>508.65999999999997</v>
      </c>
      <c r="F50" s="11">
        <f t="shared" si="4"/>
        <v>6103.92</v>
      </c>
      <c r="G50" s="10">
        <f t="shared" si="5"/>
        <v>494.73</v>
      </c>
      <c r="H50" s="10">
        <f t="shared" si="6"/>
        <v>5936.76</v>
      </c>
      <c r="I50" s="9">
        <v>47</v>
      </c>
    </row>
    <row r="51" spans="1:9" x14ac:dyDescent="0.25">
      <c r="A51" s="12" t="s">
        <v>29</v>
      </c>
      <c r="B51" s="9">
        <v>194.16</v>
      </c>
      <c r="C51" s="9">
        <v>2.9291999999999998</v>
      </c>
      <c r="D51" s="9">
        <v>0</v>
      </c>
      <c r="E51" s="11">
        <f t="shared" si="7"/>
        <v>487.07999999999993</v>
      </c>
      <c r="F51" s="11">
        <f t="shared" si="4"/>
        <v>5844.9599999999991</v>
      </c>
      <c r="G51" s="10">
        <f t="shared" si="5"/>
        <v>487.07999999999993</v>
      </c>
      <c r="H51" s="10">
        <f t="shared" si="6"/>
        <v>5844.9599999999991</v>
      </c>
      <c r="I51" s="9">
        <v>48</v>
      </c>
    </row>
    <row r="52" spans="1:9" x14ac:dyDescent="0.25">
      <c r="A52" s="12" t="s">
        <v>28</v>
      </c>
      <c r="B52" s="9">
        <v>117.69</v>
      </c>
      <c r="C52" s="9">
        <v>3.6309999999999998</v>
      </c>
      <c r="D52" s="9">
        <v>0.1489</v>
      </c>
      <c r="E52" s="11">
        <f t="shared" si="7"/>
        <v>495.67999999999995</v>
      </c>
      <c r="F52" s="11">
        <f t="shared" si="4"/>
        <v>5948.16</v>
      </c>
      <c r="G52" s="10">
        <f t="shared" si="5"/>
        <v>480.78999999999996</v>
      </c>
      <c r="H52" s="10">
        <f t="shared" si="6"/>
        <v>5769.48</v>
      </c>
      <c r="I52" s="9">
        <v>49</v>
      </c>
    </row>
    <row r="53" spans="1:9" x14ac:dyDescent="0.25">
      <c r="A53" s="12" t="s">
        <v>27</v>
      </c>
      <c r="B53" s="9">
        <v>153.6</v>
      </c>
      <c r="C53" s="9">
        <v>3.2355999999999998</v>
      </c>
      <c r="D53" s="9">
        <v>0.33389999999999997</v>
      </c>
      <c r="E53" s="11">
        <f t="shared" si="7"/>
        <v>510.54999999999995</v>
      </c>
      <c r="F53" s="11">
        <f t="shared" si="4"/>
        <v>6126.5999999999995</v>
      </c>
      <c r="G53" s="10">
        <f t="shared" si="5"/>
        <v>477.15999999999997</v>
      </c>
      <c r="H53" s="10">
        <f t="shared" si="6"/>
        <v>5725.92</v>
      </c>
      <c r="I53" s="9">
        <v>50</v>
      </c>
    </row>
    <row r="54" spans="1:9" x14ac:dyDescent="0.25">
      <c r="A54" s="12" t="s">
        <v>26</v>
      </c>
      <c r="B54" s="9">
        <v>117.69</v>
      </c>
      <c r="C54" s="9">
        <v>3.5785999999999998</v>
      </c>
      <c r="D54" s="9">
        <v>0</v>
      </c>
      <c r="E54" s="11">
        <f t="shared" si="7"/>
        <v>475.54999999999995</v>
      </c>
      <c r="F54" s="11">
        <f t="shared" si="4"/>
        <v>5706.5999999999995</v>
      </c>
      <c r="G54" s="10">
        <f t="shared" si="5"/>
        <v>475.54999999999995</v>
      </c>
      <c r="H54" s="10">
        <f t="shared" si="6"/>
        <v>5706.5999999999995</v>
      </c>
      <c r="I54" s="9">
        <v>51</v>
      </c>
    </row>
    <row r="55" spans="1:9" ht="21" x14ac:dyDescent="0.25">
      <c r="A55" s="12" t="s">
        <v>25</v>
      </c>
      <c r="B55" s="9">
        <v>81.99</v>
      </c>
      <c r="C55" s="9">
        <v>3.9253</v>
      </c>
      <c r="D55" s="9">
        <v>0.22450000000000001</v>
      </c>
      <c r="E55" s="11">
        <f t="shared" si="7"/>
        <v>496.97</v>
      </c>
      <c r="F55" s="11">
        <f t="shared" si="4"/>
        <v>5963.64</v>
      </c>
      <c r="G55" s="10">
        <f t="shared" si="5"/>
        <v>474.52</v>
      </c>
      <c r="H55" s="10">
        <f t="shared" si="6"/>
        <v>5694.24</v>
      </c>
      <c r="I55" s="9">
        <v>52</v>
      </c>
    </row>
    <row r="56" spans="1:9" ht="21" x14ac:dyDescent="0.25">
      <c r="A56" s="12" t="s">
        <v>24</v>
      </c>
      <c r="B56" s="9">
        <v>110.21</v>
      </c>
      <c r="C56" s="9">
        <v>3.6042000000000001</v>
      </c>
      <c r="D56" s="9">
        <v>5.6099999999999997E-2</v>
      </c>
      <c r="E56" s="11">
        <f t="shared" si="7"/>
        <v>476.23999999999995</v>
      </c>
      <c r="F56" s="11">
        <f t="shared" si="4"/>
        <v>5714.8799999999992</v>
      </c>
      <c r="G56" s="10">
        <f t="shared" si="5"/>
        <v>470.63</v>
      </c>
      <c r="H56" s="10">
        <f t="shared" si="6"/>
        <v>5647.5599999999995</v>
      </c>
      <c r="I56" s="9">
        <v>53</v>
      </c>
    </row>
    <row r="57" spans="1:9" ht="21" x14ac:dyDescent="0.25">
      <c r="A57" s="12" t="s">
        <v>23</v>
      </c>
      <c r="B57" s="9">
        <v>108.68</v>
      </c>
      <c r="C57" s="9">
        <v>3.5994000000000002</v>
      </c>
      <c r="D57" s="9">
        <v>0.45679999999999998</v>
      </c>
      <c r="E57" s="11">
        <f t="shared" si="7"/>
        <v>514.30000000000007</v>
      </c>
      <c r="F57" s="11">
        <f t="shared" si="4"/>
        <v>6171.6</v>
      </c>
      <c r="G57" s="10">
        <f t="shared" si="5"/>
        <v>468.62</v>
      </c>
      <c r="H57" s="10">
        <f t="shared" si="6"/>
        <v>5623.4400000000005</v>
      </c>
      <c r="I57" s="9">
        <v>54</v>
      </c>
    </row>
    <row r="58" spans="1:9" x14ac:dyDescent="0.25">
      <c r="A58" s="12" t="s">
        <v>22</v>
      </c>
      <c r="B58" s="9">
        <v>92.78</v>
      </c>
      <c r="C58" s="9">
        <v>3.7037</v>
      </c>
      <c r="D58" s="9">
        <v>1.37E-2</v>
      </c>
      <c r="E58" s="11">
        <f t="shared" si="7"/>
        <v>464.52</v>
      </c>
      <c r="F58" s="11">
        <f t="shared" si="4"/>
        <v>5574.24</v>
      </c>
      <c r="G58" s="10">
        <f t="shared" si="5"/>
        <v>463.15</v>
      </c>
      <c r="H58" s="10">
        <f t="shared" si="6"/>
        <v>5557.7999999999993</v>
      </c>
      <c r="I58" s="9">
        <v>55</v>
      </c>
    </row>
    <row r="59" spans="1:9" ht="21" x14ac:dyDescent="0.25">
      <c r="A59" s="12" t="s">
        <v>21</v>
      </c>
      <c r="B59" s="9">
        <v>133.52000000000001</v>
      </c>
      <c r="C59" s="9">
        <v>3.2292999999999998</v>
      </c>
      <c r="D59" s="9">
        <v>0</v>
      </c>
      <c r="E59" s="11">
        <f t="shared" si="7"/>
        <v>456.45000000000005</v>
      </c>
      <c r="F59" s="11">
        <f t="shared" si="4"/>
        <v>5477.4000000000005</v>
      </c>
      <c r="G59" s="10">
        <f t="shared" si="5"/>
        <v>456.45000000000005</v>
      </c>
      <c r="H59" s="10">
        <f t="shared" si="6"/>
        <v>5477.4000000000005</v>
      </c>
      <c r="I59" s="9">
        <v>56</v>
      </c>
    </row>
    <row r="60" spans="1:9" ht="21" x14ac:dyDescent="0.25">
      <c r="A60" s="12" t="s">
        <v>20</v>
      </c>
      <c r="B60" s="9">
        <v>69.680000000000007</v>
      </c>
      <c r="C60" s="9">
        <v>3.7728999999999999</v>
      </c>
      <c r="D60" s="9">
        <v>0.24129999999999999</v>
      </c>
      <c r="E60" s="11">
        <f t="shared" si="7"/>
        <v>471.09999999999997</v>
      </c>
      <c r="F60" s="11">
        <f t="shared" si="4"/>
        <v>5653.2</v>
      </c>
      <c r="G60" s="10">
        <f t="shared" si="5"/>
        <v>446.96999999999997</v>
      </c>
      <c r="H60" s="10">
        <f t="shared" si="6"/>
        <v>5363.6399999999994</v>
      </c>
      <c r="I60" s="9">
        <v>57</v>
      </c>
    </row>
    <row r="61" spans="1:9" ht="21" x14ac:dyDescent="0.25">
      <c r="A61" s="12" t="s">
        <v>19</v>
      </c>
      <c r="B61" s="9">
        <v>136.61000000000001</v>
      </c>
      <c r="C61" s="9">
        <v>3.0939999999999999</v>
      </c>
      <c r="D61" s="9">
        <v>0.1273</v>
      </c>
      <c r="E61" s="11">
        <f t="shared" si="7"/>
        <v>458.74</v>
      </c>
      <c r="F61" s="11">
        <f t="shared" si="4"/>
        <v>5504.88</v>
      </c>
      <c r="G61" s="10">
        <f t="shared" si="5"/>
        <v>446.01</v>
      </c>
      <c r="H61" s="10">
        <f t="shared" si="6"/>
        <v>5352.12</v>
      </c>
      <c r="I61" s="9">
        <v>58</v>
      </c>
    </row>
    <row r="62" spans="1:9" ht="21" x14ac:dyDescent="0.25">
      <c r="A62" s="12" t="s">
        <v>18</v>
      </c>
      <c r="B62" s="9">
        <v>160.31</v>
      </c>
      <c r="C62" s="9">
        <v>2.7323</v>
      </c>
      <c r="D62" s="9">
        <v>0</v>
      </c>
      <c r="E62" s="11">
        <f t="shared" si="7"/>
        <v>433.54</v>
      </c>
      <c r="F62" s="11">
        <f t="shared" si="4"/>
        <v>5202.4800000000005</v>
      </c>
      <c r="G62" s="10">
        <f t="shared" si="5"/>
        <v>433.54</v>
      </c>
      <c r="H62" s="10">
        <f t="shared" si="6"/>
        <v>5202.4800000000005</v>
      </c>
      <c r="I62" s="9">
        <v>59</v>
      </c>
    </row>
    <row r="63" spans="1:9" x14ac:dyDescent="0.25">
      <c r="A63" s="12" t="s">
        <v>17</v>
      </c>
      <c r="B63" s="9">
        <v>89.34</v>
      </c>
      <c r="C63" s="9">
        <v>3.4192</v>
      </c>
      <c r="D63" s="9">
        <v>0</v>
      </c>
      <c r="E63" s="11">
        <f t="shared" si="7"/>
        <v>431.26</v>
      </c>
      <c r="F63" s="11">
        <f t="shared" si="4"/>
        <v>5175.12</v>
      </c>
      <c r="G63" s="10">
        <f t="shared" si="5"/>
        <v>431.26</v>
      </c>
      <c r="H63" s="10">
        <f t="shared" si="6"/>
        <v>5175.12</v>
      </c>
      <c r="I63" s="9">
        <v>60</v>
      </c>
    </row>
    <row r="64" spans="1:9" x14ac:dyDescent="0.25">
      <c r="A64" s="12" t="s">
        <v>16</v>
      </c>
      <c r="B64" s="9">
        <v>182.18</v>
      </c>
      <c r="C64" s="9">
        <v>2.4460999999999999</v>
      </c>
      <c r="D64" s="9">
        <v>8.1500000000000003E-2</v>
      </c>
      <c r="E64" s="11">
        <f t="shared" si="7"/>
        <v>434.94000000000005</v>
      </c>
      <c r="F64" s="11">
        <f t="shared" si="4"/>
        <v>5219.2800000000007</v>
      </c>
      <c r="G64" s="10">
        <f t="shared" si="5"/>
        <v>426.78999999999996</v>
      </c>
      <c r="H64" s="10">
        <f t="shared" si="6"/>
        <v>5121.4799999999996</v>
      </c>
      <c r="I64" s="9">
        <v>61</v>
      </c>
    </row>
    <row r="65" spans="1:9" ht="21" x14ac:dyDescent="0.25">
      <c r="A65" s="12" t="s">
        <v>15</v>
      </c>
      <c r="B65" s="9">
        <v>165.59</v>
      </c>
      <c r="C65" s="9">
        <v>2.5882999999999998</v>
      </c>
      <c r="D65" s="9">
        <v>4.99E-2</v>
      </c>
      <c r="E65" s="11">
        <f t="shared" si="7"/>
        <v>429.40999999999997</v>
      </c>
      <c r="F65" s="11">
        <f t="shared" si="4"/>
        <v>5152.92</v>
      </c>
      <c r="G65" s="10">
        <f t="shared" si="5"/>
        <v>424.41999999999996</v>
      </c>
      <c r="H65" s="10">
        <f t="shared" si="6"/>
        <v>5093.0399999999991</v>
      </c>
      <c r="I65" s="9">
        <v>62</v>
      </c>
    </row>
    <row r="66" spans="1:9" x14ac:dyDescent="0.25">
      <c r="A66" s="12" t="s">
        <v>14</v>
      </c>
      <c r="B66" s="9">
        <v>86.74</v>
      </c>
      <c r="C66" s="9">
        <v>3.3567999999999998</v>
      </c>
      <c r="D66" s="9">
        <v>0.35460000000000003</v>
      </c>
      <c r="E66" s="11">
        <f t="shared" si="7"/>
        <v>457.88</v>
      </c>
      <c r="F66" s="11">
        <f t="shared" si="4"/>
        <v>5494.5599999999995</v>
      </c>
      <c r="G66" s="10">
        <f t="shared" si="5"/>
        <v>422.41999999999996</v>
      </c>
      <c r="H66" s="10">
        <f t="shared" si="6"/>
        <v>5069.0399999999991</v>
      </c>
      <c r="I66" s="9">
        <v>63</v>
      </c>
    </row>
    <row r="67" spans="1:9" ht="21" x14ac:dyDescent="0.25">
      <c r="A67" s="12" t="s">
        <v>13</v>
      </c>
      <c r="B67" s="9">
        <v>146.47</v>
      </c>
      <c r="C67" s="9">
        <v>2.6974999999999998</v>
      </c>
      <c r="D67" s="9">
        <v>0.68389999999999995</v>
      </c>
      <c r="E67" s="11">
        <f t="shared" si="7"/>
        <v>484.61</v>
      </c>
      <c r="F67" s="11">
        <f t="shared" si="4"/>
        <v>5815.32</v>
      </c>
      <c r="G67" s="10">
        <f t="shared" si="5"/>
        <v>416.22</v>
      </c>
      <c r="H67" s="10">
        <f t="shared" si="6"/>
        <v>4994.6400000000003</v>
      </c>
      <c r="I67" s="9">
        <v>64</v>
      </c>
    </row>
    <row r="68" spans="1:9" x14ac:dyDescent="0.25">
      <c r="A68" s="12" t="s">
        <v>12</v>
      </c>
      <c r="B68" s="9">
        <v>70.17</v>
      </c>
      <c r="C68" s="9">
        <v>3.4377</v>
      </c>
      <c r="D68" s="9">
        <v>0.1186</v>
      </c>
      <c r="E68" s="11">
        <f t="shared" si="7"/>
        <v>425.8</v>
      </c>
      <c r="F68" s="11">
        <f t="shared" ref="F68:F74" si="8">E68*12</f>
        <v>5109.6000000000004</v>
      </c>
      <c r="G68" s="10">
        <f t="shared" ref="G68:G74" si="9">B68+(C68*$J$3)</f>
        <v>413.94</v>
      </c>
      <c r="H68" s="10">
        <f t="shared" ref="H68:H74" si="10">G68*12</f>
        <v>4967.28</v>
      </c>
      <c r="I68" s="9">
        <v>65</v>
      </c>
    </row>
    <row r="69" spans="1:9" x14ac:dyDescent="0.25">
      <c r="A69" s="12" t="s">
        <v>11</v>
      </c>
      <c r="B69" s="9">
        <v>147.24</v>
      </c>
      <c r="C69" s="9">
        <v>2.2265999999999999</v>
      </c>
      <c r="D69" s="9">
        <v>0</v>
      </c>
      <c r="E69" s="11">
        <f t="shared" si="7"/>
        <v>369.9</v>
      </c>
      <c r="F69" s="11">
        <f t="shared" si="8"/>
        <v>4438.7999999999993</v>
      </c>
      <c r="G69" s="10">
        <f t="shared" si="9"/>
        <v>369.9</v>
      </c>
      <c r="H69" s="10">
        <f t="shared" si="10"/>
        <v>4438.7999999999993</v>
      </c>
      <c r="I69" s="9">
        <v>66</v>
      </c>
    </row>
    <row r="70" spans="1:9" x14ac:dyDescent="0.25">
      <c r="A70" s="12" t="s">
        <v>10</v>
      </c>
      <c r="B70" s="9">
        <v>179.82</v>
      </c>
      <c r="C70" s="9">
        <v>1.6094999999999999</v>
      </c>
      <c r="D70" s="9">
        <v>0.1231</v>
      </c>
      <c r="E70" s="11">
        <f t="shared" ref="E70:E74" si="11">B70+(C70+D70)*$J$3</f>
        <v>353.08</v>
      </c>
      <c r="F70" s="11">
        <f t="shared" si="8"/>
        <v>4236.96</v>
      </c>
      <c r="G70" s="10">
        <f t="shared" si="9"/>
        <v>340.77</v>
      </c>
      <c r="H70" s="10">
        <f t="shared" si="10"/>
        <v>4089.24</v>
      </c>
      <c r="I70" s="9">
        <v>67</v>
      </c>
    </row>
    <row r="71" spans="1:9" x14ac:dyDescent="0.25">
      <c r="A71" s="12" t="s">
        <v>9</v>
      </c>
      <c r="B71" s="9">
        <v>211.94</v>
      </c>
      <c r="C71" s="9">
        <v>1.2216</v>
      </c>
      <c r="D71" s="9">
        <v>0</v>
      </c>
      <c r="E71" s="11">
        <f t="shared" si="11"/>
        <v>334.1</v>
      </c>
      <c r="F71" s="11">
        <f t="shared" si="8"/>
        <v>4009.2000000000003</v>
      </c>
      <c r="G71" s="10">
        <f t="shared" si="9"/>
        <v>334.1</v>
      </c>
      <c r="H71" s="10">
        <f t="shared" si="10"/>
        <v>4009.2000000000003</v>
      </c>
      <c r="I71" s="9">
        <v>68</v>
      </c>
    </row>
    <row r="72" spans="1:9" x14ac:dyDescent="0.25">
      <c r="A72" s="12" t="s">
        <v>8</v>
      </c>
      <c r="B72" s="9">
        <v>108</v>
      </c>
      <c r="C72" s="9">
        <v>2.2483</v>
      </c>
      <c r="D72" s="13">
        <v>0</v>
      </c>
      <c r="E72" s="11">
        <f t="shared" si="11"/>
        <v>332.83</v>
      </c>
      <c r="F72" s="11">
        <f t="shared" si="8"/>
        <v>3993.96</v>
      </c>
      <c r="G72" s="10">
        <f t="shared" si="9"/>
        <v>332.83</v>
      </c>
      <c r="H72" s="10">
        <f t="shared" si="10"/>
        <v>3993.96</v>
      </c>
      <c r="I72" s="9">
        <v>69</v>
      </c>
    </row>
    <row r="73" spans="1:9" x14ac:dyDescent="0.25">
      <c r="A73" s="12" t="s">
        <v>7</v>
      </c>
      <c r="B73" s="9">
        <v>88.99</v>
      </c>
      <c r="C73" s="9">
        <v>1.5874999999999999</v>
      </c>
      <c r="D73" s="13">
        <v>0</v>
      </c>
      <c r="E73" s="11">
        <f t="shared" si="11"/>
        <v>247.74</v>
      </c>
      <c r="F73" s="11">
        <f t="shared" si="8"/>
        <v>2972.88</v>
      </c>
      <c r="G73" s="10">
        <f t="shared" si="9"/>
        <v>247.74</v>
      </c>
      <c r="H73" s="10">
        <f t="shared" si="10"/>
        <v>2972.88</v>
      </c>
      <c r="I73" s="9">
        <v>70</v>
      </c>
    </row>
    <row r="74" spans="1:9" x14ac:dyDescent="0.25">
      <c r="A74" s="12" t="s">
        <v>6</v>
      </c>
      <c r="B74" s="9">
        <v>58.09</v>
      </c>
      <c r="C74" s="9">
        <v>1.8280000000000001</v>
      </c>
      <c r="D74" s="9">
        <v>0.04</v>
      </c>
      <c r="E74" s="11">
        <f t="shared" si="11"/>
        <v>244.89000000000001</v>
      </c>
      <c r="F74" s="11">
        <f t="shared" si="8"/>
        <v>2938.6800000000003</v>
      </c>
      <c r="G74" s="10">
        <f t="shared" si="9"/>
        <v>240.89000000000001</v>
      </c>
      <c r="H74" s="10">
        <f t="shared" si="10"/>
        <v>2890.6800000000003</v>
      </c>
      <c r="I74" s="9">
        <v>71</v>
      </c>
    </row>
    <row r="75" spans="1:9" x14ac:dyDescent="0.25">
      <c r="A75" s="7" t="s">
        <v>5</v>
      </c>
      <c r="B75" s="5"/>
      <c r="C75" s="8"/>
      <c r="D75" s="5"/>
      <c r="E75" s="6">
        <f>AVERAGE(E4:E74)</f>
        <v>605.29957746478885</v>
      </c>
      <c r="F75" s="6">
        <f>AVERAGE(F4:F74)</f>
        <v>7263.5949295774626</v>
      </c>
      <c r="G75" s="6">
        <f>AVERAGE(G4:G74)</f>
        <v>596.9935211267607</v>
      </c>
      <c r="H75" s="6">
        <f>AVERAGE(H4:H74)</f>
        <v>7163.9222535211256</v>
      </c>
      <c r="I75" s="5"/>
    </row>
    <row r="76" spans="1:9" x14ac:dyDescent="0.25">
      <c r="A76" s="7" t="s">
        <v>4</v>
      </c>
      <c r="B76" s="5"/>
      <c r="C76" s="5"/>
      <c r="D76" s="5"/>
      <c r="E76" s="6">
        <f>AVERAGE(E4:E27,E29:E74)</f>
        <v>604.8180000000001</v>
      </c>
      <c r="F76" s="6">
        <f>AVERAGE(F4:F27,F29:F74)</f>
        <v>7257.8159999999989</v>
      </c>
      <c r="G76" s="6">
        <f>AVERAGE(G4:G27,G29:G74)</f>
        <v>596.39957142857156</v>
      </c>
      <c r="H76" s="6">
        <f>AVERAGE(H4:H27,H29:H74)</f>
        <v>7156.7948571428569</v>
      </c>
      <c r="I76" s="5"/>
    </row>
    <row r="78" spans="1:9" x14ac:dyDescent="0.25">
      <c r="F78" s="1" t="s">
        <v>3</v>
      </c>
      <c r="H78" s="4">
        <f>(H28-H76)/H76</f>
        <v>7.0708348214296335E-2</v>
      </c>
    </row>
    <row r="79" spans="1:9" x14ac:dyDescent="0.25">
      <c r="F79" s="1" t="s">
        <v>2</v>
      </c>
      <c r="H79" s="3">
        <f>(H28-H74)/H74</f>
        <v>1.6508779941051928</v>
      </c>
    </row>
    <row r="80" spans="1:9" x14ac:dyDescent="0.25">
      <c r="F80" s="1" t="s">
        <v>1</v>
      </c>
      <c r="H80" s="3">
        <f>(H28-H4)/H28</f>
        <v>-2.2134456676636867</v>
      </c>
    </row>
    <row r="81" spans="1:8" x14ac:dyDescent="0.25">
      <c r="H81" s="3"/>
    </row>
    <row r="82" spans="1:8" ht="21" x14ac:dyDescent="0.25">
      <c r="A82" s="2" t="s">
        <v>0</v>
      </c>
    </row>
  </sheetData>
  <pageMargins left="0.70866141732283472" right="0.70866141732283472" top="0.74803149606299213" bottom="0.74803149606299213" header="0.31496062992125984" footer="0.31496062992125984"/>
  <pageSetup scale="73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Normal="100" workbookViewId="0">
      <selection activeCell="A16" sqref="A4:A16"/>
    </sheetView>
  </sheetViews>
  <sheetFormatPr defaultColWidth="8.81640625" defaultRowHeight="14.5" x14ac:dyDescent="0.35"/>
  <cols>
    <col min="1" max="1" width="24.7265625" style="1" customWidth="1"/>
    <col min="2" max="2" width="14" style="1" customWidth="1"/>
    <col min="3" max="3" width="13.81640625" style="1" customWidth="1"/>
    <col min="4" max="5" width="10.81640625" style="1" hidden="1" customWidth="1"/>
    <col min="6" max="7" width="12.26953125" style="1" customWidth="1"/>
    <col min="8" max="8" width="8.81640625" style="1"/>
    <col min="10" max="10" width="14.453125" customWidth="1"/>
  </cols>
  <sheetData>
    <row r="1" spans="1:16" s="1" customFormat="1" ht="15.5" x14ac:dyDescent="0.35">
      <c r="A1" s="22" t="s">
        <v>96</v>
      </c>
      <c r="C1" s="58" t="s">
        <v>129</v>
      </c>
      <c r="D1" s="56"/>
      <c r="E1" s="57"/>
      <c r="H1" s="23">
        <v>44970</v>
      </c>
    </row>
    <row r="2" spans="1:16" s="1" customFormat="1" ht="15.5" x14ac:dyDescent="0.35">
      <c r="A2" s="22"/>
      <c r="D2" s="56"/>
      <c r="E2" s="57"/>
      <c r="H2" s="23"/>
    </row>
    <row r="3" spans="1:16" ht="31.5" x14ac:dyDescent="0.35">
      <c r="A3" s="35" t="s">
        <v>95</v>
      </c>
      <c r="B3" s="35" t="s">
        <v>94</v>
      </c>
      <c r="C3" s="35" t="s">
        <v>93</v>
      </c>
      <c r="D3" s="36" t="s">
        <v>116</v>
      </c>
      <c r="E3" s="36" t="s">
        <v>117</v>
      </c>
      <c r="F3" s="19" t="s">
        <v>89</v>
      </c>
      <c r="G3" s="19" t="s">
        <v>88</v>
      </c>
      <c r="H3" s="18" t="s">
        <v>87</v>
      </c>
      <c r="I3" s="37">
        <v>100</v>
      </c>
      <c r="J3" t="s">
        <v>118</v>
      </c>
    </row>
    <row r="4" spans="1:16" x14ac:dyDescent="0.35">
      <c r="A4" s="38" t="s">
        <v>86</v>
      </c>
      <c r="B4" s="39">
        <v>105.55</v>
      </c>
      <c r="C4" s="39">
        <v>19.519600000000001</v>
      </c>
      <c r="D4" s="9"/>
      <c r="E4" s="9"/>
      <c r="F4" s="40">
        <f t="shared" ref="F4:F35" si="0">B4+(C4*$I$3)</f>
        <v>2057.5100000000002</v>
      </c>
      <c r="G4" s="40">
        <f t="shared" ref="G4:G67" si="1">F4*12</f>
        <v>24690.120000000003</v>
      </c>
      <c r="H4" s="9">
        <v>1</v>
      </c>
      <c r="I4" s="41">
        <f>0.037-0.003</f>
        <v>3.3999999999999996E-2</v>
      </c>
      <c r="J4" t="s">
        <v>119</v>
      </c>
    </row>
    <row r="5" spans="1:16" ht="15" thickBot="1" x14ac:dyDescent="0.4">
      <c r="A5" s="38" t="s">
        <v>84</v>
      </c>
      <c r="B5" s="39">
        <v>96.47</v>
      </c>
      <c r="C5" s="39">
        <v>11.328799999999999</v>
      </c>
      <c r="D5" s="9"/>
      <c r="E5" s="9"/>
      <c r="F5" s="40">
        <f t="shared" si="0"/>
        <v>1229.3499999999999</v>
      </c>
      <c r="G5" s="40">
        <f t="shared" si="1"/>
        <v>14752.199999999999</v>
      </c>
      <c r="H5" s="9">
        <v>2</v>
      </c>
      <c r="I5" s="42"/>
    </row>
    <row r="6" spans="1:16" x14ac:dyDescent="0.35">
      <c r="A6" s="38" t="s">
        <v>82</v>
      </c>
      <c r="B6" s="43">
        <f>D6*(1+$I$4)</f>
        <v>633.39738000000011</v>
      </c>
      <c r="C6" s="44">
        <f>E6*(1+$I$4)</f>
        <v>4.2101378</v>
      </c>
      <c r="D6" s="9">
        <v>612.57000000000005</v>
      </c>
      <c r="E6" s="9">
        <v>4.0716999999999999</v>
      </c>
      <c r="F6" s="40">
        <f t="shared" si="0"/>
        <v>1054.4111600000001</v>
      </c>
      <c r="G6" s="40">
        <f t="shared" si="1"/>
        <v>12652.933920000001</v>
      </c>
      <c r="H6" s="9">
        <v>3</v>
      </c>
      <c r="I6" s="42"/>
      <c r="J6" s="59" t="s">
        <v>120</v>
      </c>
      <c r="K6" s="60"/>
      <c r="L6" s="60"/>
      <c r="M6" s="60"/>
      <c r="N6" s="60"/>
      <c r="O6" s="60"/>
      <c r="P6" s="61"/>
    </row>
    <row r="7" spans="1:16" ht="15" thickBot="1" x14ac:dyDescent="0.4">
      <c r="A7" s="38" t="s">
        <v>80</v>
      </c>
      <c r="B7" s="39">
        <v>175.22</v>
      </c>
      <c r="C7" s="39">
        <v>8.2728999999999999</v>
      </c>
      <c r="D7" s="9"/>
      <c r="E7" s="9"/>
      <c r="F7" s="40">
        <f t="shared" si="0"/>
        <v>1002.51</v>
      </c>
      <c r="G7" s="40">
        <f t="shared" si="1"/>
        <v>12030.119999999999</v>
      </c>
      <c r="H7" s="9">
        <v>4</v>
      </c>
      <c r="I7" s="42"/>
      <c r="J7" s="62" t="s">
        <v>121</v>
      </c>
      <c r="K7" s="63"/>
      <c r="L7" s="63"/>
      <c r="M7" s="63"/>
      <c r="N7" s="63"/>
      <c r="O7" s="63"/>
      <c r="P7" s="64"/>
    </row>
    <row r="8" spans="1:16" x14ac:dyDescent="0.35">
      <c r="A8" s="38" t="s">
        <v>78</v>
      </c>
      <c r="B8" s="39">
        <v>55.52</v>
      </c>
      <c r="C8" s="39">
        <v>8.9153000000000002</v>
      </c>
      <c r="D8" s="9"/>
      <c r="E8" s="9"/>
      <c r="F8" s="40">
        <f t="shared" si="0"/>
        <v>947.05</v>
      </c>
      <c r="G8" s="40">
        <f t="shared" si="1"/>
        <v>11364.599999999999</v>
      </c>
      <c r="H8" s="9">
        <v>5</v>
      </c>
      <c r="I8" s="42"/>
    </row>
    <row r="9" spans="1:16" x14ac:dyDescent="0.35">
      <c r="A9" s="38" t="s">
        <v>76</v>
      </c>
      <c r="B9" s="43">
        <f>D9*(1+$I$4)</f>
        <v>127.46118</v>
      </c>
      <c r="C9" s="44">
        <f>E9*(1+$I$4)</f>
        <v>7.4943285999999993</v>
      </c>
      <c r="D9" s="9">
        <v>123.27</v>
      </c>
      <c r="E9" s="9">
        <v>7.2478999999999996</v>
      </c>
      <c r="F9" s="40">
        <f t="shared" si="0"/>
        <v>876.8940399999999</v>
      </c>
      <c r="G9" s="40">
        <f t="shared" si="1"/>
        <v>10522.728479999998</v>
      </c>
      <c r="H9" s="9">
        <v>6</v>
      </c>
      <c r="I9" s="42"/>
    </row>
    <row r="10" spans="1:16" x14ac:dyDescent="0.35">
      <c r="A10" s="38" t="s">
        <v>72</v>
      </c>
      <c r="B10" s="39">
        <v>200</v>
      </c>
      <c r="C10" s="39">
        <v>5.9844999999999997</v>
      </c>
      <c r="D10" s="9"/>
      <c r="E10" s="9"/>
      <c r="F10" s="40">
        <f t="shared" si="0"/>
        <v>798.44999999999993</v>
      </c>
      <c r="G10" s="40">
        <f t="shared" si="1"/>
        <v>9581.4</v>
      </c>
      <c r="H10" s="9">
        <v>7</v>
      </c>
      <c r="I10" s="42"/>
    </row>
    <row r="11" spans="1:16" ht="21" x14ac:dyDescent="0.35">
      <c r="A11" s="38" t="s">
        <v>74</v>
      </c>
      <c r="B11" s="43">
        <f t="shared" ref="B11:C13" si="2">D11*(1+$I$4)</f>
        <v>602.66690000000006</v>
      </c>
      <c r="C11" s="44">
        <f t="shared" si="2"/>
        <v>1.9203448000000001</v>
      </c>
      <c r="D11" s="9">
        <v>582.85</v>
      </c>
      <c r="E11" s="9">
        <v>1.8572</v>
      </c>
      <c r="F11" s="40">
        <f t="shared" si="0"/>
        <v>794.70138000000009</v>
      </c>
      <c r="G11" s="40">
        <f t="shared" si="1"/>
        <v>9536.4165600000015</v>
      </c>
      <c r="H11" s="9">
        <v>8</v>
      </c>
      <c r="I11" s="42"/>
    </row>
    <row r="12" spans="1:16" x14ac:dyDescent="0.35">
      <c r="A12" s="38" t="s">
        <v>70</v>
      </c>
      <c r="B12" s="43">
        <f t="shared" si="2"/>
        <v>212.79720000000003</v>
      </c>
      <c r="C12" s="44">
        <f t="shared" si="2"/>
        <v>5.5196987999999996</v>
      </c>
      <c r="D12" s="9">
        <v>205.8</v>
      </c>
      <c r="E12" s="9">
        <v>5.3381999999999996</v>
      </c>
      <c r="F12" s="40">
        <f t="shared" si="0"/>
        <v>764.76708000000008</v>
      </c>
      <c r="G12" s="40">
        <f t="shared" si="1"/>
        <v>9177.2049600000009</v>
      </c>
      <c r="H12" s="9">
        <v>9</v>
      </c>
      <c r="I12" s="42"/>
    </row>
    <row r="13" spans="1:16" x14ac:dyDescent="0.35">
      <c r="A13" s="38" t="s">
        <v>68</v>
      </c>
      <c r="B13" s="43">
        <f t="shared" si="2"/>
        <v>133.47906</v>
      </c>
      <c r="C13" s="44">
        <f t="shared" si="2"/>
        <v>5.9305070000000004</v>
      </c>
      <c r="D13" s="9">
        <v>129.09</v>
      </c>
      <c r="E13" s="9">
        <v>5.7355</v>
      </c>
      <c r="F13" s="40">
        <f t="shared" si="0"/>
        <v>726.52976000000001</v>
      </c>
      <c r="G13" s="40">
        <f t="shared" si="1"/>
        <v>8718.3571200000006</v>
      </c>
      <c r="H13" s="9">
        <v>10</v>
      </c>
      <c r="I13" s="42"/>
    </row>
    <row r="14" spans="1:16" ht="21" x14ac:dyDescent="0.35">
      <c r="A14" s="38" t="s">
        <v>65</v>
      </c>
      <c r="B14" s="39">
        <v>429.78</v>
      </c>
      <c r="C14" s="39">
        <v>2.8862000000000001</v>
      </c>
      <c r="D14" s="9"/>
      <c r="E14" s="9"/>
      <c r="F14" s="40">
        <f t="shared" si="0"/>
        <v>718.4</v>
      </c>
      <c r="G14" s="40">
        <f t="shared" si="1"/>
        <v>8620.7999999999993</v>
      </c>
      <c r="H14" s="9">
        <v>11</v>
      </c>
      <c r="I14" s="42"/>
    </row>
    <row r="15" spans="1:16" x14ac:dyDescent="0.35">
      <c r="A15" s="38" t="s">
        <v>64</v>
      </c>
      <c r="B15" s="43">
        <f>D15*(1+$I$4)</f>
        <v>185.60300000000001</v>
      </c>
      <c r="C15" s="44">
        <f>E15*(1+$I$4)</f>
        <v>5.3255136000000007</v>
      </c>
      <c r="D15" s="9">
        <v>179.5</v>
      </c>
      <c r="E15" s="9">
        <v>5.1504000000000003</v>
      </c>
      <c r="F15" s="40">
        <f t="shared" si="0"/>
        <v>718.15436</v>
      </c>
      <c r="G15" s="40">
        <f t="shared" si="1"/>
        <v>8617.85232</v>
      </c>
      <c r="H15" s="9">
        <v>12</v>
      </c>
      <c r="I15" s="42"/>
    </row>
    <row r="16" spans="1:16" x14ac:dyDescent="0.35">
      <c r="A16" s="38" t="s">
        <v>63</v>
      </c>
      <c r="B16" s="39">
        <v>236.52</v>
      </c>
      <c r="C16" s="39">
        <v>4.7930000000000001</v>
      </c>
      <c r="D16" s="45"/>
      <c r="E16" s="45"/>
      <c r="F16" s="40">
        <f t="shared" si="0"/>
        <v>715.82</v>
      </c>
      <c r="G16" s="40">
        <f t="shared" si="1"/>
        <v>8589.84</v>
      </c>
      <c r="H16" s="9">
        <v>13</v>
      </c>
      <c r="I16" s="42"/>
    </row>
    <row r="17" spans="1:10" ht="21" x14ac:dyDescent="0.35">
      <c r="A17" s="15" t="s">
        <v>52</v>
      </c>
      <c r="B17" s="14">
        <v>163.49</v>
      </c>
      <c r="C17" s="14">
        <v>5.5068000000000001</v>
      </c>
      <c r="D17" s="9"/>
      <c r="E17" s="9"/>
      <c r="F17" s="40">
        <f t="shared" si="0"/>
        <v>714.17000000000007</v>
      </c>
      <c r="G17" s="40">
        <f t="shared" si="1"/>
        <v>8570.0400000000009</v>
      </c>
      <c r="H17" s="9">
        <v>14</v>
      </c>
      <c r="J17" s="34"/>
    </row>
    <row r="18" spans="1:10" ht="21" x14ac:dyDescent="0.35">
      <c r="A18" s="38" t="s">
        <v>122</v>
      </c>
      <c r="B18" s="39">
        <v>199.73</v>
      </c>
      <c r="C18" s="39">
        <v>5.1420000000000003</v>
      </c>
      <c r="D18" s="9"/>
      <c r="E18" s="9"/>
      <c r="F18" s="40">
        <f t="shared" si="0"/>
        <v>713.93000000000006</v>
      </c>
      <c r="G18" s="40">
        <f t="shared" si="1"/>
        <v>8567.16</v>
      </c>
      <c r="H18" s="9">
        <v>15</v>
      </c>
      <c r="J18" s="34"/>
    </row>
    <row r="19" spans="1:10" ht="21" x14ac:dyDescent="0.35">
      <c r="A19" s="38" t="s">
        <v>123</v>
      </c>
      <c r="B19" s="39">
        <v>125.96</v>
      </c>
      <c r="C19" s="39">
        <v>5.8376999999999999</v>
      </c>
      <c r="D19" s="9"/>
      <c r="E19" s="9"/>
      <c r="F19" s="40">
        <f t="shared" si="0"/>
        <v>709.73</v>
      </c>
      <c r="G19" s="40">
        <f t="shared" si="1"/>
        <v>8516.76</v>
      </c>
      <c r="H19" s="9">
        <v>16</v>
      </c>
      <c r="J19" s="34"/>
    </row>
    <row r="20" spans="1:10" ht="21" x14ac:dyDescent="0.35">
      <c r="A20" s="38" t="s">
        <v>60</v>
      </c>
      <c r="B20" s="43">
        <f>D20*(1+$I$4)</f>
        <v>269.82229999999998</v>
      </c>
      <c r="C20" s="44">
        <f>E20*(1+$I$4)</f>
        <v>4.3516924000000001</v>
      </c>
      <c r="D20" s="9">
        <v>260.95</v>
      </c>
      <c r="E20" s="9">
        <v>4.2085999999999997</v>
      </c>
      <c r="F20" s="40">
        <f t="shared" si="0"/>
        <v>704.99153999999999</v>
      </c>
      <c r="G20" s="40">
        <f t="shared" si="1"/>
        <v>8459.8984799999998</v>
      </c>
      <c r="H20" s="9">
        <v>17</v>
      </c>
      <c r="J20" s="34"/>
    </row>
    <row r="21" spans="1:10" ht="21" x14ac:dyDescent="0.35">
      <c r="A21" s="38" t="s">
        <v>59</v>
      </c>
      <c r="B21" s="43">
        <f>D21*(1+$I$4)</f>
        <v>209.50908000000001</v>
      </c>
      <c r="C21" s="44">
        <f>E21*(1+$I$4)</f>
        <v>4.9500682000000005</v>
      </c>
      <c r="D21" s="9">
        <v>202.62</v>
      </c>
      <c r="E21" s="9">
        <v>4.7873000000000001</v>
      </c>
      <c r="F21" s="40">
        <f t="shared" si="0"/>
        <v>704.5159000000001</v>
      </c>
      <c r="G21" s="40">
        <f t="shared" si="1"/>
        <v>8454.1908000000003</v>
      </c>
      <c r="H21" s="9">
        <v>18</v>
      </c>
      <c r="J21" s="34"/>
    </row>
    <row r="22" spans="1:10" ht="21" x14ac:dyDescent="0.35">
      <c r="A22" s="38" t="s">
        <v>66</v>
      </c>
      <c r="B22" s="39">
        <v>340.6</v>
      </c>
      <c r="C22" s="39">
        <v>3.5825</v>
      </c>
      <c r="D22" s="9"/>
      <c r="E22" s="9"/>
      <c r="F22" s="40">
        <f t="shared" si="0"/>
        <v>698.85</v>
      </c>
      <c r="G22" s="40">
        <f t="shared" si="1"/>
        <v>8386.2000000000007</v>
      </c>
      <c r="H22" s="9">
        <v>19</v>
      </c>
      <c r="J22" s="34"/>
    </row>
    <row r="23" spans="1:10" ht="21" x14ac:dyDescent="0.35">
      <c r="A23" s="38" t="s">
        <v>58</v>
      </c>
      <c r="B23" s="43">
        <f>D23*(1+$I$4)</f>
        <v>153.4973</v>
      </c>
      <c r="C23" s="44">
        <f>E23*(1+$I$4)</f>
        <v>5.4439066</v>
      </c>
      <c r="D23" s="9">
        <v>148.44999999999999</v>
      </c>
      <c r="E23" s="9">
        <v>5.2648999999999999</v>
      </c>
      <c r="F23" s="40">
        <f t="shared" si="0"/>
        <v>697.88796000000002</v>
      </c>
      <c r="G23" s="40">
        <f t="shared" si="1"/>
        <v>8374.6555200000003</v>
      </c>
      <c r="H23" s="9">
        <v>20</v>
      </c>
      <c r="J23" s="34"/>
    </row>
    <row r="24" spans="1:10" ht="34.75" customHeight="1" x14ac:dyDescent="0.35">
      <c r="A24" s="38" t="s">
        <v>57</v>
      </c>
      <c r="B24" s="39">
        <v>138.25</v>
      </c>
      <c r="C24" s="39">
        <v>5.4055999999999997</v>
      </c>
      <c r="D24" s="9"/>
      <c r="E24" s="9"/>
      <c r="F24" s="40">
        <f t="shared" si="0"/>
        <v>678.81</v>
      </c>
      <c r="G24" s="40">
        <f t="shared" si="1"/>
        <v>8145.7199999999993</v>
      </c>
      <c r="H24" s="9">
        <v>21</v>
      </c>
      <c r="J24" s="34"/>
    </row>
    <row r="25" spans="1:10" x14ac:dyDescent="0.35">
      <c r="A25" s="38" t="s">
        <v>56</v>
      </c>
      <c r="B25" s="43">
        <f t="shared" ref="B25:C27" si="3">D25*(1+$I$4)</f>
        <v>368.38317999999998</v>
      </c>
      <c r="C25" s="44">
        <f t="shared" si="3"/>
        <v>3.0570210000000002</v>
      </c>
      <c r="D25" s="9">
        <v>356.27</v>
      </c>
      <c r="E25" s="9">
        <v>2.9565000000000001</v>
      </c>
      <c r="F25" s="40">
        <f t="shared" si="0"/>
        <v>674.08528000000001</v>
      </c>
      <c r="G25" s="40">
        <f t="shared" si="1"/>
        <v>8089.0233600000001</v>
      </c>
      <c r="H25" s="9">
        <v>22</v>
      </c>
      <c r="J25" s="34"/>
    </row>
    <row r="26" spans="1:10" x14ac:dyDescent="0.35">
      <c r="A26" s="38" t="s">
        <v>55</v>
      </c>
      <c r="B26" s="43">
        <f t="shared" si="3"/>
        <v>308.19404000000003</v>
      </c>
      <c r="C26" s="44">
        <f t="shared" si="3"/>
        <v>3.5742278000000001</v>
      </c>
      <c r="D26" s="9">
        <v>298.06</v>
      </c>
      <c r="E26" s="9">
        <v>3.4567000000000001</v>
      </c>
      <c r="F26" s="40">
        <f t="shared" si="0"/>
        <v>665.61681999999996</v>
      </c>
      <c r="G26" s="40">
        <f t="shared" si="1"/>
        <v>7987.4018399999995</v>
      </c>
      <c r="H26" s="9">
        <v>23</v>
      </c>
    </row>
    <row r="27" spans="1:10" x14ac:dyDescent="0.35">
      <c r="A27" s="38" t="s">
        <v>54</v>
      </c>
      <c r="B27" s="43">
        <f t="shared" si="3"/>
        <v>319.97129999999999</v>
      </c>
      <c r="C27" s="44">
        <f t="shared" si="3"/>
        <v>3.4502512000000003</v>
      </c>
      <c r="D27" s="9">
        <v>309.45</v>
      </c>
      <c r="E27" s="9">
        <v>3.3368000000000002</v>
      </c>
      <c r="F27" s="40">
        <f t="shared" si="0"/>
        <v>664.99641999999994</v>
      </c>
      <c r="G27" s="40">
        <f t="shared" si="1"/>
        <v>7979.9570399999993</v>
      </c>
      <c r="H27" s="9">
        <v>24</v>
      </c>
    </row>
    <row r="28" spans="1:10" x14ac:dyDescent="0.35">
      <c r="A28" s="12" t="s">
        <v>53</v>
      </c>
      <c r="B28" s="39">
        <v>221.15</v>
      </c>
      <c r="C28" s="39">
        <v>4.4169</v>
      </c>
      <c r="D28" s="9"/>
      <c r="E28" s="9"/>
      <c r="F28" s="40">
        <f t="shared" si="0"/>
        <v>662.84</v>
      </c>
      <c r="G28" s="40">
        <f t="shared" si="1"/>
        <v>7954.08</v>
      </c>
      <c r="H28" s="9">
        <v>25</v>
      </c>
    </row>
    <row r="29" spans="1:10" x14ac:dyDescent="0.35">
      <c r="A29" s="38" t="s">
        <v>51</v>
      </c>
      <c r="B29" s="39">
        <v>190.09</v>
      </c>
      <c r="C29" s="39">
        <v>4.6820000000000004</v>
      </c>
      <c r="D29" s="9"/>
      <c r="E29" s="9"/>
      <c r="F29" s="40">
        <f t="shared" si="0"/>
        <v>658.29000000000008</v>
      </c>
      <c r="G29" s="40">
        <f t="shared" si="1"/>
        <v>7899.4800000000014</v>
      </c>
      <c r="H29" s="9">
        <v>26</v>
      </c>
    </row>
    <row r="30" spans="1:10" x14ac:dyDescent="0.35">
      <c r="A30" s="38" t="s">
        <v>50</v>
      </c>
      <c r="B30" s="39">
        <v>117.3</v>
      </c>
      <c r="C30" s="39">
        <v>5.2229000000000001</v>
      </c>
      <c r="D30" s="9"/>
      <c r="E30" s="9"/>
      <c r="F30" s="40">
        <f t="shared" si="0"/>
        <v>639.58999999999992</v>
      </c>
      <c r="G30" s="40">
        <f t="shared" si="1"/>
        <v>7675.079999999999</v>
      </c>
      <c r="H30" s="9">
        <v>27</v>
      </c>
    </row>
    <row r="31" spans="1:10" ht="21" x14ac:dyDescent="0.35">
      <c r="A31" s="38" t="s">
        <v>47</v>
      </c>
      <c r="B31" s="39">
        <v>158.88</v>
      </c>
      <c r="C31" s="39">
        <v>4.7374999999999998</v>
      </c>
      <c r="D31" s="9"/>
      <c r="E31" s="9"/>
      <c r="F31" s="40">
        <f t="shared" si="0"/>
        <v>632.63</v>
      </c>
      <c r="G31" s="40">
        <f t="shared" si="1"/>
        <v>7591.5599999999995</v>
      </c>
      <c r="H31" s="9">
        <v>28</v>
      </c>
    </row>
    <row r="32" spans="1:10" x14ac:dyDescent="0.35">
      <c r="A32" s="38" t="s">
        <v>49</v>
      </c>
      <c r="B32" s="43">
        <f>D32*(1+$I$4)</f>
        <v>39.364380000000004</v>
      </c>
      <c r="C32" s="44">
        <f>E32*(1+$I$4)</f>
        <v>5.9386756000000007</v>
      </c>
      <c r="D32" s="9">
        <v>38.07</v>
      </c>
      <c r="E32" s="9">
        <v>5.7434000000000003</v>
      </c>
      <c r="F32" s="40">
        <f t="shared" si="0"/>
        <v>633.23194000000001</v>
      </c>
      <c r="G32" s="40">
        <f t="shared" si="1"/>
        <v>7598.7832799999996</v>
      </c>
      <c r="H32" s="9">
        <v>29</v>
      </c>
    </row>
    <row r="33" spans="1:8" x14ac:dyDescent="0.35">
      <c r="A33" s="38" t="s">
        <v>48</v>
      </c>
      <c r="B33" s="43">
        <f>D33*(1+$I$4)</f>
        <v>318.24451999999997</v>
      </c>
      <c r="C33" s="44">
        <f>E33*(1+$I$4)</f>
        <v>3.1496674000000002</v>
      </c>
      <c r="D33" s="9">
        <v>307.77999999999997</v>
      </c>
      <c r="E33" s="9">
        <v>3.0461</v>
      </c>
      <c r="F33" s="40">
        <f t="shared" si="0"/>
        <v>633.21126000000004</v>
      </c>
      <c r="G33" s="40">
        <f t="shared" si="1"/>
        <v>7598.5351200000005</v>
      </c>
      <c r="H33" s="9">
        <v>30</v>
      </c>
    </row>
    <row r="34" spans="1:8" ht="21" x14ac:dyDescent="0.35">
      <c r="A34" s="38" t="s">
        <v>124</v>
      </c>
      <c r="B34" s="39">
        <v>253.89</v>
      </c>
      <c r="C34" s="39">
        <v>3.6158999999999999</v>
      </c>
      <c r="D34" s="9"/>
      <c r="E34" s="9"/>
      <c r="F34" s="40">
        <f t="shared" si="0"/>
        <v>615.48</v>
      </c>
      <c r="G34" s="40">
        <f t="shared" si="1"/>
        <v>7385.76</v>
      </c>
      <c r="H34" s="9">
        <v>31</v>
      </c>
    </row>
    <row r="35" spans="1:8" x14ac:dyDescent="0.35">
      <c r="A35" s="38" t="s">
        <v>44</v>
      </c>
      <c r="B35" s="39">
        <v>64.16</v>
      </c>
      <c r="C35" s="39">
        <v>5.4919000000000002</v>
      </c>
      <c r="D35" s="9"/>
      <c r="E35" s="9"/>
      <c r="F35" s="40">
        <f t="shared" si="0"/>
        <v>613.35</v>
      </c>
      <c r="G35" s="40">
        <f t="shared" si="1"/>
        <v>7360.2000000000007</v>
      </c>
      <c r="H35" s="9">
        <v>32</v>
      </c>
    </row>
    <row r="36" spans="1:8" ht="21" x14ac:dyDescent="0.35">
      <c r="A36" s="38" t="s">
        <v>43</v>
      </c>
      <c r="B36" s="39">
        <v>86.55</v>
      </c>
      <c r="C36" s="39">
        <v>5.2083000000000004</v>
      </c>
      <c r="D36" s="9"/>
      <c r="E36" s="9"/>
      <c r="F36" s="40">
        <f t="shared" ref="F36:F68" si="4">B36+(C36*$I$3)</f>
        <v>607.38</v>
      </c>
      <c r="G36" s="40">
        <f t="shared" si="1"/>
        <v>7288.5599999999995</v>
      </c>
      <c r="H36" s="9">
        <v>33</v>
      </c>
    </row>
    <row r="37" spans="1:8" ht="21" x14ac:dyDescent="0.35">
      <c r="A37" s="38" t="s">
        <v>42</v>
      </c>
      <c r="B37" s="43">
        <f>D37*(1+$I$4)</f>
        <v>229.49629999999999</v>
      </c>
      <c r="C37" s="44">
        <f>E37*(1+$I$4)</f>
        <v>3.7312924000000001</v>
      </c>
      <c r="D37" s="9">
        <v>221.95</v>
      </c>
      <c r="E37" s="9">
        <v>3.6086</v>
      </c>
      <c r="F37" s="40">
        <f t="shared" si="4"/>
        <v>602.62554</v>
      </c>
      <c r="G37" s="40">
        <f t="shared" si="1"/>
        <v>7231.50648</v>
      </c>
      <c r="H37" s="9">
        <v>34</v>
      </c>
    </row>
    <row r="38" spans="1:8" x14ac:dyDescent="0.35">
      <c r="A38" s="38" t="s">
        <v>46</v>
      </c>
      <c r="B38" s="39">
        <v>192.03</v>
      </c>
      <c r="C38" s="39">
        <v>4.0811000000000002</v>
      </c>
      <c r="D38" s="45"/>
      <c r="E38" s="45"/>
      <c r="F38" s="40">
        <f t="shared" si="4"/>
        <v>600.14</v>
      </c>
      <c r="G38" s="40">
        <f t="shared" si="1"/>
        <v>7201.68</v>
      </c>
      <c r="H38" s="9">
        <v>35</v>
      </c>
    </row>
    <row r="39" spans="1:8" x14ac:dyDescent="0.35">
      <c r="A39" s="38" t="s">
        <v>41</v>
      </c>
      <c r="B39" s="39">
        <v>227.22</v>
      </c>
      <c r="C39" s="39">
        <v>3.5310000000000001</v>
      </c>
      <c r="D39" s="9"/>
      <c r="E39" s="9"/>
      <c r="F39" s="40">
        <f t="shared" si="4"/>
        <v>580.32000000000005</v>
      </c>
      <c r="G39" s="40">
        <f t="shared" si="1"/>
        <v>6963.84</v>
      </c>
      <c r="H39" s="9">
        <v>36</v>
      </c>
    </row>
    <row r="40" spans="1:8" x14ac:dyDescent="0.35">
      <c r="A40" s="38" t="s">
        <v>40</v>
      </c>
      <c r="B40" s="39">
        <v>311.31</v>
      </c>
      <c r="C40" s="39">
        <v>2.6057000000000001</v>
      </c>
      <c r="D40" s="9"/>
      <c r="E40" s="9"/>
      <c r="F40" s="40">
        <f t="shared" si="4"/>
        <v>571.88</v>
      </c>
      <c r="G40" s="40">
        <f t="shared" si="1"/>
        <v>6862.5599999999995</v>
      </c>
      <c r="H40" s="9">
        <v>37</v>
      </c>
    </row>
    <row r="41" spans="1:8" x14ac:dyDescent="0.35">
      <c r="A41" s="38" t="s">
        <v>39</v>
      </c>
      <c r="B41" s="43">
        <f>D41*(1+$I$4)</f>
        <v>417.53953999999999</v>
      </c>
      <c r="C41" s="44">
        <f>E41*(1+$I$4)</f>
        <v>1.4572162</v>
      </c>
      <c r="D41" s="9">
        <v>403.81</v>
      </c>
      <c r="E41" s="9">
        <v>1.4093</v>
      </c>
      <c r="F41" s="40">
        <f t="shared" si="4"/>
        <v>563.26116000000002</v>
      </c>
      <c r="G41" s="40">
        <f t="shared" si="1"/>
        <v>6759.1339200000002</v>
      </c>
      <c r="H41" s="9">
        <v>38</v>
      </c>
    </row>
    <row r="42" spans="1:8" x14ac:dyDescent="0.35">
      <c r="A42" s="38" t="s">
        <v>38</v>
      </c>
      <c r="B42" s="39">
        <v>223.2</v>
      </c>
      <c r="C42" s="39">
        <v>3.3767</v>
      </c>
      <c r="D42" s="9"/>
      <c r="E42" s="9"/>
      <c r="F42" s="40">
        <f t="shared" si="4"/>
        <v>560.87</v>
      </c>
      <c r="G42" s="40">
        <f t="shared" si="1"/>
        <v>6730.4400000000005</v>
      </c>
      <c r="H42" s="9">
        <v>39</v>
      </c>
    </row>
    <row r="43" spans="1:8" x14ac:dyDescent="0.35">
      <c r="A43" s="38" t="s">
        <v>37</v>
      </c>
      <c r="B43" s="43">
        <f>D43*(1+$I$4)</f>
        <v>258.64476000000002</v>
      </c>
      <c r="C43" s="44">
        <f>E43*(1+$I$4)</f>
        <v>2.9610658000000001</v>
      </c>
      <c r="D43" s="9">
        <v>250.14</v>
      </c>
      <c r="E43" s="9">
        <v>2.8637000000000001</v>
      </c>
      <c r="F43" s="40">
        <f t="shared" si="4"/>
        <v>554.75134000000003</v>
      </c>
      <c r="G43" s="40">
        <f t="shared" si="1"/>
        <v>6657.0160800000003</v>
      </c>
      <c r="H43" s="9">
        <v>40</v>
      </c>
    </row>
    <row r="44" spans="1:8" x14ac:dyDescent="0.35">
      <c r="A44" s="38" t="s">
        <v>36</v>
      </c>
      <c r="B44" s="39">
        <v>262.52999999999997</v>
      </c>
      <c r="C44" s="39">
        <v>2.8342999999999998</v>
      </c>
      <c r="D44" s="9"/>
      <c r="E44" s="9"/>
      <c r="F44" s="40">
        <f t="shared" si="4"/>
        <v>545.96</v>
      </c>
      <c r="G44" s="40">
        <f t="shared" si="1"/>
        <v>6551.52</v>
      </c>
      <c r="H44" s="9">
        <v>41</v>
      </c>
    </row>
    <row r="45" spans="1:8" ht="21" x14ac:dyDescent="0.35">
      <c r="A45" s="38" t="s">
        <v>125</v>
      </c>
      <c r="B45" s="39">
        <v>113.62</v>
      </c>
      <c r="C45" s="39">
        <v>4.2012999999999998</v>
      </c>
      <c r="D45" s="45"/>
      <c r="E45" s="45"/>
      <c r="F45" s="40">
        <f t="shared" si="4"/>
        <v>533.75</v>
      </c>
      <c r="G45" s="40">
        <f t="shared" si="1"/>
        <v>6405</v>
      </c>
      <c r="H45" s="9">
        <v>42</v>
      </c>
    </row>
    <row r="46" spans="1:8" x14ac:dyDescent="0.35">
      <c r="A46" s="38" t="s">
        <v>126</v>
      </c>
      <c r="B46" s="39">
        <v>258.64</v>
      </c>
      <c r="C46" s="39">
        <v>2.7296</v>
      </c>
      <c r="D46" s="9"/>
      <c r="E46" s="9"/>
      <c r="F46" s="40">
        <f t="shared" si="4"/>
        <v>531.59999999999991</v>
      </c>
      <c r="G46" s="40">
        <f t="shared" si="1"/>
        <v>6379.1999999999989</v>
      </c>
      <c r="H46" s="9">
        <v>43</v>
      </c>
    </row>
    <row r="47" spans="1:8" x14ac:dyDescent="0.35">
      <c r="A47" s="38" t="s">
        <v>33</v>
      </c>
      <c r="B47" s="39">
        <v>138.91</v>
      </c>
      <c r="C47" s="39">
        <v>3.867</v>
      </c>
      <c r="D47" s="9"/>
      <c r="E47" s="9"/>
      <c r="F47" s="40">
        <f t="shared" si="4"/>
        <v>525.61</v>
      </c>
      <c r="G47" s="40">
        <f t="shared" si="1"/>
        <v>6307.32</v>
      </c>
      <c r="H47" s="9">
        <v>44</v>
      </c>
    </row>
    <row r="48" spans="1:8" ht="21" x14ac:dyDescent="0.35">
      <c r="A48" s="38" t="s">
        <v>32</v>
      </c>
      <c r="B48" s="43">
        <f>D48*(1+$I$4)</f>
        <v>90.464659999999995</v>
      </c>
      <c r="C48" s="44">
        <f>E48*(1+$I$4)</f>
        <v>4.2567711999999993</v>
      </c>
      <c r="D48" s="9">
        <v>87.49</v>
      </c>
      <c r="E48" s="9">
        <v>4.1167999999999996</v>
      </c>
      <c r="F48" s="40">
        <f t="shared" si="4"/>
        <v>516.14177999999993</v>
      </c>
      <c r="G48" s="40">
        <f t="shared" si="1"/>
        <v>6193.7013599999991</v>
      </c>
      <c r="H48" s="9">
        <v>45</v>
      </c>
    </row>
    <row r="49" spans="1:8" x14ac:dyDescent="0.35">
      <c r="A49" s="38" t="s">
        <v>31</v>
      </c>
      <c r="B49" s="43">
        <f>D49*(1+$I$4)</f>
        <v>261.42622</v>
      </c>
      <c r="C49" s="44">
        <f>E49*(1+$I$4)</f>
        <v>2.52813</v>
      </c>
      <c r="D49" s="46">
        <v>252.83</v>
      </c>
      <c r="E49" s="9">
        <v>2.4449999999999998</v>
      </c>
      <c r="F49" s="40">
        <f t="shared" si="4"/>
        <v>514.23921999999993</v>
      </c>
      <c r="G49" s="40">
        <f t="shared" si="1"/>
        <v>6170.8706399999992</v>
      </c>
      <c r="H49" s="9">
        <v>46</v>
      </c>
    </row>
    <row r="50" spans="1:8" ht="21" x14ac:dyDescent="0.35">
      <c r="A50" s="38" t="s">
        <v>30</v>
      </c>
      <c r="B50" s="39">
        <v>202.71</v>
      </c>
      <c r="C50" s="39">
        <v>3.0884999999999998</v>
      </c>
      <c r="D50" s="9"/>
      <c r="E50" s="9"/>
      <c r="F50" s="40">
        <f t="shared" si="4"/>
        <v>511.55999999999995</v>
      </c>
      <c r="G50" s="40">
        <f t="shared" si="1"/>
        <v>6138.7199999999993</v>
      </c>
      <c r="H50" s="9">
        <v>47</v>
      </c>
    </row>
    <row r="51" spans="1:8" x14ac:dyDescent="0.35">
      <c r="A51" s="38" t="s">
        <v>29</v>
      </c>
      <c r="B51" s="43">
        <f>D51*(1+$I$4)</f>
        <v>200.76143999999999</v>
      </c>
      <c r="C51" s="44">
        <f>E51*(1+$I$4)</f>
        <v>3.0287927999999997</v>
      </c>
      <c r="D51" s="9">
        <v>194.16</v>
      </c>
      <c r="E51" s="9">
        <v>2.9291999999999998</v>
      </c>
      <c r="F51" s="40">
        <f t="shared" si="4"/>
        <v>503.64071999999999</v>
      </c>
      <c r="G51" s="40">
        <f t="shared" si="1"/>
        <v>6043.6886400000003</v>
      </c>
      <c r="H51" s="9">
        <v>48</v>
      </c>
    </row>
    <row r="52" spans="1:8" x14ac:dyDescent="0.35">
      <c r="A52" s="38" t="s">
        <v>26</v>
      </c>
      <c r="B52" s="39">
        <v>123.27</v>
      </c>
      <c r="C52" s="39">
        <v>3.7604000000000002</v>
      </c>
      <c r="D52" s="9"/>
      <c r="E52" s="9"/>
      <c r="F52" s="40">
        <f t="shared" si="4"/>
        <v>499.31</v>
      </c>
      <c r="G52" s="40">
        <f t="shared" si="1"/>
        <v>5991.72</v>
      </c>
      <c r="H52" s="9">
        <v>49</v>
      </c>
    </row>
    <row r="53" spans="1:8" x14ac:dyDescent="0.35">
      <c r="A53" s="38" t="s">
        <v>28</v>
      </c>
      <c r="B53" s="39">
        <v>121.69</v>
      </c>
      <c r="C53" s="39">
        <v>3.7545000000000002</v>
      </c>
      <c r="D53" s="9"/>
      <c r="E53" s="9"/>
      <c r="F53" s="40">
        <f t="shared" si="4"/>
        <v>497.14000000000004</v>
      </c>
      <c r="G53" s="40">
        <f t="shared" si="1"/>
        <v>5965.68</v>
      </c>
      <c r="H53" s="9">
        <v>50</v>
      </c>
    </row>
    <row r="54" spans="1:8" ht="21" x14ac:dyDescent="0.35">
      <c r="A54" s="38" t="s">
        <v>25</v>
      </c>
      <c r="B54" s="39">
        <v>85.02</v>
      </c>
      <c r="C54" s="39">
        <v>4.0705</v>
      </c>
      <c r="D54" s="9"/>
      <c r="E54" s="9"/>
      <c r="F54" s="40">
        <f t="shared" si="4"/>
        <v>492.07</v>
      </c>
      <c r="G54" s="40">
        <f t="shared" si="1"/>
        <v>5904.84</v>
      </c>
      <c r="H54" s="9">
        <v>51</v>
      </c>
    </row>
    <row r="55" spans="1:8" x14ac:dyDescent="0.35">
      <c r="A55" s="38" t="s">
        <v>27</v>
      </c>
      <c r="B55" s="43">
        <f>D55*(1+$I$4)</f>
        <v>158.82239999999999</v>
      </c>
      <c r="C55" s="44">
        <f>E55*(1+$I$4)</f>
        <v>3.3456104</v>
      </c>
      <c r="D55" s="9">
        <v>153.6</v>
      </c>
      <c r="E55" s="9">
        <v>3.2355999999999998</v>
      </c>
      <c r="F55" s="40">
        <f t="shared" si="4"/>
        <v>493.38343999999995</v>
      </c>
      <c r="G55" s="40">
        <f t="shared" si="1"/>
        <v>5920.601279999999</v>
      </c>
      <c r="H55" s="9">
        <v>52</v>
      </c>
    </row>
    <row r="56" spans="1:8" ht="21" x14ac:dyDescent="0.35">
      <c r="A56" s="38" t="s">
        <v>23</v>
      </c>
      <c r="B56" s="39">
        <v>112.7</v>
      </c>
      <c r="C56" s="39">
        <v>3.7326000000000001</v>
      </c>
      <c r="D56" s="9"/>
      <c r="E56" s="9"/>
      <c r="F56" s="40">
        <f t="shared" si="4"/>
        <v>485.96</v>
      </c>
      <c r="G56" s="40">
        <f t="shared" si="1"/>
        <v>5831.5199999999995</v>
      </c>
      <c r="H56" s="9">
        <v>53</v>
      </c>
    </row>
    <row r="57" spans="1:8" ht="21" x14ac:dyDescent="0.35">
      <c r="A57" s="38" t="s">
        <v>24</v>
      </c>
      <c r="B57" s="43">
        <f>D57*(1+$I$4)</f>
        <v>113.95714</v>
      </c>
      <c r="C57" s="44">
        <f>E57*(1+$I$4)</f>
        <v>3.7267428000000002</v>
      </c>
      <c r="D57" s="9">
        <v>110.21</v>
      </c>
      <c r="E57" s="9">
        <v>3.6042000000000001</v>
      </c>
      <c r="F57" s="40">
        <f t="shared" si="4"/>
        <v>486.63141999999999</v>
      </c>
      <c r="G57" s="40">
        <f t="shared" si="1"/>
        <v>5839.5770400000001</v>
      </c>
      <c r="H57" s="9">
        <v>54</v>
      </c>
    </row>
    <row r="58" spans="1:8" x14ac:dyDescent="0.35">
      <c r="A58" s="38" t="s">
        <v>22</v>
      </c>
      <c r="B58" s="39">
        <v>96.21</v>
      </c>
      <c r="C58" s="39">
        <v>3.8407</v>
      </c>
      <c r="D58" s="9"/>
      <c r="E58" s="9"/>
      <c r="F58" s="40">
        <f t="shared" si="4"/>
        <v>480.28</v>
      </c>
      <c r="G58" s="40">
        <f t="shared" si="1"/>
        <v>5763.36</v>
      </c>
      <c r="H58" s="9">
        <v>55</v>
      </c>
    </row>
    <row r="59" spans="1:8" ht="21" x14ac:dyDescent="0.35">
      <c r="A59" s="38" t="s">
        <v>21</v>
      </c>
      <c r="B59" s="43">
        <f>D59*(1+$I$4)</f>
        <v>138.05968000000001</v>
      </c>
      <c r="C59" s="44">
        <f>E59*(1+$I$4)</f>
        <v>3.3390961999999997</v>
      </c>
      <c r="D59" s="9">
        <v>133.52000000000001</v>
      </c>
      <c r="E59" s="9">
        <v>3.2292999999999998</v>
      </c>
      <c r="F59" s="40">
        <f t="shared" si="4"/>
        <v>471.96929999999998</v>
      </c>
      <c r="G59" s="40">
        <f t="shared" si="1"/>
        <v>5663.6315999999997</v>
      </c>
      <c r="H59" s="9">
        <v>56</v>
      </c>
    </row>
    <row r="60" spans="1:8" x14ac:dyDescent="0.35">
      <c r="A60" s="38" t="s">
        <v>14</v>
      </c>
      <c r="B60" s="39">
        <v>86.74</v>
      </c>
      <c r="C60" s="39">
        <v>3.8012999999999999</v>
      </c>
      <c r="D60" s="9"/>
      <c r="E60" s="9"/>
      <c r="F60" s="40">
        <f t="shared" si="4"/>
        <v>466.87</v>
      </c>
      <c r="G60" s="40">
        <f t="shared" si="1"/>
        <v>5602.4400000000005</v>
      </c>
      <c r="H60" s="9">
        <v>57</v>
      </c>
    </row>
    <row r="61" spans="1:8" ht="21" x14ac:dyDescent="0.35">
      <c r="A61" s="38" t="s">
        <v>19</v>
      </c>
      <c r="B61" s="39">
        <v>141.25</v>
      </c>
      <c r="C61" s="39">
        <v>3.1991999999999998</v>
      </c>
      <c r="D61" s="9"/>
      <c r="E61" s="9"/>
      <c r="F61" s="40">
        <f t="shared" si="4"/>
        <v>461.16999999999996</v>
      </c>
      <c r="G61" s="40">
        <f t="shared" si="1"/>
        <v>5534.0399999999991</v>
      </c>
      <c r="H61" s="9">
        <v>58</v>
      </c>
    </row>
    <row r="62" spans="1:8" ht="21" x14ac:dyDescent="0.35">
      <c r="A62" s="38" t="s">
        <v>20</v>
      </c>
      <c r="B62" s="43">
        <f t="shared" ref="B62:C65" si="5">D62*(1+$I$4)</f>
        <v>72.049120000000016</v>
      </c>
      <c r="C62" s="44">
        <f t="shared" si="5"/>
        <v>3.9011786000000002</v>
      </c>
      <c r="D62" s="9">
        <v>69.680000000000007</v>
      </c>
      <c r="E62" s="9">
        <v>3.7728999999999999</v>
      </c>
      <c r="F62" s="40">
        <f t="shared" si="4"/>
        <v>462.16698000000002</v>
      </c>
      <c r="G62" s="40">
        <f t="shared" si="1"/>
        <v>5546.0037600000005</v>
      </c>
      <c r="H62" s="9">
        <v>59</v>
      </c>
    </row>
    <row r="63" spans="1:8" x14ac:dyDescent="0.35">
      <c r="A63" s="38" t="s">
        <v>17</v>
      </c>
      <c r="B63" s="43">
        <f t="shared" si="5"/>
        <v>92.377560000000003</v>
      </c>
      <c r="C63" s="44">
        <f t="shared" si="5"/>
        <v>3.5354528000000003</v>
      </c>
      <c r="D63" s="9">
        <v>89.34</v>
      </c>
      <c r="E63" s="9">
        <v>3.4192</v>
      </c>
      <c r="F63" s="40">
        <f t="shared" si="4"/>
        <v>445.92284000000006</v>
      </c>
      <c r="G63" s="40">
        <f t="shared" si="1"/>
        <v>5351.0740800000003</v>
      </c>
      <c r="H63" s="9">
        <v>60</v>
      </c>
    </row>
    <row r="64" spans="1:8" x14ac:dyDescent="0.35">
      <c r="A64" s="38" t="s">
        <v>16</v>
      </c>
      <c r="B64" s="43">
        <f t="shared" si="5"/>
        <v>188.37412</v>
      </c>
      <c r="C64" s="44">
        <f t="shared" si="5"/>
        <v>2.5292674000000002</v>
      </c>
      <c r="D64" s="9">
        <v>182.18</v>
      </c>
      <c r="E64" s="9">
        <v>2.4460999999999999</v>
      </c>
      <c r="F64" s="40">
        <f t="shared" si="4"/>
        <v>441.30086000000006</v>
      </c>
      <c r="G64" s="40">
        <f t="shared" si="1"/>
        <v>5295.6103200000007</v>
      </c>
      <c r="H64" s="9">
        <v>61</v>
      </c>
    </row>
    <row r="65" spans="1:8" ht="21" x14ac:dyDescent="0.35">
      <c r="A65" s="38" t="s">
        <v>15</v>
      </c>
      <c r="B65" s="43">
        <f t="shared" si="5"/>
        <v>171.22006000000002</v>
      </c>
      <c r="C65" s="44">
        <f t="shared" si="5"/>
        <v>2.6763021999999999</v>
      </c>
      <c r="D65" s="9">
        <v>165.59</v>
      </c>
      <c r="E65" s="9">
        <v>2.5882999999999998</v>
      </c>
      <c r="F65" s="40">
        <f t="shared" si="4"/>
        <v>438.85028</v>
      </c>
      <c r="G65" s="40">
        <f t="shared" si="1"/>
        <v>5266.2033599999995</v>
      </c>
      <c r="H65" s="9">
        <v>62</v>
      </c>
    </row>
    <row r="66" spans="1:8" ht="21" x14ac:dyDescent="0.35">
      <c r="A66" s="38" t="s">
        <v>18</v>
      </c>
      <c r="B66" s="39">
        <v>160.31</v>
      </c>
      <c r="C66" s="39">
        <v>2.7323</v>
      </c>
      <c r="D66" s="9"/>
      <c r="E66" s="9"/>
      <c r="F66" s="40">
        <f t="shared" si="4"/>
        <v>433.54</v>
      </c>
      <c r="G66" s="40">
        <f t="shared" si="1"/>
        <v>5202.4800000000005</v>
      </c>
      <c r="H66" s="9">
        <v>63</v>
      </c>
    </row>
    <row r="67" spans="1:8" ht="21" x14ac:dyDescent="0.35">
      <c r="A67" s="38" t="s">
        <v>13</v>
      </c>
      <c r="B67" s="43">
        <f t="shared" ref="B67:C74" si="6">D67*(1+$I$4)</f>
        <v>151.44998000000001</v>
      </c>
      <c r="C67" s="44">
        <f t="shared" si="6"/>
        <v>2.789215</v>
      </c>
      <c r="D67" s="9">
        <v>146.47</v>
      </c>
      <c r="E67" s="9">
        <v>2.6974999999999998</v>
      </c>
      <c r="F67" s="40">
        <f t="shared" si="4"/>
        <v>430.37148000000002</v>
      </c>
      <c r="G67" s="40">
        <f t="shared" si="1"/>
        <v>5164.4577600000002</v>
      </c>
      <c r="H67" s="9">
        <v>64</v>
      </c>
    </row>
    <row r="68" spans="1:8" x14ac:dyDescent="0.35">
      <c r="A68" s="38" t="s">
        <v>12</v>
      </c>
      <c r="B68" s="43">
        <f t="shared" si="6"/>
        <v>72.555779999999999</v>
      </c>
      <c r="C68" s="44">
        <f t="shared" si="6"/>
        <v>3.5545818000000002</v>
      </c>
      <c r="D68" s="9">
        <v>70.17</v>
      </c>
      <c r="E68" s="9">
        <v>3.4377</v>
      </c>
      <c r="F68" s="40">
        <f t="shared" si="4"/>
        <v>428.01396</v>
      </c>
      <c r="G68" s="40">
        <f t="shared" ref="G68:G76" si="7">F68*12</f>
        <v>5136.16752</v>
      </c>
      <c r="H68" s="9">
        <v>65</v>
      </c>
    </row>
    <row r="69" spans="1:8" x14ac:dyDescent="0.35">
      <c r="A69" s="38" t="s">
        <v>11</v>
      </c>
      <c r="B69" s="43">
        <f t="shared" si="6"/>
        <v>152.24616</v>
      </c>
      <c r="C69" s="44">
        <f t="shared" si="6"/>
        <v>2.3023044000000001</v>
      </c>
      <c r="D69" s="9">
        <v>147.24</v>
      </c>
      <c r="E69" s="9">
        <v>2.2265999999999999</v>
      </c>
      <c r="F69" s="40">
        <f t="shared" ref="F69:F74" si="8">B69+(C69*$I$3)</f>
        <v>382.47660000000002</v>
      </c>
      <c r="G69" s="40">
        <f t="shared" si="7"/>
        <v>4589.7192000000005</v>
      </c>
      <c r="H69" s="9">
        <v>66</v>
      </c>
    </row>
    <row r="70" spans="1:8" x14ac:dyDescent="0.35">
      <c r="A70" s="38" t="s">
        <v>10</v>
      </c>
      <c r="B70" s="43">
        <f t="shared" si="6"/>
        <v>185.93387999999999</v>
      </c>
      <c r="C70" s="44">
        <f t="shared" si="6"/>
        <v>1.664223</v>
      </c>
      <c r="D70" s="9">
        <v>179.82</v>
      </c>
      <c r="E70" s="9">
        <v>1.6094999999999999</v>
      </c>
      <c r="F70" s="40">
        <f t="shared" si="8"/>
        <v>352.35617999999999</v>
      </c>
      <c r="G70" s="40">
        <f t="shared" si="7"/>
        <v>4228.2741599999999</v>
      </c>
      <c r="H70" s="9">
        <v>67</v>
      </c>
    </row>
    <row r="71" spans="1:8" x14ac:dyDescent="0.35">
      <c r="A71" s="38" t="s">
        <v>9</v>
      </c>
      <c r="B71" s="43">
        <f t="shared" si="6"/>
        <v>219.14596</v>
      </c>
      <c r="C71" s="44">
        <f t="shared" si="6"/>
        <v>1.2631344</v>
      </c>
      <c r="D71" s="9">
        <v>211.94</v>
      </c>
      <c r="E71" s="9">
        <v>1.2216</v>
      </c>
      <c r="F71" s="40">
        <f t="shared" si="8"/>
        <v>345.45940000000002</v>
      </c>
      <c r="G71" s="40">
        <f t="shared" si="7"/>
        <v>4145.5128000000004</v>
      </c>
      <c r="H71" s="9">
        <v>68</v>
      </c>
    </row>
    <row r="72" spans="1:8" x14ac:dyDescent="0.35">
      <c r="A72" s="38" t="s">
        <v>8</v>
      </c>
      <c r="B72" s="43">
        <f t="shared" si="6"/>
        <v>111.672</v>
      </c>
      <c r="C72" s="44">
        <f t="shared" si="6"/>
        <v>2.3247422000000002</v>
      </c>
      <c r="D72" s="9">
        <v>108</v>
      </c>
      <c r="E72" s="9">
        <v>2.2483</v>
      </c>
      <c r="F72" s="40">
        <f t="shared" si="8"/>
        <v>344.14622000000003</v>
      </c>
      <c r="G72" s="40">
        <f t="shared" si="7"/>
        <v>4129.7546400000001</v>
      </c>
      <c r="H72" s="9">
        <v>69</v>
      </c>
    </row>
    <row r="73" spans="1:8" x14ac:dyDescent="0.35">
      <c r="A73" s="38" t="s">
        <v>7</v>
      </c>
      <c r="B73" s="43">
        <f t="shared" si="6"/>
        <v>92.015659999999997</v>
      </c>
      <c r="C73" s="44">
        <f t="shared" si="6"/>
        <v>1.641475</v>
      </c>
      <c r="D73" s="1">
        <v>88.99</v>
      </c>
      <c r="E73" s="47">
        <v>1.5874999999999999</v>
      </c>
      <c r="F73" s="40">
        <f t="shared" si="8"/>
        <v>256.16316</v>
      </c>
      <c r="G73" s="40">
        <f t="shared" si="7"/>
        <v>3073.9579199999998</v>
      </c>
      <c r="H73" s="9">
        <v>70</v>
      </c>
    </row>
    <row r="74" spans="1:8" x14ac:dyDescent="0.35">
      <c r="A74" s="48" t="s">
        <v>6</v>
      </c>
      <c r="B74" s="49">
        <f t="shared" si="6"/>
        <v>60.065060000000003</v>
      </c>
      <c r="C74" s="50">
        <f t="shared" si="6"/>
        <v>1.8901520000000001</v>
      </c>
      <c r="D74" s="1">
        <v>58.09</v>
      </c>
      <c r="E74" s="1">
        <v>1.8280000000000001</v>
      </c>
      <c r="F74" s="51">
        <f t="shared" si="8"/>
        <v>249.08026000000001</v>
      </c>
      <c r="G74" s="51">
        <f t="shared" si="7"/>
        <v>2988.9631200000003</v>
      </c>
      <c r="H74" s="9">
        <v>71</v>
      </c>
    </row>
    <row r="75" spans="1:8" x14ac:dyDescent="0.35">
      <c r="A75" s="52" t="s">
        <v>5</v>
      </c>
      <c r="B75" s="53"/>
      <c r="C75" s="54"/>
      <c r="D75" s="53"/>
      <c r="E75" s="53"/>
      <c r="F75" s="55">
        <f>AVERAGE(F4:F74)</f>
        <v>616.74812732394366</v>
      </c>
      <c r="G75" s="55">
        <f t="shared" si="7"/>
        <v>7400.977527887324</v>
      </c>
      <c r="H75" s="53"/>
    </row>
    <row r="76" spans="1:8" x14ac:dyDescent="0.35">
      <c r="A76" s="52" t="s">
        <v>4</v>
      </c>
      <c r="B76" s="53"/>
      <c r="C76" s="53"/>
      <c r="D76" s="53"/>
      <c r="E76" s="53"/>
      <c r="F76" s="55">
        <f>AVERAGE(F4:F16,F18:F74)</f>
        <v>615.35638628571428</v>
      </c>
      <c r="G76" s="55">
        <f t="shared" si="7"/>
        <v>7384.2766354285714</v>
      </c>
      <c r="H76" s="53"/>
    </row>
    <row r="78" spans="1:8" x14ac:dyDescent="0.35">
      <c r="C78" s="1" t="s">
        <v>3</v>
      </c>
      <c r="D78" s="3"/>
      <c r="G78" s="3">
        <f>(G17-G76)/G76</f>
        <v>0.1605794884338877</v>
      </c>
    </row>
    <row r="79" spans="1:8" x14ac:dyDescent="0.35">
      <c r="C79" s="1" t="s">
        <v>2</v>
      </c>
      <c r="D79" s="3"/>
      <c r="G79" s="3">
        <f>(G17-G74)/G74</f>
        <v>1.8672284186631249</v>
      </c>
    </row>
    <row r="80" spans="1:8" x14ac:dyDescent="0.35">
      <c r="C80" s="1" t="s">
        <v>1</v>
      </c>
      <c r="D80" s="3"/>
      <c r="G80" s="3">
        <f>(G17-G4)/G28</f>
        <v>-2.0266429304206146</v>
      </c>
    </row>
    <row r="82" spans="1:1" x14ac:dyDescent="0.35">
      <c r="A82" s="1" t="s">
        <v>127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topLeftCell="E1" workbookViewId="0">
      <selection activeCell="F10" sqref="F10"/>
    </sheetView>
  </sheetViews>
  <sheetFormatPr defaultColWidth="12.453125" defaultRowHeight="15.5" x14ac:dyDescent="0.35"/>
  <cols>
    <col min="1" max="1" width="10.453125" style="68" customWidth="1"/>
    <col min="2" max="2" width="5.26953125" style="68" hidden="1" customWidth="1"/>
    <col min="3" max="3" width="12.453125" style="68" hidden="1" customWidth="1"/>
    <col min="4" max="4" width="71.81640625" style="68" bestFit="1" customWidth="1"/>
    <col min="5" max="5" width="16.453125" style="70" bestFit="1" customWidth="1"/>
    <col min="6" max="6" width="117" style="68" bestFit="1" customWidth="1"/>
    <col min="7" max="16384" width="12.453125" style="68"/>
  </cols>
  <sheetData>
    <row r="2" spans="4:6" x14ac:dyDescent="0.35">
      <c r="D2" s="65" t="s">
        <v>130</v>
      </c>
      <c r="E2" s="66" t="s">
        <v>131</v>
      </c>
      <c r="F2" s="67" t="s">
        <v>143</v>
      </c>
    </row>
    <row r="3" spans="4:6" x14ac:dyDescent="0.35">
      <c r="D3" s="65"/>
      <c r="E3" s="66"/>
      <c r="F3" s="67"/>
    </row>
    <row r="4" spans="4:6" x14ac:dyDescent="0.35">
      <c r="D4" s="69" t="s">
        <v>86</v>
      </c>
    </row>
    <row r="5" spans="4:6" x14ac:dyDescent="0.35">
      <c r="D5" s="69" t="s">
        <v>84</v>
      </c>
      <c r="E5" s="70">
        <v>9034</v>
      </c>
      <c r="F5" s="71" t="s">
        <v>132</v>
      </c>
    </row>
    <row r="6" spans="4:6" x14ac:dyDescent="0.35">
      <c r="D6" s="69" t="s">
        <v>82</v>
      </c>
      <c r="E6" s="70">
        <v>16</v>
      </c>
    </row>
    <row r="7" spans="4:6" x14ac:dyDescent="0.35">
      <c r="D7" s="69" t="s">
        <v>80</v>
      </c>
      <c r="E7" s="70">
        <v>196</v>
      </c>
    </row>
    <row r="8" spans="4:6" x14ac:dyDescent="0.35">
      <c r="D8" s="69" t="s">
        <v>78</v>
      </c>
      <c r="E8" s="70">
        <v>10286</v>
      </c>
    </row>
    <row r="9" spans="4:6" x14ac:dyDescent="0.35">
      <c r="D9" s="69" t="s">
        <v>76</v>
      </c>
      <c r="E9" s="70">
        <v>370</v>
      </c>
    </row>
    <row r="10" spans="4:6" x14ac:dyDescent="0.35">
      <c r="D10" s="69" t="s">
        <v>72</v>
      </c>
      <c r="E10" s="70">
        <v>3256</v>
      </c>
    </row>
    <row r="11" spans="4:6" x14ac:dyDescent="0.35">
      <c r="D11" s="69" t="s">
        <v>74</v>
      </c>
      <c r="E11" s="72">
        <v>533</v>
      </c>
      <c r="F11" s="71" t="s">
        <v>133</v>
      </c>
    </row>
    <row r="12" spans="4:6" x14ac:dyDescent="0.35">
      <c r="D12" s="69" t="s">
        <v>70</v>
      </c>
      <c r="E12" s="70">
        <v>12</v>
      </c>
      <c r="F12" s="71"/>
    </row>
    <row r="13" spans="4:6" x14ac:dyDescent="0.35">
      <c r="D13" s="69" t="s">
        <v>68</v>
      </c>
      <c r="E13" s="70">
        <v>243</v>
      </c>
      <c r="F13" s="71"/>
    </row>
    <row r="14" spans="4:6" x14ac:dyDescent="0.35">
      <c r="D14" s="69" t="s">
        <v>65</v>
      </c>
      <c r="E14" s="70">
        <v>13762</v>
      </c>
      <c r="F14" s="71" t="s">
        <v>134</v>
      </c>
    </row>
    <row r="15" spans="4:6" x14ac:dyDescent="0.35">
      <c r="D15" s="69" t="s">
        <v>64</v>
      </c>
      <c r="E15" s="70">
        <v>471</v>
      </c>
    </row>
    <row r="16" spans="4:6" x14ac:dyDescent="0.35">
      <c r="D16" s="69" t="s">
        <v>63</v>
      </c>
      <c r="E16" s="70">
        <v>79</v>
      </c>
    </row>
    <row r="20" spans="4:6" x14ac:dyDescent="0.35">
      <c r="D20" s="69" t="s">
        <v>135</v>
      </c>
      <c r="E20" s="70">
        <v>54040</v>
      </c>
    </row>
    <row r="22" spans="4:6" ht="31" x14ac:dyDescent="0.35">
      <c r="D22" s="69" t="s">
        <v>136</v>
      </c>
      <c r="E22" s="70">
        <f>SUM(E5:E16)-E14-E11</f>
        <v>23963</v>
      </c>
      <c r="F22" s="67" t="s">
        <v>137</v>
      </c>
    </row>
    <row r="23" spans="4:6" x14ac:dyDescent="0.35">
      <c r="D23" s="68" t="s">
        <v>138</v>
      </c>
      <c r="E23" s="73">
        <f>E22/E20</f>
        <v>0.44343079200592156</v>
      </c>
    </row>
    <row r="25" spans="4:6" x14ac:dyDescent="0.35">
      <c r="D25" s="68" t="s">
        <v>139</v>
      </c>
      <c r="E25" s="70">
        <v>2017</v>
      </c>
      <c r="F25" s="74" t="s">
        <v>140</v>
      </c>
    </row>
    <row r="26" spans="4:6" ht="31" x14ac:dyDescent="0.35">
      <c r="D26" s="69" t="s">
        <v>141</v>
      </c>
      <c r="E26" s="70">
        <f>E22+E25</f>
        <v>25980</v>
      </c>
    </row>
    <row r="28" spans="4:6" x14ac:dyDescent="0.35">
      <c r="D28" s="68" t="s">
        <v>142</v>
      </c>
      <c r="E28" s="73">
        <f>E26/E20</f>
        <v>0.48075499629903773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SEC 30</vt:lpstr>
      <vt:lpstr>2022 Summarized </vt:lpstr>
      <vt:lpstr>2023 summarized</vt:lpstr>
      <vt:lpstr>Number of GSGT50 customers</vt:lpstr>
      <vt:lpstr>'2022 Summarized '!Print_Titles</vt:lpstr>
    </vt:vector>
  </TitlesOfParts>
  <Company>BWP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Dugas</dc:creator>
  <cp:lastModifiedBy>Leslie Dugas</cp:lastModifiedBy>
  <cp:lastPrinted>2023-02-10T22:41:53Z</cp:lastPrinted>
  <dcterms:created xsi:type="dcterms:W3CDTF">2023-02-06T13:41:51Z</dcterms:created>
  <dcterms:modified xsi:type="dcterms:W3CDTF">2023-02-13T17:51:13Z</dcterms:modified>
</cp:coreProperties>
</file>