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xr:revisionPtr revIDLastSave="0" documentId="8_{62FEC560-DD15-4CA7-BAEF-AC622E53C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1" l="1"/>
  <c r="D36" i="11"/>
  <c r="K33" i="11"/>
  <c r="K36" i="11" s="1"/>
  <c r="I32" i="11"/>
  <c r="I36" i="11" s="1"/>
  <c r="G32" i="11"/>
  <c r="E32" i="11"/>
  <c r="E36" i="11" s="1"/>
  <c r="C32" i="11"/>
  <c r="C36" i="11" s="1"/>
  <c r="K30" i="11"/>
  <c r="L30" i="11" s="1"/>
  <c r="G30" i="11"/>
  <c r="H30" i="11" s="1"/>
  <c r="F30" i="11"/>
  <c r="E30" i="11"/>
  <c r="C30" i="11"/>
  <c r="D30" i="11" s="1"/>
  <c r="K27" i="11"/>
  <c r="I27" i="11"/>
  <c r="I30" i="11" s="1"/>
  <c r="J30" i="11" s="1"/>
  <c r="G27" i="11"/>
  <c r="C27" i="11"/>
  <c r="E24" i="11"/>
  <c r="I17" i="11"/>
  <c r="G17" i="11"/>
  <c r="E17" i="11"/>
  <c r="E19" i="11" s="1"/>
  <c r="F19" i="11" s="1"/>
  <c r="C17" i="11"/>
  <c r="K16" i="11"/>
  <c r="I16" i="11"/>
  <c r="G16" i="11"/>
  <c r="E16" i="11"/>
  <c r="C16" i="11"/>
  <c r="K15" i="11"/>
  <c r="I15" i="11"/>
  <c r="G15" i="11"/>
  <c r="E15" i="11"/>
  <c r="C15" i="11"/>
  <c r="K12" i="11"/>
  <c r="I12" i="11"/>
  <c r="G12" i="11"/>
  <c r="C12" i="11"/>
  <c r="K9" i="11"/>
  <c r="I9" i="11"/>
  <c r="G9" i="11"/>
  <c r="C9" i="11"/>
  <c r="K8" i="11"/>
  <c r="I8" i="11"/>
  <c r="G8" i="11"/>
  <c r="G19" i="11" s="1"/>
  <c r="H19" i="11" s="1"/>
  <c r="C8" i="11"/>
  <c r="V17" i="6"/>
  <c r="R17" i="6"/>
  <c r="H17" i="6"/>
  <c r="D17" i="6"/>
  <c r="V16" i="6"/>
  <c r="U16" i="6"/>
  <c r="M16" i="6"/>
  <c r="D16" i="6"/>
  <c r="C16" i="6"/>
  <c r="V14" i="6"/>
  <c r="U14" i="6"/>
  <c r="U17" i="6" s="1"/>
  <c r="T14" i="6"/>
  <c r="S14" i="6"/>
  <c r="R14" i="6"/>
  <c r="Q14" i="6"/>
  <c r="P14" i="6"/>
  <c r="P17" i="6" s="1"/>
  <c r="O14" i="6"/>
  <c r="N14" i="6"/>
  <c r="N17" i="6" s="1"/>
  <c r="M14" i="6"/>
  <c r="M17" i="6" s="1"/>
  <c r="L14" i="6"/>
  <c r="K14" i="6"/>
  <c r="H14" i="6"/>
  <c r="G14" i="6"/>
  <c r="F14" i="6"/>
  <c r="F17" i="6" s="1"/>
  <c r="E14" i="6"/>
  <c r="D14" i="6"/>
  <c r="C14" i="6"/>
  <c r="C17" i="6" s="1"/>
  <c r="B14" i="6"/>
  <c r="V9" i="6"/>
  <c r="U9" i="6"/>
  <c r="T9" i="6"/>
  <c r="T16" i="6" s="1"/>
  <c r="S9" i="6"/>
  <c r="S16" i="6" s="1"/>
  <c r="Q9" i="6"/>
  <c r="Q16" i="6" s="1"/>
  <c r="N9" i="6"/>
  <c r="M9" i="6"/>
  <c r="L9" i="6"/>
  <c r="L16" i="6" s="1"/>
  <c r="K9" i="6"/>
  <c r="K17" i="6" s="1"/>
  <c r="H9" i="6"/>
  <c r="H16" i="6" s="1"/>
  <c r="G9" i="6"/>
  <c r="G16" i="6" s="1"/>
  <c r="E9" i="6"/>
  <c r="E16" i="6" s="1"/>
  <c r="D9" i="6"/>
  <c r="C9" i="6"/>
  <c r="B9" i="6"/>
  <c r="B16" i="6" s="1"/>
  <c r="S6" i="6"/>
  <c r="R6" i="6"/>
  <c r="R9" i="6" s="1"/>
  <c r="R16" i="6" s="1"/>
  <c r="Q6" i="6"/>
  <c r="P6" i="6"/>
  <c r="P9" i="6" s="1"/>
  <c r="O6" i="6"/>
  <c r="O9" i="6" s="1"/>
  <c r="O16" i="6" s="1"/>
  <c r="K6" i="6"/>
  <c r="F6" i="6"/>
  <c r="F9" i="6" s="1"/>
  <c r="L16" i="8"/>
  <c r="K16" i="8"/>
  <c r="J16" i="8"/>
  <c r="I16" i="8"/>
  <c r="I7" i="8" s="1"/>
  <c r="I8" i="8" s="1"/>
  <c r="E16" i="8"/>
  <c r="E7" i="8" s="1"/>
  <c r="E8" i="8" s="1"/>
  <c r="D16" i="8"/>
  <c r="C16" i="8"/>
  <c r="B16" i="8"/>
  <c r="I12" i="8"/>
  <c r="F12" i="8"/>
  <c r="F16" i="8" s="1"/>
  <c r="F7" i="8" s="1"/>
  <c r="J8" i="8"/>
  <c r="F8" i="8"/>
  <c r="D8" i="8"/>
  <c r="C8" i="8"/>
  <c r="J7" i="8"/>
  <c r="D7" i="8"/>
  <c r="C7" i="8"/>
  <c r="B7" i="8"/>
  <c r="B8" i="8" s="1"/>
  <c r="AB115" i="2"/>
  <c r="AA115" i="2"/>
  <c r="Z115" i="2"/>
  <c r="Y115" i="2"/>
  <c r="X115" i="2"/>
  <c r="T115" i="2"/>
  <c r="P115" i="2"/>
  <c r="L115" i="2"/>
  <c r="H115" i="2"/>
  <c r="D115" i="2"/>
  <c r="Z87" i="2"/>
  <c r="AB86" i="2"/>
  <c r="AA86" i="2"/>
  <c r="Z86" i="2"/>
  <c r="Y86" i="2"/>
  <c r="X86" i="2"/>
  <c r="X87" i="2" s="1"/>
  <c r="W85" i="2"/>
  <c r="W115" i="2" s="1"/>
  <c r="V85" i="2"/>
  <c r="V115" i="2" s="1"/>
  <c r="U85" i="2"/>
  <c r="U115" i="2" s="1"/>
  <c r="T85" i="2"/>
  <c r="S85" i="2"/>
  <c r="S115" i="2" s="1"/>
  <c r="R85" i="2"/>
  <c r="R115" i="2" s="1"/>
  <c r="Q85" i="2"/>
  <c r="Q115" i="2" s="1"/>
  <c r="P85" i="2"/>
  <c r="O85" i="2"/>
  <c r="O115" i="2" s="1"/>
  <c r="N85" i="2"/>
  <c r="N115" i="2" s="1"/>
  <c r="M85" i="2"/>
  <c r="M115" i="2" s="1"/>
  <c r="L85" i="2"/>
  <c r="K85" i="2"/>
  <c r="K115" i="2" s="1"/>
  <c r="J85" i="2"/>
  <c r="J115" i="2" s="1"/>
  <c r="I85" i="2"/>
  <c r="I115" i="2" s="1"/>
  <c r="H85" i="2"/>
  <c r="G85" i="2"/>
  <c r="G115" i="2" s="1"/>
  <c r="F85" i="2"/>
  <c r="C85" i="2" s="1"/>
  <c r="E85" i="2"/>
  <c r="E115" i="2" s="1"/>
  <c r="D85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C83" i="2" s="1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C81" i="2" s="1"/>
  <c r="D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C80" i="2" s="1"/>
  <c r="D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 s="1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 s="1"/>
  <c r="W77" i="2"/>
  <c r="V77" i="2"/>
  <c r="U77" i="2"/>
  <c r="T77" i="2"/>
  <c r="S77" i="2"/>
  <c r="R77" i="2"/>
  <c r="Q77" i="2"/>
  <c r="P77" i="2"/>
  <c r="O77" i="2"/>
  <c r="N77" i="2"/>
  <c r="N84" i="2" s="1"/>
  <c r="M77" i="2"/>
  <c r="L77" i="2"/>
  <c r="K77" i="2"/>
  <c r="J77" i="2"/>
  <c r="I77" i="2"/>
  <c r="H77" i="2"/>
  <c r="G77" i="2"/>
  <c r="F77" i="2"/>
  <c r="E77" i="2"/>
  <c r="D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C76" i="2" s="1"/>
  <c r="I76" i="2"/>
  <c r="H76" i="2"/>
  <c r="G76" i="2"/>
  <c r="F76" i="2"/>
  <c r="E76" i="2"/>
  <c r="D76" i="2"/>
  <c r="W75" i="2"/>
  <c r="W84" i="2" s="1"/>
  <c r="V75" i="2"/>
  <c r="U75" i="2"/>
  <c r="T75" i="2"/>
  <c r="S75" i="2"/>
  <c r="S84" i="2" s="1"/>
  <c r="R75" i="2"/>
  <c r="Q75" i="2"/>
  <c r="P75" i="2"/>
  <c r="P84" i="2" s="1"/>
  <c r="O75" i="2"/>
  <c r="O84" i="2" s="1"/>
  <c r="N75" i="2"/>
  <c r="M75" i="2"/>
  <c r="L75" i="2"/>
  <c r="K75" i="2"/>
  <c r="K84" i="2" s="1"/>
  <c r="J75" i="2"/>
  <c r="I75" i="2"/>
  <c r="I84" i="2" s="1"/>
  <c r="H75" i="2"/>
  <c r="H84" i="2" s="1"/>
  <c r="G75" i="2"/>
  <c r="F75" i="2"/>
  <c r="E75" i="2"/>
  <c r="D75" i="2"/>
  <c r="U73" i="2"/>
  <c r="M73" i="2"/>
  <c r="L73" i="2"/>
  <c r="E73" i="2"/>
  <c r="D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 s="1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C67" i="2" s="1"/>
  <c r="I67" i="2"/>
  <c r="H67" i="2"/>
  <c r="G67" i="2"/>
  <c r="F67" i="2"/>
  <c r="E67" i="2"/>
  <c r="D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C66" i="2" s="1"/>
  <c r="F66" i="2"/>
  <c r="E66" i="2"/>
  <c r="D66" i="2"/>
  <c r="W65" i="2"/>
  <c r="V65" i="2"/>
  <c r="U65" i="2"/>
  <c r="T65" i="2"/>
  <c r="T73" i="2" s="1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W64" i="2"/>
  <c r="W73" i="2" s="1"/>
  <c r="V64" i="2"/>
  <c r="U64" i="2"/>
  <c r="T64" i="2"/>
  <c r="S64" i="2"/>
  <c r="S73" i="2" s="1"/>
  <c r="R64" i="2"/>
  <c r="R73" i="2" s="1"/>
  <c r="Q64" i="2"/>
  <c r="P64" i="2"/>
  <c r="O64" i="2"/>
  <c r="O73" i="2" s="1"/>
  <c r="N64" i="2"/>
  <c r="M64" i="2"/>
  <c r="L64" i="2"/>
  <c r="K64" i="2"/>
  <c r="K73" i="2" s="1"/>
  <c r="J64" i="2"/>
  <c r="J73" i="2" s="1"/>
  <c r="I64" i="2"/>
  <c r="H64" i="2"/>
  <c r="G64" i="2"/>
  <c r="G73" i="2" s="1"/>
  <c r="F64" i="2"/>
  <c r="E64" i="2"/>
  <c r="C64" i="2" s="1"/>
  <c r="D64" i="2"/>
  <c r="D27" i="2"/>
  <c r="D22" i="2"/>
  <c r="E16" i="2"/>
  <c r="D16" i="2"/>
  <c r="D15" i="2"/>
  <c r="D14" i="2"/>
  <c r="D13" i="2"/>
  <c r="F12" i="2"/>
  <c r="E12" i="2"/>
  <c r="D12" i="2"/>
  <c r="D23" i="2" s="1"/>
  <c r="D11" i="2"/>
  <c r="D10" i="2"/>
  <c r="E9" i="2"/>
  <c r="D9" i="2"/>
  <c r="I78" i="7"/>
  <c r="C62" i="7"/>
  <c r="I58" i="7"/>
  <c r="F45" i="7"/>
  <c r="F44" i="7"/>
  <c r="F43" i="7"/>
  <c r="F41" i="7"/>
  <c r="F40" i="7"/>
  <c r="F38" i="7"/>
  <c r="F37" i="7"/>
  <c r="F36" i="7"/>
  <c r="F34" i="7"/>
  <c r="F33" i="7"/>
  <c r="I27" i="7"/>
  <c r="H27" i="7"/>
  <c r="Q22" i="7"/>
  <c r="P22" i="7"/>
  <c r="O22" i="7"/>
  <c r="I22" i="7"/>
  <c r="H22" i="7"/>
  <c r="G22" i="7"/>
  <c r="Y21" i="7"/>
  <c r="X21" i="7"/>
  <c r="W21" i="7"/>
  <c r="V21" i="7"/>
  <c r="U21" i="7"/>
  <c r="T21" i="7"/>
  <c r="S21" i="7"/>
  <c r="R21" i="7"/>
  <c r="Q21" i="7"/>
  <c r="P21" i="7"/>
  <c r="O21" i="7"/>
  <c r="N21" i="7"/>
  <c r="N22" i="7" s="1"/>
  <c r="M18" i="1" s="1"/>
  <c r="M21" i="7"/>
  <c r="M22" i="7" s="1"/>
  <c r="L21" i="7"/>
  <c r="L22" i="7" s="1"/>
  <c r="K21" i="7"/>
  <c r="K22" i="7" s="1"/>
  <c r="J21" i="7"/>
  <c r="J22" i="7" s="1"/>
  <c r="I21" i="7"/>
  <c r="H21" i="7"/>
  <c r="G21" i="7"/>
  <c r="G27" i="7" s="1"/>
  <c r="F21" i="7"/>
  <c r="F27" i="7" s="1"/>
  <c r="Z20" i="7"/>
  <c r="Z19" i="7"/>
  <c r="Z18" i="7"/>
  <c r="Z17" i="7"/>
  <c r="Z16" i="7"/>
  <c r="Z15" i="7"/>
  <c r="G117" i="1"/>
  <c r="F117" i="1"/>
  <c r="E117" i="1"/>
  <c r="G115" i="1"/>
  <c r="H115" i="1" s="1"/>
  <c r="F115" i="1"/>
  <c r="J111" i="1"/>
  <c r="K111" i="1" s="1"/>
  <c r="G111" i="1"/>
  <c r="H111" i="1" s="1"/>
  <c r="I111" i="1" s="1"/>
  <c r="E106" i="1"/>
  <c r="D1" i="2" s="1"/>
  <c r="J105" i="1"/>
  <c r="I105" i="1"/>
  <c r="H105" i="1"/>
  <c r="G105" i="1"/>
  <c r="F105" i="1"/>
  <c r="E105" i="1"/>
  <c r="F104" i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E104" i="1"/>
  <c r="E103" i="1"/>
  <c r="F103" i="1" s="1"/>
  <c r="G103" i="1" s="1"/>
  <c r="G102" i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F102" i="1"/>
  <c r="G101" i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F101" i="1"/>
  <c r="E101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X63" i="1"/>
  <c r="W62" i="2" s="1"/>
  <c r="W86" i="2" s="1"/>
  <c r="W63" i="1"/>
  <c r="V62" i="2" s="1"/>
  <c r="T63" i="1"/>
  <c r="S62" i="2" s="1"/>
  <c r="S86" i="2" s="1"/>
  <c r="P63" i="1"/>
  <c r="O62" i="2" s="1"/>
  <c r="O86" i="2" s="1"/>
  <c r="O63" i="1"/>
  <c r="N62" i="2" s="1"/>
  <c r="Y62" i="1"/>
  <c r="X61" i="1"/>
  <c r="W61" i="1"/>
  <c r="V61" i="1"/>
  <c r="V63" i="1" s="1"/>
  <c r="U62" i="2" s="1"/>
  <c r="U61" i="1"/>
  <c r="U63" i="1" s="1"/>
  <c r="T62" i="2" s="1"/>
  <c r="T61" i="1"/>
  <c r="S61" i="1"/>
  <c r="S63" i="1" s="1"/>
  <c r="R62" i="2" s="1"/>
  <c r="R61" i="1"/>
  <c r="R63" i="1" s="1"/>
  <c r="Q62" i="2" s="1"/>
  <c r="Q61" i="1"/>
  <c r="Q63" i="1" s="1"/>
  <c r="P62" i="2" s="1"/>
  <c r="P61" i="1"/>
  <c r="O61" i="1"/>
  <c r="N61" i="1"/>
  <c r="M61" i="1"/>
  <c r="M63" i="1" s="1"/>
  <c r="L62" i="2" s="1"/>
  <c r="L61" i="1"/>
  <c r="K61" i="1"/>
  <c r="H61" i="1"/>
  <c r="G61" i="1"/>
  <c r="F61" i="1"/>
  <c r="E61" i="1"/>
  <c r="E60" i="1"/>
  <c r="Y60" i="1" s="1"/>
  <c r="D60" i="1"/>
  <c r="E59" i="1"/>
  <c r="Y59" i="1" s="1"/>
  <c r="D59" i="1"/>
  <c r="N58" i="1"/>
  <c r="N63" i="1" s="1"/>
  <c r="M62" i="2" s="1"/>
  <c r="M58" i="1"/>
  <c r="L58" i="1"/>
  <c r="L63" i="1" s="1"/>
  <c r="K62" i="2" s="1"/>
  <c r="K86" i="2" s="1"/>
  <c r="K58" i="1"/>
  <c r="K63" i="1" s="1"/>
  <c r="J62" i="2" s="1"/>
  <c r="J58" i="1"/>
  <c r="I58" i="1"/>
  <c r="H58" i="1"/>
  <c r="H63" i="1" s="1"/>
  <c r="G62" i="2" s="1"/>
  <c r="G58" i="1"/>
  <c r="G63" i="1" s="1"/>
  <c r="F62" i="2" s="1"/>
  <c r="F58" i="1"/>
  <c r="F63" i="1" s="1"/>
  <c r="E62" i="2" s="1"/>
  <c r="E58" i="1"/>
  <c r="D58" i="1"/>
  <c r="Y57" i="1"/>
  <c r="E57" i="1"/>
  <c r="D57" i="1"/>
  <c r="Y56" i="1"/>
  <c r="E56" i="1"/>
  <c r="D56" i="1"/>
  <c r="E55" i="1"/>
  <c r="Y55" i="1" s="1"/>
  <c r="D55" i="1"/>
  <c r="V50" i="1"/>
  <c r="W50" i="1" s="1"/>
  <c r="X50" i="1" s="1"/>
  <c r="R50" i="1"/>
  <c r="S50" i="1" s="1"/>
  <c r="Q50" i="1"/>
  <c r="M50" i="1"/>
  <c r="N50" i="1" s="1"/>
  <c r="L50" i="1"/>
  <c r="H50" i="1"/>
  <c r="I50" i="1" s="1"/>
  <c r="G50" i="1"/>
  <c r="V49" i="1"/>
  <c r="W49" i="1" s="1"/>
  <c r="X49" i="1" s="1"/>
  <c r="Q49" i="1"/>
  <c r="R49" i="1" s="1"/>
  <c r="S49" i="1" s="1"/>
  <c r="L49" i="1"/>
  <c r="M49" i="1" s="1"/>
  <c r="N49" i="1" s="1"/>
  <c r="G49" i="1"/>
  <c r="H49" i="1" s="1"/>
  <c r="I49" i="1" s="1"/>
  <c r="V48" i="1"/>
  <c r="W48" i="1" s="1"/>
  <c r="X48" i="1" s="1"/>
  <c r="U48" i="1"/>
  <c r="P48" i="1"/>
  <c r="Q48" i="1" s="1"/>
  <c r="R48" i="1" s="1"/>
  <c r="S48" i="1" s="1"/>
  <c r="L48" i="1"/>
  <c r="M48" i="1" s="1"/>
  <c r="N48" i="1" s="1"/>
  <c r="K48" i="1"/>
  <c r="F48" i="1"/>
  <c r="G48" i="1" s="1"/>
  <c r="H48" i="1" s="1"/>
  <c r="I48" i="1" s="1"/>
  <c r="V43" i="1"/>
  <c r="W43" i="1" s="1"/>
  <c r="X43" i="1" s="1"/>
  <c r="U43" i="1"/>
  <c r="P43" i="1"/>
  <c r="Q43" i="1" s="1"/>
  <c r="R43" i="1" s="1"/>
  <c r="S43" i="1" s="1"/>
  <c r="L43" i="1"/>
  <c r="M43" i="1" s="1"/>
  <c r="N43" i="1" s="1"/>
  <c r="K43" i="1"/>
  <c r="F43" i="1"/>
  <c r="G43" i="1" s="1"/>
  <c r="H43" i="1" s="1"/>
  <c r="I43" i="1" s="1"/>
  <c r="V42" i="1"/>
  <c r="W42" i="1" s="1"/>
  <c r="X42" i="1" s="1"/>
  <c r="R42" i="1"/>
  <c r="S42" i="1" s="1"/>
  <c r="Q42" i="1"/>
  <c r="M42" i="1"/>
  <c r="N42" i="1" s="1"/>
  <c r="L42" i="1"/>
  <c r="H42" i="1"/>
  <c r="I42" i="1" s="1"/>
  <c r="G42" i="1"/>
  <c r="V35" i="1"/>
  <c r="W35" i="1" s="1"/>
  <c r="X35" i="1" s="1"/>
  <c r="Q35" i="1"/>
  <c r="R35" i="1" s="1"/>
  <c r="S35" i="1" s="1"/>
  <c r="L35" i="1"/>
  <c r="M35" i="1" s="1"/>
  <c r="N35" i="1" s="1"/>
  <c r="G35" i="1"/>
  <c r="H35" i="1" s="1"/>
  <c r="I35" i="1" s="1"/>
  <c r="W34" i="1"/>
  <c r="X34" i="1" s="1"/>
  <c r="S34" i="1"/>
  <c r="R34" i="1"/>
  <c r="N34" i="1"/>
  <c r="M34" i="1"/>
  <c r="H34" i="1"/>
  <c r="I34" i="1" s="1"/>
  <c r="V33" i="1"/>
  <c r="W33" i="1" s="1"/>
  <c r="X33" i="1" s="1"/>
  <c r="U33" i="1"/>
  <c r="P33" i="1"/>
  <c r="Q33" i="1" s="1"/>
  <c r="R33" i="1" s="1"/>
  <c r="S33" i="1" s="1"/>
  <c r="L33" i="1"/>
  <c r="M33" i="1" s="1"/>
  <c r="N33" i="1" s="1"/>
  <c r="K33" i="1"/>
  <c r="F33" i="1"/>
  <c r="G33" i="1" s="1"/>
  <c r="H33" i="1" s="1"/>
  <c r="I33" i="1" s="1"/>
  <c r="V32" i="1"/>
  <c r="W32" i="1" s="1"/>
  <c r="X32" i="1" s="1"/>
  <c r="U32" i="1"/>
  <c r="P32" i="1"/>
  <c r="Q32" i="1" s="1"/>
  <c r="R32" i="1" s="1"/>
  <c r="S32" i="1" s="1"/>
  <c r="L32" i="1"/>
  <c r="M32" i="1" s="1"/>
  <c r="N32" i="1" s="1"/>
  <c r="K32" i="1"/>
  <c r="F32" i="1"/>
  <c r="G32" i="1" s="1"/>
  <c r="H32" i="1" s="1"/>
  <c r="I32" i="1" s="1"/>
  <c r="V31" i="1"/>
  <c r="W31" i="1" s="1"/>
  <c r="X31" i="1" s="1"/>
  <c r="U31" i="1"/>
  <c r="P31" i="1"/>
  <c r="Q31" i="1" s="1"/>
  <c r="R31" i="1" s="1"/>
  <c r="S31" i="1" s="1"/>
  <c r="L31" i="1"/>
  <c r="M31" i="1" s="1"/>
  <c r="N31" i="1" s="1"/>
  <c r="K31" i="1"/>
  <c r="F31" i="1"/>
  <c r="G31" i="1" s="1"/>
  <c r="H31" i="1" s="1"/>
  <c r="I31" i="1" s="1"/>
  <c r="V25" i="1"/>
  <c r="W25" i="1" s="1"/>
  <c r="X25" i="1" s="1"/>
  <c r="U25" i="1"/>
  <c r="P25" i="1"/>
  <c r="Q25" i="1" s="1"/>
  <c r="R25" i="1" s="1"/>
  <c r="S25" i="1" s="1"/>
  <c r="L25" i="1"/>
  <c r="M25" i="1" s="1"/>
  <c r="N25" i="1" s="1"/>
  <c r="K25" i="1"/>
  <c r="F25" i="1"/>
  <c r="G25" i="1" s="1"/>
  <c r="H25" i="1" s="1"/>
  <c r="I25" i="1" s="1"/>
  <c r="P18" i="1"/>
  <c r="O18" i="1"/>
  <c r="N18" i="1"/>
  <c r="L18" i="1"/>
  <c r="K18" i="1"/>
  <c r="J18" i="1"/>
  <c r="I18" i="1"/>
  <c r="H18" i="1"/>
  <c r="G18" i="1"/>
  <c r="F1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8" i="2" s="1"/>
  <c r="E8" i="2" s="1"/>
  <c r="E2" i="1"/>
  <c r="E1" i="1"/>
  <c r="K87" i="2" l="1"/>
  <c r="K27" i="7"/>
  <c r="J61" i="1" s="1"/>
  <c r="J63" i="1" s="1"/>
  <c r="I62" i="2" s="1"/>
  <c r="I86" i="2" s="1"/>
  <c r="E30" i="2"/>
  <c r="E19" i="2"/>
  <c r="F8" i="2"/>
  <c r="R86" i="2"/>
  <c r="P86" i="2"/>
  <c r="G106" i="1"/>
  <c r="F1" i="2" s="1"/>
  <c r="L111" i="1"/>
  <c r="K105" i="1"/>
  <c r="H117" i="1"/>
  <c r="I115" i="1"/>
  <c r="D17" i="2"/>
  <c r="Y58" i="1"/>
  <c r="O87" i="2"/>
  <c r="W87" i="2"/>
  <c r="D3" i="2"/>
  <c r="D2" i="2"/>
  <c r="H103" i="1"/>
  <c r="F106" i="1"/>
  <c r="E1" i="2" s="1"/>
  <c r="J27" i="7"/>
  <c r="I61" i="1" s="1"/>
  <c r="I63" i="1" s="1"/>
  <c r="H62" i="2" s="1"/>
  <c r="H86" i="2" s="1"/>
  <c r="D31" i="2"/>
  <c r="D20" i="2"/>
  <c r="E23" i="2"/>
  <c r="E34" i="2"/>
  <c r="S87" i="2"/>
  <c r="E31" i="2"/>
  <c r="E20" i="2"/>
  <c r="F9" i="2"/>
  <c r="F34" i="2"/>
  <c r="F23" i="2"/>
  <c r="E63" i="1"/>
  <c r="Z21" i="7"/>
  <c r="Z22" i="7" s="1"/>
  <c r="R22" i="7"/>
  <c r="Q18" i="1" s="1"/>
  <c r="F22" i="7"/>
  <c r="E18" i="1" s="1"/>
  <c r="D30" i="2" s="1"/>
  <c r="G12" i="2"/>
  <c r="D51" i="2"/>
  <c r="D35" i="2"/>
  <c r="D24" i="2"/>
  <c r="E54" i="2"/>
  <c r="E27" i="2"/>
  <c r="E38" i="2"/>
  <c r="D19" i="2"/>
  <c r="S22" i="7"/>
  <c r="R18" i="1" s="1"/>
  <c r="E13" i="2"/>
  <c r="F16" i="2"/>
  <c r="D32" i="2"/>
  <c r="D52" i="2"/>
  <c r="D36" i="2"/>
  <c r="D25" i="2"/>
  <c r="E10" i="2"/>
  <c r="E14" i="2"/>
  <c r="D33" i="2"/>
  <c r="D37" i="2"/>
  <c r="D53" i="2"/>
  <c r="D26" i="2"/>
  <c r="E11" i="2"/>
  <c r="E15" i="2"/>
  <c r="D34" i="2"/>
  <c r="D54" i="2"/>
  <c r="D38" i="2"/>
  <c r="D21" i="2"/>
  <c r="I73" i="2"/>
  <c r="Q73" i="2"/>
  <c r="Q86" i="2" s="1"/>
  <c r="C69" i="2"/>
  <c r="C77" i="2"/>
  <c r="F115" i="2"/>
  <c r="F84" i="2"/>
  <c r="V84" i="2"/>
  <c r="E17" i="6"/>
  <c r="O17" i="6"/>
  <c r="S17" i="6"/>
  <c r="C75" i="2"/>
  <c r="C84" i="2" s="1"/>
  <c r="G84" i="2"/>
  <c r="G86" i="2" s="1"/>
  <c r="AB87" i="2"/>
  <c r="E37" i="11"/>
  <c r="E38" i="11" s="1"/>
  <c r="C71" i="2"/>
  <c r="P16" i="6"/>
  <c r="J36" i="11"/>
  <c r="F73" i="2"/>
  <c r="F86" i="2" s="1"/>
  <c r="N73" i="2"/>
  <c r="N86" i="2" s="1"/>
  <c r="V73" i="2"/>
  <c r="V86" i="2" s="1"/>
  <c r="J84" i="2"/>
  <c r="J86" i="2" s="1"/>
  <c r="R84" i="2"/>
  <c r="C82" i="2"/>
  <c r="K37" i="11"/>
  <c r="K38" i="11" s="1"/>
  <c r="D29" i="7" s="1"/>
  <c r="L36" i="11"/>
  <c r="C72" i="2"/>
  <c r="H73" i="2"/>
  <c r="P73" i="2"/>
  <c r="C65" i="2"/>
  <c r="C73" i="2" s="1"/>
  <c r="C115" i="2"/>
  <c r="Q84" i="2"/>
  <c r="G17" i="6"/>
  <c r="Q17" i="6"/>
  <c r="K16" i="6"/>
  <c r="C19" i="11"/>
  <c r="D19" i="11" s="1"/>
  <c r="F36" i="11"/>
  <c r="H36" i="11"/>
  <c r="G37" i="11"/>
  <c r="G38" i="11" s="1"/>
  <c r="D84" i="2"/>
  <c r="L84" i="2"/>
  <c r="L86" i="2" s="1"/>
  <c r="T84" i="2"/>
  <c r="T86" i="2" s="1"/>
  <c r="Y87" i="2"/>
  <c r="B17" i="6"/>
  <c r="L17" i="6"/>
  <c r="T17" i="6"/>
  <c r="N16" i="6"/>
  <c r="I19" i="11"/>
  <c r="J19" i="11" s="1"/>
  <c r="C37" i="11"/>
  <c r="C38" i="11" s="1"/>
  <c r="E84" i="2"/>
  <c r="E86" i="2" s="1"/>
  <c r="M84" i="2"/>
  <c r="M86" i="2" s="1"/>
  <c r="U84" i="2"/>
  <c r="U86" i="2" s="1"/>
  <c r="F16" i="6"/>
  <c r="K19" i="11"/>
  <c r="L19" i="11" s="1"/>
  <c r="AA87" i="2"/>
  <c r="F87" i="2" l="1"/>
  <c r="Q87" i="2"/>
  <c r="H87" i="2"/>
  <c r="L87" i="2"/>
  <c r="E87" i="2"/>
  <c r="D39" i="2"/>
  <c r="V87" i="2"/>
  <c r="I87" i="2"/>
  <c r="M87" i="2"/>
  <c r="T87" i="2"/>
  <c r="J87" i="2"/>
  <c r="G87" i="2"/>
  <c r="U87" i="2"/>
  <c r="N87" i="2"/>
  <c r="T22" i="7"/>
  <c r="M111" i="1"/>
  <c r="L105" i="1"/>
  <c r="Y61" i="1"/>
  <c r="P87" i="2"/>
  <c r="F54" i="2"/>
  <c r="F38" i="2"/>
  <c r="F27" i="2"/>
  <c r="G16" i="2"/>
  <c r="D62" i="2"/>
  <c r="Y63" i="1"/>
  <c r="R87" i="2"/>
  <c r="E52" i="2"/>
  <c r="E36" i="2"/>
  <c r="E25" i="2"/>
  <c r="F14" i="2"/>
  <c r="E51" i="2"/>
  <c r="E35" i="2"/>
  <c r="F13" i="2"/>
  <c r="E24" i="2"/>
  <c r="I37" i="11"/>
  <c r="I38" i="11" s="1"/>
  <c r="E37" i="2"/>
  <c r="E26" i="2"/>
  <c r="E53" i="2"/>
  <c r="F15" i="2"/>
  <c r="E32" i="2"/>
  <c r="E21" i="2"/>
  <c r="F10" i="2"/>
  <c r="I117" i="1"/>
  <c r="J115" i="1"/>
  <c r="E17" i="2"/>
  <c r="E33" i="2"/>
  <c r="F11" i="2"/>
  <c r="E22" i="2"/>
  <c r="D28" i="2"/>
  <c r="D40" i="2" s="1"/>
  <c r="F30" i="2"/>
  <c r="F19" i="2"/>
  <c r="F17" i="2"/>
  <c r="G8" i="2"/>
  <c r="E29" i="7"/>
  <c r="E90" i="1"/>
  <c r="G34" i="2"/>
  <c r="G23" i="2"/>
  <c r="H12" i="2"/>
  <c r="E3" i="2"/>
  <c r="E2" i="2"/>
  <c r="E28" i="2"/>
  <c r="D118" i="2"/>
  <c r="F31" i="2"/>
  <c r="F20" i="2"/>
  <c r="G9" i="2"/>
  <c r="H106" i="1"/>
  <c r="G1" i="2" s="1"/>
  <c r="I103" i="1"/>
  <c r="F3" i="2"/>
  <c r="F2" i="2"/>
  <c r="E39" i="2"/>
  <c r="E40" i="2" l="1"/>
  <c r="F51" i="2"/>
  <c r="F35" i="2"/>
  <c r="F24" i="2"/>
  <c r="G13" i="2"/>
  <c r="S18" i="1"/>
  <c r="U22" i="7"/>
  <c r="F33" i="2"/>
  <c r="F39" i="2" s="1"/>
  <c r="F22" i="2"/>
  <c r="G11" i="2"/>
  <c r="F32" i="2"/>
  <c r="F21" i="2"/>
  <c r="G10" i="2"/>
  <c r="I106" i="1"/>
  <c r="H1" i="2" s="1"/>
  <c r="J103" i="1"/>
  <c r="H34" i="2"/>
  <c r="H23" i="2"/>
  <c r="I12" i="2"/>
  <c r="E91" i="1"/>
  <c r="F90" i="1"/>
  <c r="D46" i="2"/>
  <c r="F36" i="2"/>
  <c r="F52" i="2"/>
  <c r="F25" i="2"/>
  <c r="G14" i="2"/>
  <c r="E118" i="2"/>
  <c r="G2" i="2"/>
  <c r="G3" i="2"/>
  <c r="C62" i="2"/>
  <c r="C86" i="2" s="1"/>
  <c r="C87" i="2" s="1"/>
  <c r="D86" i="2"/>
  <c r="F118" i="2"/>
  <c r="F53" i="2"/>
  <c r="F37" i="2"/>
  <c r="F26" i="2"/>
  <c r="G15" i="2"/>
  <c r="E89" i="2"/>
  <c r="G31" i="2"/>
  <c r="G20" i="2"/>
  <c r="H9" i="2"/>
  <c r="G54" i="2"/>
  <c r="G27" i="2"/>
  <c r="G38" i="2"/>
  <c r="H16" i="2"/>
  <c r="G30" i="2"/>
  <c r="G19" i="2"/>
  <c r="H8" i="2"/>
  <c r="D104" i="2"/>
  <c r="D41" i="2"/>
  <c r="J117" i="1"/>
  <c r="K115" i="1"/>
  <c r="M105" i="1"/>
  <c r="N111" i="1"/>
  <c r="F89" i="2"/>
  <c r="G36" i="2" l="1"/>
  <c r="G52" i="2"/>
  <c r="G25" i="2"/>
  <c r="H14" i="2"/>
  <c r="G53" i="2"/>
  <c r="G26" i="2"/>
  <c r="G37" i="2"/>
  <c r="H15" i="2"/>
  <c r="H30" i="2"/>
  <c r="H19" i="2"/>
  <c r="I8" i="2"/>
  <c r="G17" i="2"/>
  <c r="H31" i="2"/>
  <c r="H20" i="2"/>
  <c r="I9" i="2"/>
  <c r="G118" i="2"/>
  <c r="G89" i="2"/>
  <c r="J106" i="1"/>
  <c r="I1" i="2" s="1"/>
  <c r="K103" i="1"/>
  <c r="G32" i="2"/>
  <c r="G39" i="2" s="1"/>
  <c r="H10" i="2"/>
  <c r="H17" i="2" s="1"/>
  <c r="G21" i="2"/>
  <c r="G28" i="2" s="1"/>
  <c r="G40" i="2" s="1"/>
  <c r="F28" i="2"/>
  <c r="F40" i="2" s="1"/>
  <c r="D108" i="2"/>
  <c r="L115" i="1"/>
  <c r="K117" i="1"/>
  <c r="H54" i="2"/>
  <c r="H38" i="2"/>
  <c r="H27" i="2"/>
  <c r="I16" i="2"/>
  <c r="G90" i="1"/>
  <c r="E46" i="2"/>
  <c r="T18" i="1"/>
  <c r="V22" i="7"/>
  <c r="E104" i="2"/>
  <c r="E41" i="2"/>
  <c r="N105" i="1"/>
  <c r="O111" i="1"/>
  <c r="H3" i="2"/>
  <c r="H2" i="2"/>
  <c r="D89" i="2"/>
  <c r="D87" i="2"/>
  <c r="D94" i="2" s="1"/>
  <c r="F91" i="1"/>
  <c r="E92" i="1"/>
  <c r="D47" i="2"/>
  <c r="I34" i="2"/>
  <c r="I23" i="2"/>
  <c r="J12" i="2"/>
  <c r="G33" i="2"/>
  <c r="G22" i="2"/>
  <c r="H11" i="2"/>
  <c r="G51" i="2"/>
  <c r="G35" i="2"/>
  <c r="H13" i="2"/>
  <c r="G24" i="2"/>
  <c r="G104" i="2" l="1"/>
  <c r="G41" i="2"/>
  <c r="G91" i="1"/>
  <c r="E47" i="2"/>
  <c r="K106" i="1"/>
  <c r="J1" i="2" s="1"/>
  <c r="L103" i="1"/>
  <c r="I3" i="2"/>
  <c r="I2" i="2"/>
  <c r="I30" i="2"/>
  <c r="I19" i="2"/>
  <c r="J8" i="2"/>
  <c r="F104" i="2"/>
  <c r="F41" i="2"/>
  <c r="J34" i="2"/>
  <c r="K12" i="2"/>
  <c r="J23" i="2"/>
  <c r="W22" i="7"/>
  <c r="U18" i="1"/>
  <c r="H35" i="2"/>
  <c r="H51" i="2"/>
  <c r="I13" i="2"/>
  <c r="H24" i="2"/>
  <c r="I31" i="2"/>
  <c r="J9" i="2"/>
  <c r="I20" i="2"/>
  <c r="H52" i="2"/>
  <c r="H36" i="2"/>
  <c r="H25" i="2"/>
  <c r="I14" i="2"/>
  <c r="H32" i="2"/>
  <c r="H39" i="2" s="1"/>
  <c r="H21" i="2"/>
  <c r="I10" i="2"/>
  <c r="I17" i="2" s="1"/>
  <c r="H118" i="2"/>
  <c r="H89" i="2"/>
  <c r="H90" i="1"/>
  <c r="F46" i="2"/>
  <c r="H33" i="2"/>
  <c r="H22" i="2"/>
  <c r="H28" i="2" s="1"/>
  <c r="H40" i="2" s="1"/>
  <c r="I11" i="2"/>
  <c r="O105" i="1"/>
  <c r="P111" i="1"/>
  <c r="M115" i="1"/>
  <c r="L117" i="1"/>
  <c r="H53" i="2"/>
  <c r="H37" i="2"/>
  <c r="H26" i="2"/>
  <c r="I15" i="2"/>
  <c r="E108" i="2"/>
  <c r="E93" i="1"/>
  <c r="F92" i="1"/>
  <c r="E94" i="1"/>
  <c r="D48" i="2"/>
  <c r="I54" i="2"/>
  <c r="I38" i="2"/>
  <c r="J16" i="2"/>
  <c r="I27" i="2"/>
  <c r="H104" i="2" l="1"/>
  <c r="H41" i="2"/>
  <c r="F108" i="2"/>
  <c r="I118" i="2"/>
  <c r="I89" i="2"/>
  <c r="G108" i="2"/>
  <c r="V18" i="1"/>
  <c r="X22" i="7"/>
  <c r="J30" i="2"/>
  <c r="J19" i="2"/>
  <c r="K8" i="2"/>
  <c r="M103" i="1"/>
  <c r="L106" i="1"/>
  <c r="K1" i="2" s="1"/>
  <c r="J31" i="2"/>
  <c r="J20" i="2"/>
  <c r="K9" i="2"/>
  <c r="F93" i="1"/>
  <c r="D49" i="2"/>
  <c r="J3" i="2"/>
  <c r="J2" i="2"/>
  <c r="G92" i="1"/>
  <c r="E48" i="2"/>
  <c r="K34" i="2"/>
  <c r="L12" i="2"/>
  <c r="K23" i="2"/>
  <c r="D55" i="2"/>
  <c r="D105" i="2" s="1"/>
  <c r="J38" i="2"/>
  <c r="J54" i="2"/>
  <c r="K16" i="2"/>
  <c r="J27" i="2"/>
  <c r="N115" i="1"/>
  <c r="M117" i="1"/>
  <c r="H91" i="1"/>
  <c r="F47" i="2"/>
  <c r="F94" i="1"/>
  <c r="D50" i="2"/>
  <c r="I53" i="2"/>
  <c r="I26" i="2"/>
  <c r="I37" i="2"/>
  <c r="J15" i="2"/>
  <c r="Q111" i="1"/>
  <c r="P105" i="1"/>
  <c r="I90" i="1"/>
  <c r="G46" i="2"/>
  <c r="I35" i="2"/>
  <c r="I51" i="2"/>
  <c r="J13" i="2"/>
  <c r="I24" i="2"/>
  <c r="I33" i="2"/>
  <c r="I22" i="2"/>
  <c r="J11" i="2"/>
  <c r="I32" i="2"/>
  <c r="I39" i="2" s="1"/>
  <c r="I21" i="2"/>
  <c r="I28" i="2" s="1"/>
  <c r="I40" i="2" s="1"/>
  <c r="J10" i="2"/>
  <c r="J17" i="2" s="1"/>
  <c r="I52" i="2"/>
  <c r="I25" i="2"/>
  <c r="I36" i="2"/>
  <c r="J14" i="2"/>
  <c r="I104" i="2" l="1"/>
  <c r="I41" i="2"/>
  <c r="Y22" i="7"/>
  <c r="X18" i="1" s="1"/>
  <c r="W18" i="1"/>
  <c r="J118" i="2"/>
  <c r="J89" i="2"/>
  <c r="K3" i="2"/>
  <c r="K2" i="2"/>
  <c r="J33" i="2"/>
  <c r="J22" i="2"/>
  <c r="K11" i="2"/>
  <c r="N117" i="1"/>
  <c r="O115" i="1"/>
  <c r="L34" i="2"/>
  <c r="L23" i="2"/>
  <c r="M12" i="2"/>
  <c r="N103" i="1"/>
  <c r="M106" i="1"/>
  <c r="L1" i="2" s="1"/>
  <c r="J51" i="2"/>
  <c r="J35" i="2"/>
  <c r="J24" i="2"/>
  <c r="K13" i="2"/>
  <c r="J90" i="1"/>
  <c r="H46" i="2"/>
  <c r="G94" i="1"/>
  <c r="E50" i="2"/>
  <c r="G93" i="1"/>
  <c r="E49" i="2"/>
  <c r="K30" i="2"/>
  <c r="L8" i="2"/>
  <c r="K19" i="2"/>
  <c r="J52" i="2"/>
  <c r="J36" i="2"/>
  <c r="J25" i="2"/>
  <c r="K14" i="2"/>
  <c r="K38" i="2"/>
  <c r="K27" i="2"/>
  <c r="K54" i="2"/>
  <c r="L16" i="2"/>
  <c r="K31" i="2"/>
  <c r="K20" i="2"/>
  <c r="L9" i="2"/>
  <c r="I91" i="1"/>
  <c r="G47" i="2"/>
  <c r="H108" i="2"/>
  <c r="R111" i="1"/>
  <c r="Q105" i="1"/>
  <c r="J32" i="2"/>
  <c r="J21" i="2"/>
  <c r="J28" i="2" s="1"/>
  <c r="J40" i="2" s="1"/>
  <c r="K10" i="2"/>
  <c r="K17" i="2" s="1"/>
  <c r="J53" i="2"/>
  <c r="J37" i="2"/>
  <c r="J26" i="2"/>
  <c r="K15" i="2"/>
  <c r="H92" i="1"/>
  <c r="F48" i="2"/>
  <c r="D109" i="2"/>
  <c r="D106" i="2"/>
  <c r="J39" i="2"/>
  <c r="J104" i="2" l="1"/>
  <c r="J41" i="2"/>
  <c r="I92" i="1"/>
  <c r="G48" i="2"/>
  <c r="H94" i="1"/>
  <c r="F50" i="2"/>
  <c r="L3" i="2"/>
  <c r="L2" i="2"/>
  <c r="K53" i="2"/>
  <c r="K37" i="2"/>
  <c r="K26" i="2"/>
  <c r="L15" i="2"/>
  <c r="E55" i="2"/>
  <c r="E105" i="2" s="1"/>
  <c r="J91" i="1"/>
  <c r="H47" i="2"/>
  <c r="O103" i="1"/>
  <c r="N106" i="1"/>
  <c r="M1" i="2" s="1"/>
  <c r="K33" i="2"/>
  <c r="K22" i="2"/>
  <c r="L11" i="2"/>
  <c r="D107" i="2"/>
  <c r="L31" i="2"/>
  <c r="L20" i="2"/>
  <c r="M9" i="2"/>
  <c r="L30" i="2"/>
  <c r="L19" i="2"/>
  <c r="M8" i="2"/>
  <c r="K90" i="1"/>
  <c r="I46" i="2"/>
  <c r="K32" i="2"/>
  <c r="K21" i="2"/>
  <c r="L10" i="2"/>
  <c r="S111" i="1"/>
  <c r="R105" i="1"/>
  <c r="M23" i="2"/>
  <c r="M34" i="2"/>
  <c r="N12" i="2"/>
  <c r="K51" i="2"/>
  <c r="K24" i="2"/>
  <c r="K35" i="2"/>
  <c r="K39" i="2" s="1"/>
  <c r="L13" i="2"/>
  <c r="L17" i="2" s="1"/>
  <c r="K52" i="2"/>
  <c r="K25" i="2"/>
  <c r="K28" i="2" s="1"/>
  <c r="K36" i="2"/>
  <c r="L14" i="2"/>
  <c r="L54" i="2"/>
  <c r="L38" i="2"/>
  <c r="L27" i="2"/>
  <c r="M16" i="2"/>
  <c r="H93" i="1"/>
  <c r="F49" i="2"/>
  <c r="K89" i="2"/>
  <c r="K118" i="2"/>
  <c r="O117" i="1"/>
  <c r="P115" i="1"/>
  <c r="I108" i="2"/>
  <c r="K40" i="2" l="1"/>
  <c r="L90" i="1"/>
  <c r="J46" i="2"/>
  <c r="M54" i="2"/>
  <c r="M27" i="2"/>
  <c r="M38" i="2"/>
  <c r="N16" i="2"/>
  <c r="M3" i="2"/>
  <c r="M2" i="2"/>
  <c r="T111" i="1"/>
  <c r="S105" i="1"/>
  <c r="M30" i="2"/>
  <c r="M19" i="2"/>
  <c r="N8" i="2"/>
  <c r="P103" i="1"/>
  <c r="O106" i="1"/>
  <c r="N1" i="2" s="1"/>
  <c r="J92" i="1"/>
  <c r="H48" i="2"/>
  <c r="I93" i="1"/>
  <c r="G49" i="2"/>
  <c r="L37" i="2"/>
  <c r="L53" i="2"/>
  <c r="L26" i="2"/>
  <c r="M15" i="2"/>
  <c r="L51" i="2"/>
  <c r="L35" i="2"/>
  <c r="L24" i="2"/>
  <c r="M13" i="2"/>
  <c r="L32" i="2"/>
  <c r="L21" i="2"/>
  <c r="L28" i="2" s="1"/>
  <c r="L40" i="2" s="1"/>
  <c r="M10" i="2"/>
  <c r="F55" i="2"/>
  <c r="F105" i="2" s="1"/>
  <c r="P117" i="1"/>
  <c r="Q115" i="1"/>
  <c r="L52" i="2"/>
  <c r="L36" i="2"/>
  <c r="L39" i="2" s="1"/>
  <c r="L25" i="2"/>
  <c r="M14" i="2"/>
  <c r="N34" i="2"/>
  <c r="N23" i="2"/>
  <c r="O12" i="2"/>
  <c r="L33" i="2"/>
  <c r="L22" i="2"/>
  <c r="M11" i="2"/>
  <c r="L118" i="2"/>
  <c r="L89" i="2"/>
  <c r="K91" i="1"/>
  <c r="I47" i="2"/>
  <c r="J108" i="2"/>
  <c r="M31" i="2"/>
  <c r="M20" i="2"/>
  <c r="N9" i="2"/>
  <c r="E109" i="2"/>
  <c r="E106" i="2"/>
  <c r="I94" i="1"/>
  <c r="G50" i="2"/>
  <c r="G55" i="2" s="1"/>
  <c r="G105" i="2" s="1"/>
  <c r="G109" i="2" l="1"/>
  <c r="G106" i="2"/>
  <c r="L104" i="2"/>
  <c r="L41" i="2"/>
  <c r="N31" i="2"/>
  <c r="N20" i="2"/>
  <c r="O9" i="2"/>
  <c r="L91" i="1"/>
  <c r="J47" i="2"/>
  <c r="O34" i="2"/>
  <c r="O23" i="2"/>
  <c r="P12" i="2"/>
  <c r="K92" i="1"/>
  <c r="I48" i="2"/>
  <c r="E107" i="2"/>
  <c r="J93" i="1"/>
  <c r="H49" i="2"/>
  <c r="Q117" i="1"/>
  <c r="R115" i="1"/>
  <c r="M32" i="2"/>
  <c r="M39" i="2" s="1"/>
  <c r="M21" i="2"/>
  <c r="N10" i="2"/>
  <c r="M37" i="2"/>
  <c r="M53" i="2"/>
  <c r="M26" i="2"/>
  <c r="N15" i="2"/>
  <c r="N3" i="2"/>
  <c r="N2" i="2"/>
  <c r="T105" i="1"/>
  <c r="U111" i="1"/>
  <c r="M90" i="1"/>
  <c r="K46" i="2"/>
  <c r="M17" i="2"/>
  <c r="M118" i="2"/>
  <c r="M89" i="2"/>
  <c r="H55" i="2"/>
  <c r="H105" i="2" s="1"/>
  <c r="F109" i="2"/>
  <c r="F106" i="2"/>
  <c r="P106" i="1"/>
  <c r="O1" i="2" s="1"/>
  <c r="Q103" i="1"/>
  <c r="J94" i="1"/>
  <c r="H50" i="2"/>
  <c r="M33" i="2"/>
  <c r="M22" i="2"/>
  <c r="M28" i="2" s="1"/>
  <c r="M40" i="2" s="1"/>
  <c r="N11" i="2"/>
  <c r="M52" i="2"/>
  <c r="M36" i="2"/>
  <c r="N14" i="2"/>
  <c r="M25" i="2"/>
  <c r="N30" i="2"/>
  <c r="N19" i="2"/>
  <c r="O8" i="2"/>
  <c r="N54" i="2"/>
  <c r="N38" i="2"/>
  <c r="N27" i="2"/>
  <c r="O16" i="2"/>
  <c r="K104" i="2"/>
  <c r="K41" i="2"/>
  <c r="M51" i="2"/>
  <c r="M24" i="2"/>
  <c r="M35" i="2"/>
  <c r="N13" i="2"/>
  <c r="N17" i="2" s="1"/>
  <c r="M104" i="2" l="1"/>
  <c r="M41" i="2"/>
  <c r="N33" i="2"/>
  <c r="O11" i="2"/>
  <c r="N22" i="2"/>
  <c r="F107" i="2"/>
  <c r="N90" i="1"/>
  <c r="L46" i="2"/>
  <c r="K93" i="1"/>
  <c r="I49" i="2"/>
  <c r="K108" i="2"/>
  <c r="H109" i="2"/>
  <c r="H106" i="2"/>
  <c r="U105" i="1"/>
  <c r="V111" i="1"/>
  <c r="N32" i="2"/>
  <c r="N21" i="2"/>
  <c r="N28" i="2" s="1"/>
  <c r="N40" i="2" s="1"/>
  <c r="O10" i="2"/>
  <c r="O54" i="2"/>
  <c r="O27" i="2"/>
  <c r="O38" i="2"/>
  <c r="P16" i="2"/>
  <c r="N39" i="2"/>
  <c r="M91" i="1"/>
  <c r="K47" i="2"/>
  <c r="L108" i="2"/>
  <c r="N36" i="2"/>
  <c r="N52" i="2"/>
  <c r="O14" i="2"/>
  <c r="N25" i="2"/>
  <c r="K94" i="1"/>
  <c r="I50" i="2"/>
  <c r="I55" i="2" s="1"/>
  <c r="I105" i="2" s="1"/>
  <c r="N118" i="2"/>
  <c r="N89" i="2"/>
  <c r="G107" i="2"/>
  <c r="Q106" i="1"/>
  <c r="P1" i="2" s="1"/>
  <c r="R103" i="1"/>
  <c r="N53" i="2"/>
  <c r="N37" i="2"/>
  <c r="O15" i="2"/>
  <c r="N26" i="2"/>
  <c r="R117" i="1"/>
  <c r="S115" i="1"/>
  <c r="L92" i="1"/>
  <c r="J48" i="2"/>
  <c r="N51" i="2"/>
  <c r="N35" i="2"/>
  <c r="N24" i="2"/>
  <c r="O13" i="2"/>
  <c r="O30" i="2"/>
  <c r="O19" i="2"/>
  <c r="P8" i="2"/>
  <c r="O2" i="2"/>
  <c r="O3" i="2"/>
  <c r="P34" i="2"/>
  <c r="P23" i="2"/>
  <c r="Q12" i="2"/>
  <c r="O31" i="2"/>
  <c r="O20" i="2"/>
  <c r="P9" i="2"/>
  <c r="N104" i="2" l="1"/>
  <c r="N41" i="2"/>
  <c r="I109" i="2"/>
  <c r="I106" i="2"/>
  <c r="O51" i="2"/>
  <c r="O35" i="2"/>
  <c r="O24" i="2"/>
  <c r="P13" i="2"/>
  <c r="P54" i="2"/>
  <c r="P38" i="2"/>
  <c r="P27" i="2"/>
  <c r="Q16" i="2"/>
  <c r="O22" i="2"/>
  <c r="O33" i="2"/>
  <c r="P11" i="2"/>
  <c r="P31" i="2"/>
  <c r="P20" i="2"/>
  <c r="Q9" i="2"/>
  <c r="O53" i="2"/>
  <c r="O26" i="2"/>
  <c r="O37" i="2"/>
  <c r="P15" i="2"/>
  <c r="L93" i="1"/>
  <c r="J49" i="2"/>
  <c r="V105" i="1"/>
  <c r="W111" i="1"/>
  <c r="P30" i="2"/>
  <c r="P19" i="2"/>
  <c r="Q8" i="2"/>
  <c r="O90" i="1"/>
  <c r="M46" i="2"/>
  <c r="O89" i="2"/>
  <c r="O118" i="2"/>
  <c r="H107" i="2"/>
  <c r="O36" i="2"/>
  <c r="O52" i="2"/>
  <c r="O25" i="2"/>
  <c r="P14" i="2"/>
  <c r="O17" i="2"/>
  <c r="R106" i="1"/>
  <c r="Q1" i="2" s="1"/>
  <c r="S103" i="1"/>
  <c r="Q34" i="2"/>
  <c r="Q23" i="2"/>
  <c r="R12" i="2"/>
  <c r="M92" i="1"/>
  <c r="K48" i="2"/>
  <c r="P3" i="2"/>
  <c r="P2" i="2"/>
  <c r="L94" i="1"/>
  <c r="J50" i="2"/>
  <c r="J55" i="2" s="1"/>
  <c r="J105" i="2" s="1"/>
  <c r="N91" i="1"/>
  <c r="L47" i="2"/>
  <c r="M108" i="2"/>
  <c r="T115" i="1"/>
  <c r="S117" i="1"/>
  <c r="O32" i="2"/>
  <c r="O39" i="2" s="1"/>
  <c r="P10" i="2"/>
  <c r="O21" i="2"/>
  <c r="O28" i="2" s="1"/>
  <c r="K55" i="2" l="1"/>
  <c r="K105" i="2" s="1"/>
  <c r="J109" i="2"/>
  <c r="J106" i="2"/>
  <c r="O40" i="2"/>
  <c r="M94" i="1"/>
  <c r="K50" i="2"/>
  <c r="W105" i="1"/>
  <c r="X111" i="1"/>
  <c r="X105" i="1" s="1"/>
  <c r="Q31" i="2"/>
  <c r="R9" i="2"/>
  <c r="Q20" i="2"/>
  <c r="O91" i="1"/>
  <c r="M47" i="2"/>
  <c r="P90" i="1"/>
  <c r="N46" i="2"/>
  <c r="Q54" i="2"/>
  <c r="Q38" i="2"/>
  <c r="Q27" i="2"/>
  <c r="R16" i="2"/>
  <c r="P32" i="2"/>
  <c r="P21" i="2"/>
  <c r="P28" i="2" s="1"/>
  <c r="P40" i="2" s="1"/>
  <c r="Q10" i="2"/>
  <c r="U115" i="1"/>
  <c r="T117" i="1"/>
  <c r="P118" i="2"/>
  <c r="P89" i="2"/>
  <c r="S106" i="1"/>
  <c r="R1" i="2" s="1"/>
  <c r="T103" i="1"/>
  <c r="Q30" i="2"/>
  <c r="Q19" i="2"/>
  <c r="R8" i="2"/>
  <c r="I107" i="2"/>
  <c r="Q3" i="2"/>
  <c r="Q2" i="2"/>
  <c r="M93" i="1"/>
  <c r="K49" i="2"/>
  <c r="P17" i="2"/>
  <c r="N92" i="1"/>
  <c r="L48" i="2"/>
  <c r="P53" i="2"/>
  <c r="P37" i="2"/>
  <c r="P26" i="2"/>
  <c r="Q15" i="2"/>
  <c r="P52" i="2"/>
  <c r="P36" i="2"/>
  <c r="P25" i="2"/>
  <c r="Q14" i="2"/>
  <c r="P39" i="2"/>
  <c r="P33" i="2"/>
  <c r="P22" i="2"/>
  <c r="Q11" i="2"/>
  <c r="R34" i="2"/>
  <c r="R23" i="2"/>
  <c r="S12" i="2"/>
  <c r="P51" i="2"/>
  <c r="P35" i="2"/>
  <c r="P24" i="2"/>
  <c r="Q13" i="2"/>
  <c r="N108" i="2"/>
  <c r="P104" i="2" l="1"/>
  <c r="P41" i="2"/>
  <c r="Q90" i="1"/>
  <c r="O46" i="2"/>
  <c r="R3" i="2"/>
  <c r="R2" i="2"/>
  <c r="L55" i="2"/>
  <c r="L105" i="2" s="1"/>
  <c r="K109" i="2"/>
  <c r="K106" i="2"/>
  <c r="Q52" i="2"/>
  <c r="Q25" i="2"/>
  <c r="Q36" i="2"/>
  <c r="R14" i="2"/>
  <c r="O92" i="1"/>
  <c r="M48" i="2"/>
  <c r="R30" i="2"/>
  <c r="R19" i="2"/>
  <c r="S8" i="2"/>
  <c r="R38" i="2"/>
  <c r="R54" i="2"/>
  <c r="R27" i="2"/>
  <c r="S16" i="2"/>
  <c r="P91" i="1"/>
  <c r="N47" i="2"/>
  <c r="U103" i="1"/>
  <c r="T106" i="1"/>
  <c r="S1" i="2" s="1"/>
  <c r="Q35" i="2"/>
  <c r="Q39" i="2" s="1"/>
  <c r="Q24" i="2"/>
  <c r="Q51" i="2"/>
  <c r="R13" i="2"/>
  <c r="Q33" i="2"/>
  <c r="Q22" i="2"/>
  <c r="R11" i="2"/>
  <c r="Q17" i="2"/>
  <c r="N94" i="1"/>
  <c r="L50" i="2"/>
  <c r="Q118" i="2"/>
  <c r="Q89" i="2"/>
  <c r="R31" i="2"/>
  <c r="R20" i="2"/>
  <c r="S9" i="2"/>
  <c r="O104" i="2"/>
  <c r="O41" i="2"/>
  <c r="N93" i="1"/>
  <c r="L49" i="2"/>
  <c r="V115" i="1"/>
  <c r="U117" i="1"/>
  <c r="J107" i="2"/>
  <c r="S34" i="2"/>
  <c r="S23" i="2"/>
  <c r="T12" i="2"/>
  <c r="Q53" i="2"/>
  <c r="Q26" i="2"/>
  <c r="Q37" i="2"/>
  <c r="R15" i="2"/>
  <c r="Q32" i="2"/>
  <c r="Q21" i="2"/>
  <c r="Q28" i="2" s="1"/>
  <c r="Q40" i="2" s="1"/>
  <c r="R10" i="2"/>
  <c r="R17" i="2" s="1"/>
  <c r="Q104" i="2" l="1"/>
  <c r="Q41" i="2"/>
  <c r="R33" i="2"/>
  <c r="R22" i="2"/>
  <c r="S11" i="2"/>
  <c r="S3" i="2"/>
  <c r="S2" i="2"/>
  <c r="S30" i="2"/>
  <c r="T8" i="2"/>
  <c r="S19" i="2"/>
  <c r="V103" i="1"/>
  <c r="U106" i="1"/>
  <c r="T1" i="2" s="1"/>
  <c r="R118" i="2"/>
  <c r="R89" i="2"/>
  <c r="R52" i="2"/>
  <c r="R36" i="2"/>
  <c r="R25" i="2"/>
  <c r="S14" i="2"/>
  <c r="W115" i="1"/>
  <c r="V117" i="1"/>
  <c r="O93" i="1"/>
  <c r="M49" i="2"/>
  <c r="Q91" i="1"/>
  <c r="O47" i="2"/>
  <c r="K107" i="2"/>
  <c r="R90" i="1"/>
  <c r="P46" i="2"/>
  <c r="L109" i="2"/>
  <c r="L106" i="2"/>
  <c r="S38" i="2"/>
  <c r="S54" i="2"/>
  <c r="S27" i="2"/>
  <c r="T16" i="2"/>
  <c r="R32" i="2"/>
  <c r="R21" i="2"/>
  <c r="R28" i="2" s="1"/>
  <c r="S10" i="2"/>
  <c r="T34" i="2"/>
  <c r="T23" i="2"/>
  <c r="U12" i="2"/>
  <c r="R51" i="2"/>
  <c r="R35" i="2"/>
  <c r="S13" i="2"/>
  <c r="R24" i="2"/>
  <c r="R53" i="2"/>
  <c r="R37" i="2"/>
  <c r="R39" i="2" s="1"/>
  <c r="R26" i="2"/>
  <c r="S15" i="2"/>
  <c r="O108" i="2"/>
  <c r="S31" i="2"/>
  <c r="S20" i="2"/>
  <c r="T9" i="2"/>
  <c r="O94" i="1"/>
  <c r="M50" i="2"/>
  <c r="P92" i="1"/>
  <c r="N48" i="2"/>
  <c r="P108" i="2"/>
  <c r="R40" i="2" l="1"/>
  <c r="S52" i="2"/>
  <c r="S25" i="2"/>
  <c r="S36" i="2"/>
  <c r="T14" i="2"/>
  <c r="W103" i="1"/>
  <c r="V106" i="1"/>
  <c r="U1" i="2" s="1"/>
  <c r="S33" i="2"/>
  <c r="S22" i="2"/>
  <c r="T11" i="2"/>
  <c r="T3" i="2"/>
  <c r="T2" i="2"/>
  <c r="R91" i="1"/>
  <c r="P47" i="2"/>
  <c r="X115" i="1"/>
  <c r="X117" i="1" s="1"/>
  <c r="W117" i="1"/>
  <c r="S32" i="2"/>
  <c r="S21" i="2"/>
  <c r="S28" i="2" s="1"/>
  <c r="T10" i="2"/>
  <c r="L107" i="2"/>
  <c r="M55" i="2"/>
  <c r="M105" i="2" s="1"/>
  <c r="S17" i="2"/>
  <c r="S118" i="2"/>
  <c r="S89" i="2"/>
  <c r="P93" i="1"/>
  <c r="N49" i="2"/>
  <c r="N55" i="2" s="1"/>
  <c r="N105" i="2" s="1"/>
  <c r="T30" i="2"/>
  <c r="T19" i="2"/>
  <c r="U8" i="2"/>
  <c r="S51" i="2"/>
  <c r="S24" i="2"/>
  <c r="S35" i="2"/>
  <c r="S39" i="2" s="1"/>
  <c r="T13" i="2"/>
  <c r="Q92" i="1"/>
  <c r="O48" i="2"/>
  <c r="P94" i="1"/>
  <c r="N50" i="2"/>
  <c r="S53" i="2"/>
  <c r="S37" i="2"/>
  <c r="T15" i="2"/>
  <c r="S26" i="2"/>
  <c r="S90" i="1"/>
  <c r="Q46" i="2"/>
  <c r="Q108" i="2"/>
  <c r="T31" i="2"/>
  <c r="T20" i="2"/>
  <c r="U9" i="2"/>
  <c r="U23" i="2"/>
  <c r="U34" i="2"/>
  <c r="V12" i="2"/>
  <c r="T54" i="2"/>
  <c r="T38" i="2"/>
  <c r="T27" i="2"/>
  <c r="U16" i="2"/>
  <c r="N109" i="2" l="1"/>
  <c r="N106" i="2"/>
  <c r="S40" i="2"/>
  <c r="U3" i="2"/>
  <c r="U2" i="2"/>
  <c r="Q94" i="1"/>
  <c r="O50" i="2"/>
  <c r="O55" i="2" s="1"/>
  <c r="O105" i="2" s="1"/>
  <c r="Q93" i="1"/>
  <c r="O49" i="2"/>
  <c r="T32" i="2"/>
  <c r="T39" i="2" s="1"/>
  <c r="T21" i="2"/>
  <c r="U10" i="2"/>
  <c r="S91" i="1"/>
  <c r="Q47" i="2"/>
  <c r="W106" i="1"/>
  <c r="V1" i="2" s="1"/>
  <c r="X103" i="1"/>
  <c r="X106" i="1" s="1"/>
  <c r="W1" i="2" s="1"/>
  <c r="T52" i="2"/>
  <c r="T36" i="2"/>
  <c r="T25" i="2"/>
  <c r="U14" i="2"/>
  <c r="T90" i="1"/>
  <c r="R46" i="2"/>
  <c r="T118" i="2"/>
  <c r="T89" i="2"/>
  <c r="T17" i="2"/>
  <c r="T33" i="2"/>
  <c r="T22" i="2"/>
  <c r="T28" i="2" s="1"/>
  <c r="T40" i="2" s="1"/>
  <c r="U11" i="2"/>
  <c r="U31" i="2"/>
  <c r="U20" i="2"/>
  <c r="V9" i="2"/>
  <c r="U54" i="2"/>
  <c r="U27" i="2"/>
  <c r="U38" i="2"/>
  <c r="V16" i="2"/>
  <c r="R92" i="1"/>
  <c r="P48" i="2"/>
  <c r="T37" i="2"/>
  <c r="T53" i="2"/>
  <c r="U15" i="2"/>
  <c r="T26" i="2"/>
  <c r="M109" i="2"/>
  <c r="M106" i="2"/>
  <c r="R104" i="2"/>
  <c r="R41" i="2"/>
  <c r="U30" i="2"/>
  <c r="U19" i="2"/>
  <c r="V8" i="2"/>
  <c r="V34" i="2"/>
  <c r="V23" i="2"/>
  <c r="W12" i="2"/>
  <c r="T51" i="2"/>
  <c r="T35" i="2"/>
  <c r="T24" i="2"/>
  <c r="U13" i="2"/>
  <c r="O109" i="2" l="1"/>
  <c r="O106" i="2"/>
  <c r="T104" i="2"/>
  <c r="T41" i="2"/>
  <c r="U52" i="2"/>
  <c r="U36" i="2"/>
  <c r="U25" i="2"/>
  <c r="V14" i="2"/>
  <c r="U118" i="2"/>
  <c r="U89" i="2"/>
  <c r="V31" i="2"/>
  <c r="V20" i="2"/>
  <c r="W9" i="2"/>
  <c r="R108" i="2"/>
  <c r="S104" i="2"/>
  <c r="S41" i="2"/>
  <c r="W34" i="2"/>
  <c r="W23" i="2"/>
  <c r="X12" i="2"/>
  <c r="U32" i="2"/>
  <c r="U21" i="2"/>
  <c r="V10" i="2"/>
  <c r="U51" i="2"/>
  <c r="U24" i="2"/>
  <c r="U35" i="2"/>
  <c r="U39" i="2" s="1"/>
  <c r="V13" i="2"/>
  <c r="V30" i="2"/>
  <c r="V19" i="2"/>
  <c r="W8" i="2"/>
  <c r="M107" i="2"/>
  <c r="S92" i="1"/>
  <c r="Q48" i="2"/>
  <c r="W2" i="2"/>
  <c r="X1" i="2"/>
  <c r="W3" i="2"/>
  <c r="N107" i="2"/>
  <c r="U17" i="2"/>
  <c r="V3" i="2"/>
  <c r="V2" i="2"/>
  <c r="R93" i="1"/>
  <c r="P49" i="2"/>
  <c r="U37" i="2"/>
  <c r="U53" i="2"/>
  <c r="U26" i="2"/>
  <c r="V15" i="2"/>
  <c r="V54" i="2"/>
  <c r="V27" i="2"/>
  <c r="V38" i="2"/>
  <c r="W16" i="2"/>
  <c r="U33" i="2"/>
  <c r="U22" i="2"/>
  <c r="U28" i="2" s="1"/>
  <c r="V11" i="2"/>
  <c r="U90" i="1"/>
  <c r="S46" i="2"/>
  <c r="T91" i="1"/>
  <c r="R47" i="2"/>
  <c r="R94" i="1"/>
  <c r="P50" i="2"/>
  <c r="P55" i="2" s="1"/>
  <c r="P105" i="2" s="1"/>
  <c r="U40" i="2" l="1"/>
  <c r="P109" i="2"/>
  <c r="P106" i="2"/>
  <c r="V33" i="2"/>
  <c r="V22" i="2"/>
  <c r="W11" i="2"/>
  <c r="V118" i="2"/>
  <c r="V89" i="2"/>
  <c r="T92" i="1"/>
  <c r="R48" i="2"/>
  <c r="V51" i="2"/>
  <c r="V35" i="2"/>
  <c r="V24" i="2"/>
  <c r="W13" i="2"/>
  <c r="X34" i="2"/>
  <c r="X23" i="2"/>
  <c r="Y12" i="2"/>
  <c r="W31" i="2"/>
  <c r="W20" i="2"/>
  <c r="X9" i="2"/>
  <c r="S94" i="1"/>
  <c r="Q50" i="2"/>
  <c r="V53" i="2"/>
  <c r="V37" i="2"/>
  <c r="V26" i="2"/>
  <c r="W15" i="2"/>
  <c r="U91" i="1"/>
  <c r="S47" i="2"/>
  <c r="W30" i="2"/>
  <c r="W19" i="2"/>
  <c r="X8" i="2"/>
  <c r="W89" i="2"/>
  <c r="W118" i="2"/>
  <c r="V17" i="2"/>
  <c r="V32" i="2"/>
  <c r="V21" i="2"/>
  <c r="V28" i="2" s="1"/>
  <c r="W10" i="2"/>
  <c r="T108" i="2"/>
  <c r="W54" i="2"/>
  <c r="W27" i="2"/>
  <c r="W38" i="2"/>
  <c r="X16" i="2"/>
  <c r="X2" i="2"/>
  <c r="Y1" i="2"/>
  <c r="X3" i="2"/>
  <c r="S108" i="2"/>
  <c r="O107" i="2"/>
  <c r="V90" i="1"/>
  <c r="T46" i="2"/>
  <c r="S93" i="1"/>
  <c r="Q49" i="2"/>
  <c r="Q55" i="2"/>
  <c r="Q105" i="2" s="1"/>
  <c r="V52" i="2"/>
  <c r="V36" i="2"/>
  <c r="V39" i="2" s="1"/>
  <c r="V25" i="2"/>
  <c r="W14" i="2"/>
  <c r="V40" i="2" l="1"/>
  <c r="Y2" i="2"/>
  <c r="Z1" i="2"/>
  <c r="Y3" i="2"/>
  <c r="W32" i="2"/>
  <c r="X10" i="2"/>
  <c r="W21" i="2"/>
  <c r="X30" i="2"/>
  <c r="X19" i="2"/>
  <c r="Y8" i="2"/>
  <c r="W53" i="2"/>
  <c r="W26" i="2"/>
  <c r="W37" i="2"/>
  <c r="X15" i="2"/>
  <c r="W22" i="2"/>
  <c r="W28" i="2" s="1"/>
  <c r="W40" i="2" s="1"/>
  <c r="W33" i="2"/>
  <c r="X11" i="2"/>
  <c r="W17" i="2"/>
  <c r="X54" i="2"/>
  <c r="X38" i="2"/>
  <c r="X27" i="2"/>
  <c r="Y16" i="2"/>
  <c r="Q109" i="2"/>
  <c r="Q106" i="2"/>
  <c r="Y34" i="2"/>
  <c r="Y23" i="2"/>
  <c r="Z12" i="2"/>
  <c r="U92" i="1"/>
  <c r="S48" i="2"/>
  <c r="P107" i="2"/>
  <c r="T93" i="1"/>
  <c r="R49" i="2"/>
  <c r="T94" i="1"/>
  <c r="R50" i="2"/>
  <c r="R55" i="2" s="1"/>
  <c r="R105" i="2" s="1"/>
  <c r="U104" i="2"/>
  <c r="U41" i="2"/>
  <c r="W36" i="2"/>
  <c r="W25" i="2"/>
  <c r="W52" i="2"/>
  <c r="X14" i="2"/>
  <c r="W90" i="1"/>
  <c r="U46" i="2"/>
  <c r="X89" i="2"/>
  <c r="X118" i="2"/>
  <c r="V91" i="1"/>
  <c r="T47" i="2"/>
  <c r="X31" i="2"/>
  <c r="X20" i="2"/>
  <c r="Y9" i="2"/>
  <c r="W51" i="2"/>
  <c r="W35" i="2"/>
  <c r="W39" i="2" s="1"/>
  <c r="X13" i="2"/>
  <c r="W24" i="2"/>
  <c r="W104" i="2" l="1"/>
  <c r="W41" i="2"/>
  <c r="R109" i="2"/>
  <c r="R106" i="2"/>
  <c r="X32" i="2"/>
  <c r="X21" i="2"/>
  <c r="Y10" i="2"/>
  <c r="Y17" i="2" s="1"/>
  <c r="Q107" i="2"/>
  <c r="Y31" i="2"/>
  <c r="Z9" i="2"/>
  <c r="Y20" i="2"/>
  <c r="U108" i="2"/>
  <c r="X33" i="2"/>
  <c r="X22" i="2"/>
  <c r="Y11" i="2"/>
  <c r="Y30" i="2"/>
  <c r="Y19" i="2"/>
  <c r="Z8" i="2"/>
  <c r="V92" i="1"/>
  <c r="T48" i="2"/>
  <c r="X17" i="2"/>
  <c r="Y89" i="2"/>
  <c r="Y118" i="2"/>
  <c r="Y54" i="2"/>
  <c r="Y38" i="2"/>
  <c r="Y27" i="2"/>
  <c r="Z16" i="2"/>
  <c r="Z3" i="2"/>
  <c r="AA1" i="2"/>
  <c r="Z2" i="2"/>
  <c r="X90" i="1"/>
  <c r="Y46" i="2" s="1"/>
  <c r="V46" i="2"/>
  <c r="U94" i="1"/>
  <c r="S50" i="2"/>
  <c r="X52" i="2"/>
  <c r="X36" i="2"/>
  <c r="X25" i="2"/>
  <c r="Y14" i="2"/>
  <c r="X53" i="2"/>
  <c r="X37" i="2"/>
  <c r="X26" i="2"/>
  <c r="Y15" i="2"/>
  <c r="V104" i="2"/>
  <c r="V41" i="2"/>
  <c r="Z34" i="2"/>
  <c r="Z23" i="2"/>
  <c r="AA12" i="2"/>
  <c r="X35" i="2"/>
  <c r="X39" i="2" s="1"/>
  <c r="X51" i="2"/>
  <c r="Y13" i="2"/>
  <c r="X24" i="2"/>
  <c r="X28" i="2" s="1"/>
  <c r="W91" i="1"/>
  <c r="U47" i="2"/>
  <c r="U93" i="1"/>
  <c r="S49" i="2"/>
  <c r="S55" i="2" s="1"/>
  <c r="S105" i="2" s="1"/>
  <c r="S109" i="2" l="1"/>
  <c r="S106" i="2"/>
  <c r="X40" i="2"/>
  <c r="Z118" i="2"/>
  <c r="Z89" i="2"/>
  <c r="Y35" i="2"/>
  <c r="Y24" i="2"/>
  <c r="Y51" i="2"/>
  <c r="Z13" i="2"/>
  <c r="Y53" i="2"/>
  <c r="Y26" i="2"/>
  <c r="Y37" i="2"/>
  <c r="Z15" i="2"/>
  <c r="Z38" i="2"/>
  <c r="Z54" i="2"/>
  <c r="AA16" i="2"/>
  <c r="Z27" i="2"/>
  <c r="Y33" i="2"/>
  <c r="Z11" i="2"/>
  <c r="Y22" i="2"/>
  <c r="Z31" i="2"/>
  <c r="Z20" i="2"/>
  <c r="AA9" i="2"/>
  <c r="V108" i="2"/>
  <c r="AA34" i="2"/>
  <c r="AA23" i="2"/>
  <c r="AB12" i="2"/>
  <c r="V94" i="1"/>
  <c r="T50" i="2"/>
  <c r="W92" i="1"/>
  <c r="U48" i="2"/>
  <c r="V93" i="1"/>
  <c r="T49" i="2"/>
  <c r="T55" i="2" s="1"/>
  <c r="T105" i="2" s="1"/>
  <c r="R107" i="2"/>
  <c r="W46" i="2"/>
  <c r="X46" i="2"/>
  <c r="Z30" i="2"/>
  <c r="Z46" i="2"/>
  <c r="Z19" i="2"/>
  <c r="AA8" i="2"/>
  <c r="Y52" i="2"/>
  <c r="Y25" i="2"/>
  <c r="Y36" i="2"/>
  <c r="Z14" i="2"/>
  <c r="X91" i="1"/>
  <c r="V47" i="2"/>
  <c r="AA3" i="2"/>
  <c r="AA2" i="2"/>
  <c r="AB1" i="2"/>
  <c r="Y28" i="2"/>
  <c r="Y32" i="2"/>
  <c r="Y39" i="2" s="1"/>
  <c r="Y21" i="2"/>
  <c r="Z10" i="2"/>
  <c r="W108" i="2"/>
  <c r="T109" i="2" l="1"/>
  <c r="T106" i="2"/>
  <c r="X92" i="1"/>
  <c r="V48" i="2"/>
  <c r="Y40" i="2"/>
  <c r="AB3" i="2"/>
  <c r="AB2" i="2"/>
  <c r="AA47" i="2"/>
  <c r="AA31" i="2"/>
  <c r="AA20" i="2"/>
  <c r="AB9" i="2"/>
  <c r="W94" i="1"/>
  <c r="U50" i="2"/>
  <c r="U55" i="2" s="1"/>
  <c r="U105" i="2" s="1"/>
  <c r="Z51" i="2"/>
  <c r="Z35" i="2"/>
  <c r="Z24" i="2"/>
  <c r="AA13" i="2"/>
  <c r="X104" i="2"/>
  <c r="X41" i="2"/>
  <c r="AA118" i="2"/>
  <c r="AA89" i="2"/>
  <c r="AA30" i="2"/>
  <c r="AA46" i="2"/>
  <c r="AB8" i="2"/>
  <c r="AA19" i="2"/>
  <c r="AB34" i="2"/>
  <c r="C34" i="2" s="1"/>
  <c r="AB23" i="2"/>
  <c r="C23" i="2" s="1"/>
  <c r="C12" i="2"/>
  <c r="AA38" i="2"/>
  <c r="AA54" i="2"/>
  <c r="AA27" i="2"/>
  <c r="AB16" i="2"/>
  <c r="W47" i="2"/>
  <c r="X47" i="2"/>
  <c r="Y47" i="2"/>
  <c r="Z47" i="2"/>
  <c r="S107" i="2"/>
  <c r="Z52" i="2"/>
  <c r="Z36" i="2"/>
  <c r="Z39" i="2" s="1"/>
  <c r="Z25" i="2"/>
  <c r="Z28" i="2" s="1"/>
  <c r="Z40" i="2" s="1"/>
  <c r="AA14" i="2"/>
  <c r="Z48" i="2"/>
  <c r="Z32" i="2"/>
  <c r="Z21" i="2"/>
  <c r="AA10" i="2"/>
  <c r="Z17" i="2"/>
  <c r="W93" i="1"/>
  <c r="U49" i="2"/>
  <c r="Z33" i="2"/>
  <c r="Z22" i="2"/>
  <c r="AA11" i="2"/>
  <c r="Z53" i="2"/>
  <c r="Z37" i="2"/>
  <c r="Z26" i="2"/>
  <c r="AA15" i="2"/>
  <c r="Z104" i="2" l="1"/>
  <c r="Z41" i="2"/>
  <c r="U109" i="2"/>
  <c r="U106" i="2"/>
  <c r="AB89" i="2"/>
  <c r="C89" i="2" s="1"/>
  <c r="AB118" i="2"/>
  <c r="C118" i="2" s="1"/>
  <c r="AB46" i="2"/>
  <c r="AB30" i="2"/>
  <c r="C8" i="2"/>
  <c r="AB19" i="2"/>
  <c r="Y104" i="2"/>
  <c r="Y41" i="2"/>
  <c r="X94" i="1"/>
  <c r="V50" i="2"/>
  <c r="AA33" i="2"/>
  <c r="AB11" i="2"/>
  <c r="AA22" i="2"/>
  <c r="AA28" i="2" s="1"/>
  <c r="AA48" i="2"/>
  <c r="AA32" i="2"/>
  <c r="AA39" i="2" s="1"/>
  <c r="AA21" i="2"/>
  <c r="AB10" i="2"/>
  <c r="AA17" i="2"/>
  <c r="X108" i="2"/>
  <c r="AB31" i="2"/>
  <c r="C31" i="2" s="1"/>
  <c r="AB47" i="2"/>
  <c r="C47" i="2" s="1"/>
  <c r="AB20" i="2"/>
  <c r="C20" i="2" s="1"/>
  <c r="C9" i="2"/>
  <c r="AA51" i="2"/>
  <c r="AA24" i="2"/>
  <c r="AA35" i="2"/>
  <c r="AB13" i="2"/>
  <c r="W48" i="2"/>
  <c r="X48" i="2"/>
  <c r="Y48" i="2"/>
  <c r="AB54" i="2"/>
  <c r="C54" i="2" s="1"/>
  <c r="AB38" i="2"/>
  <c r="C38" i="2" s="1"/>
  <c r="C16" i="2"/>
  <c r="AB27" i="2"/>
  <c r="C27" i="2" s="1"/>
  <c r="T107" i="2"/>
  <c r="AA53" i="2"/>
  <c r="AA37" i="2"/>
  <c r="AA26" i="2"/>
  <c r="AB15" i="2"/>
  <c r="X93" i="1"/>
  <c r="AA49" i="2" s="1"/>
  <c r="V49" i="2"/>
  <c r="V55" i="2" s="1"/>
  <c r="V105" i="2" s="1"/>
  <c r="AA52" i="2"/>
  <c r="AA25" i="2"/>
  <c r="AA36" i="2"/>
  <c r="AB14" i="2"/>
  <c r="V109" i="2" l="1"/>
  <c r="V106" i="2"/>
  <c r="AA40" i="2"/>
  <c r="Y108" i="2"/>
  <c r="AB53" i="2"/>
  <c r="C53" i="2" s="1"/>
  <c r="AB37" i="2"/>
  <c r="C37" i="2" s="1"/>
  <c r="AB26" i="2"/>
  <c r="C26" i="2" s="1"/>
  <c r="C15" i="2"/>
  <c r="C19" i="2"/>
  <c r="AB33" i="2"/>
  <c r="C33" i="2" s="1"/>
  <c r="AB49" i="2"/>
  <c r="AB22" i="2"/>
  <c r="C22" i="2" s="1"/>
  <c r="C11" i="2"/>
  <c r="C129" i="2"/>
  <c r="AB52" i="2"/>
  <c r="C52" i="2" s="1"/>
  <c r="AB36" i="2"/>
  <c r="C36" i="2" s="1"/>
  <c r="AB25" i="2"/>
  <c r="C25" i="2" s="1"/>
  <c r="C14" i="2"/>
  <c r="AB17" i="2"/>
  <c r="U107" i="2"/>
  <c r="C30" i="2"/>
  <c r="C39" i="2" s="1"/>
  <c r="AB48" i="2"/>
  <c r="C48" i="2" s="1"/>
  <c r="AB32" i="2"/>
  <c r="C32" i="2" s="1"/>
  <c r="AB21" i="2"/>
  <c r="C21" i="2" s="1"/>
  <c r="C10" i="2"/>
  <c r="C17" i="2" s="1"/>
  <c r="C46" i="2"/>
  <c r="W49" i="2"/>
  <c r="W55" i="2" s="1"/>
  <c r="W105" i="2" s="1"/>
  <c r="X49" i="2"/>
  <c r="Y49" i="2"/>
  <c r="Z49" i="2"/>
  <c r="AB51" i="2"/>
  <c r="C51" i="2" s="1"/>
  <c r="AB35" i="2"/>
  <c r="C35" i="2" s="1"/>
  <c r="AB24" i="2"/>
  <c r="C24" i="2" s="1"/>
  <c r="C13" i="2"/>
  <c r="W50" i="2"/>
  <c r="X50" i="2"/>
  <c r="X55" i="2" s="1"/>
  <c r="X105" i="2" s="1"/>
  <c r="Y50" i="2"/>
  <c r="Y55" i="2" s="1"/>
  <c r="Y105" i="2" s="1"/>
  <c r="Z50" i="2"/>
  <c r="AA50" i="2"/>
  <c r="AA55" i="2" s="1"/>
  <c r="AA105" i="2" s="1"/>
  <c r="AA109" i="2" s="1"/>
  <c r="AB50" i="2"/>
  <c r="Z108" i="2"/>
  <c r="X109" i="2" l="1"/>
  <c r="X106" i="2"/>
  <c r="Y109" i="2"/>
  <c r="Y106" i="2"/>
  <c r="C49" i="2"/>
  <c r="C55" i="2" s="1"/>
  <c r="C105" i="2" s="1"/>
  <c r="W109" i="2"/>
  <c r="W106" i="2"/>
  <c r="C28" i="2"/>
  <c r="C40" i="2" s="1"/>
  <c r="C104" i="2" s="1"/>
  <c r="AA104" i="2"/>
  <c r="AA41" i="2"/>
  <c r="AB39" i="2"/>
  <c r="AB28" i="2"/>
  <c r="AB40" i="2" s="1"/>
  <c r="AB55" i="2"/>
  <c r="AB105" i="2" s="1"/>
  <c r="AB109" i="2" s="1"/>
  <c r="C50" i="2"/>
  <c r="V107" i="2"/>
  <c r="Z55" i="2"/>
  <c r="Z105" i="2" s="1"/>
  <c r="Y107" i="2" l="1"/>
  <c r="W107" i="2"/>
  <c r="Z109" i="2"/>
  <c r="C109" i="2" s="1"/>
  <c r="I77" i="7" s="1"/>
  <c r="I79" i="7" s="1"/>
  <c r="Z106" i="2"/>
  <c r="C106" i="2"/>
  <c r="AB104" i="2"/>
  <c r="AB41" i="2"/>
  <c r="C41" i="2" s="1"/>
  <c r="X107" i="2"/>
  <c r="AA106" i="2"/>
  <c r="AA108" i="2"/>
  <c r="Z107" i="2" l="1"/>
  <c r="AA107" i="2"/>
  <c r="AB108" i="2"/>
  <c r="C108" i="2" s="1"/>
  <c r="I67" i="7" s="1"/>
  <c r="AB106" i="2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00000000-0006-0000-0200-00000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00000000-0006-0000-0200-00000C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00000000-0006-0000-0200-00000E000000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00000000-0006-0000-0200-000012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<sst xmlns="http://schemas.openxmlformats.org/spreadsheetml/2006/main" count="677" uniqueCount="308">
  <si>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</si>
  <si>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</si>
  <si>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</si>
  <si>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</si>
  <si>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</si>
  <si>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</si>
  <si>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</si>
  <si>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</si>
  <si>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</si>
  <si>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</si>
  <si>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</si>
  <si>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</si>
  <si>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</si>
  <si>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</si>
  <si>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</si>
  <si>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</si>
  <si>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</si>
  <si>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</si>
  <si>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</si>
  <si>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</si>
  <si>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</si>
  <si>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</si>
  <si>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</si>
  <si>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</si>
  <si>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</si>
  <si>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</si>
  <si>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</si>
  <si>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</si>
  <si>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</si>
  <si>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</si>
  <si>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</si>
  <si>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</si>
  <si>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</si>
  <si>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</si>
  <si>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</si>
  <si>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</si>
  <si>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</si>
  <si>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</si>
  <si>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</si>
  <si>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</si>
  <si>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</si>
  <si>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</si>
  <si>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</si>
  <si>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</si>
  <si>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</si>
  <si>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</si>
  <si>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</si>
  <si>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</si>
  <si>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</si>
  <si>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</si>
  <si>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</si>
  <si>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</si>
  <si>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</si>
  <si>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</si>
  <si>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</si>
  <si>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</si>
  <si>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</si>
  <si>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</si>
  <si>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</si>
  <si>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</si>
  <si>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</si>
  <si>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</si>
  <si>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</si>
  <si>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</si>
  <si>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</si>
  <si>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</si>
  <si>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</si>
  <si>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</si>
  <si>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</si>
  <si>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</si>
  <si>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</si>
  <si>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</si>
  <si>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</si>
  <si>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</si>
  <si>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</si>
  <si>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</si>
  <si>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</si>
  <si>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</si>
  <si>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</si>
  <si>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</si>
  <si>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</si>
  <si>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</si>
  <si>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</si>
  <si>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</si>
  <si>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</si>
  <si>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</si>
  <si>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</si>
  <si>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</si>
  <si>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</si>
  <si>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</si>
  <si>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</si>
  <si>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</si>
  <si>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</si>
  <si>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</si>
  <si>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</si>
  <si>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</si>
  <si>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</si>
  <si>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</si>
  <si>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</si>
  <si>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</si>
  <si>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</si>
  <si>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</si>
  <si>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</si>
  <si>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</si>
  <si>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</si>
  <si>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</si>
  <si>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</si>
  <si>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</si>
  <si>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</si>
  <si>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</si>
  <si>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</si>
  <si>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</si>
  <si>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</si>
  <si>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</si>
  <si>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</si>
  <si>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</si>
  <si>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</si>
  <si>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</si>
  <si>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</si>
  <si>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</si>
  <si>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</si>
  <si>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</si>
  <si>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</si>
  <si>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</si>
  <si>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</si>
  <si>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</si>
  <si>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</si>
  <si>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</si>
  <si>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</si>
  <si>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</si>
  <si>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</si>
  <si>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</si>
  <si>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</si>
  <si>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</si>
  <si>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</si>
  <si>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</si>
  <si>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</si>
  <si>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</si>
  <si>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</si>
  <si>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</si>
  <si>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</si>
  <si>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</si>
  <si>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</si>
  <si>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</si>
  <si>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</si>
  <si>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</si>
  <si>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</si>
  <si>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</si>
  <si>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</si>
  <si>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</si>
  <si>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</si>
  <si>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</si>
  <si>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</si>
  <si>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</si>
  <si>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</si>
  <si>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</si>
  <si>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</si>
  <si>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</si>
  <si>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</si>
  <si>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</si>
  <si>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</si>
  <si>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</si>
  <si>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</si>
  <si>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</si>
  <si>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</si>
  <si>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</si>
  <si>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</si>
  <si>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</si>
  <si>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</si>
  <si>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</si>
  <si>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</si>
  <si>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</si>
  <si>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</si>
  <si>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</si>
  <si>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</si>
  <si>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</si>
  <si>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</si>
  <si>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</si>
  <si>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</si>
  <si>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</si>
  <si>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</si>
  <si>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</si>
  <si>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</si>
  <si>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</si>
  <si>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</si>
  <si>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</si>
  <si>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</si>
  <si>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</si>
  <si>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</si>
  <si>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</si>
  <si>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</si>
  <si>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</si>
  <si>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</si>
  <si>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</si>
  <si>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</si>
  <si>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</si>
  <si>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</si>
  <si>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</si>
  <si>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</si>
  <si>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</si>
  <si>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</si>
  <si>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</si>
  <si>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</si>
  <si>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</si>
  <si>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</si>
  <si>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</si>
  <si>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</si>
  <si>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</si>
  <si>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</si>
  <si>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</si>
  <si>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</si>
  <si>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</si>
  <si>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</si>
  <si>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</si>
  <si>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</si>
  <si>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</si>
  <si>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</si>
  <si>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</si>
  <si>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</si>
  <si>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</si>
  <si>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</si>
  <si>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</si>
  <si>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</si>
  <si>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NOTE: Option 2 - EE Different from OTC</t>
  </si>
  <si>
    <t>N/A</t>
  </si>
  <si>
    <t>PV of Projected OM&amp;A costs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</si>
  <si>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</si>
  <si>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</si>
  <si>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</si>
  <si>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</si>
  <si>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</si>
  <si>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</si>
  <si>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</si>
  <si>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</si>
  <si>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</si>
  <si>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</si>
  <si>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</si>
  <si>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</si>
  <si>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</si>
  <si>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</si>
  <si>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</si>
  <si>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2019</t>
  </si>
  <si>
    <t>2020</t>
  </si>
  <si>
    <t>Total  Cost of Project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</si>
  <si>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</si>
  <si>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</si>
  <si>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</si>
  <si>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</si>
  <si>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</si>
  <si>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</si>
  <si>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</si>
  <si>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</si>
  <si>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</si>
  <si>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VERIDIAN</t>
  </si>
  <si>
    <t>ELEXICON</t>
  </si>
  <si>
    <t>2020/Cust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</si>
  <si>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</si>
  <si>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</si>
  <si>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</si>
  <si>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</si>
  <si>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</si>
  <si>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</si>
  <si>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</si>
  <si>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</si>
  <si>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</si>
  <si>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</si>
  <si>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</si>
  <si>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</si>
  <si>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</si>
  <si>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</si>
  <si>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</si>
  <si>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</si>
  <si>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</si>
  <si>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</si>
  <si>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</si>
  <si>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</si>
  <si>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</si>
  <si>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</si>
  <si>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</si>
  <si>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</si>
  <si>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</si>
  <si>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</si>
  <si>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</si>
  <si>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 xml:space="preserve"> </t>
  </si>
  <si>
    <t>Year 20-25</t>
  </si>
  <si>
    <t>Customers</t>
  </si>
  <si>
    <t>Total 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</si>
  <si>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</si>
  <si>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</si>
  <si>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</si>
  <si>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</si>
  <si>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</si>
  <si>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</si>
  <si>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</si>
  <si>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</si>
  <si>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</si>
  <si>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</si>
  <si>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</si>
  <si>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t>Year 12-2034</t>
  </si>
  <si>
    <t>Year 13-2035</t>
  </si>
  <si>
    <t>Year 14-2036</t>
  </si>
  <si>
    <t>Year 15-2037</t>
  </si>
  <si>
    <t>Year 16-2038</t>
  </si>
  <si>
    <t>Year 17-2039</t>
  </si>
  <si>
    <t>Year 18-2040</t>
  </si>
  <si>
    <t>Year 19-2041</t>
  </si>
  <si>
    <t>Year 20-2042</t>
  </si>
  <si>
    <r>
      <t>27.6kV Brooklin N Dev-ICM -</t>
    </r>
    <r>
      <rPr>
        <b/>
        <sz val="10"/>
        <color rgb="FF0000FF"/>
        <rFont val="Arial"/>
        <family val="2"/>
      </rPr>
      <t xml:space="preserve"> C - 10-Yr DCF Model Calculation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</si>
</sst>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3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0" xfId="0" applyFont="1" applyFill="1" applyBorder="1"/>
    <xf numFmtId="0" fontId="1" fillId="12" borderId="31" xfId="0" applyFont="1" applyFill="1" applyBorder="1"/>
    <xf numFmtId="0" fontId="2" fillId="12" borderId="31" xfId="0" applyFont="1" applyFill="1" applyBorder="1"/>
    <xf numFmtId="164" fontId="1" fillId="12" borderId="32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164" fontId="1" fillId="6" borderId="23" xfId="0" applyNumberFormat="1" applyFont="1" applyFill="1" applyBorder="1"/>
    <xf numFmtId="0" fontId="39" fillId="6" borderId="29" xfId="0" applyFont="1" applyFill="1" applyBorder="1" applyAlignment="1">
      <alignment wrapText="1"/>
    </xf>
    <xf numFmtId="0" fontId="39" fillId="6" borderId="8" xfId="0" applyFont="1" applyFill="1" applyBorder="1"/>
    <xf numFmtId="0" fontId="39" fillId="6" borderId="0" xfId="0" applyFont="1" applyFill="1"/>
    <xf numFmtId="164" fontId="39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3" borderId="0" xfId="1" applyNumberFormat="1" applyFont="1" applyFill="1"/>
    <xf numFmtId="0" fontId="0" fillId="13" borderId="0" xfId="0" applyFill="1"/>
    <xf numFmtId="171" fontId="0" fillId="13" borderId="0" xfId="0" applyNumberFormat="1" applyFill="1"/>
    <xf numFmtId="171" fontId="24" fillId="13" borderId="0" xfId="1" applyNumberFormat="1" applyFont="1" applyFill="1"/>
    <xf numFmtId="171" fontId="1" fillId="13" borderId="0" xfId="1" applyNumberFormat="1" applyFont="1" applyFill="1"/>
    <xf numFmtId="10" fontId="0" fillId="13" borderId="0" xfId="15" applyNumberFormat="1" applyFont="1" applyFill="1"/>
    <xf numFmtId="10" fontId="28" fillId="13" borderId="0" xfId="15" applyNumberFormat="1" applyFont="1" applyFill="1"/>
    <xf numFmtId="10" fontId="1" fillId="13" borderId="0" xfId="15" applyNumberFormat="1" applyFont="1" applyFill="1"/>
    <xf numFmtId="0" fontId="40" fillId="0" borderId="0" xfId="0" applyFont="1"/>
    <xf numFmtId="0" fontId="41" fillId="0" borderId="2" xfId="0" applyFont="1" applyBorder="1"/>
    <xf numFmtId="0" fontId="1" fillId="12" borderId="30" xfId="0" applyFont="1" applyFill="1" applyBorder="1"/>
    <xf numFmtId="164" fontId="1" fillId="12" borderId="33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4" xfId="4" applyFont="1" applyFill="1" applyBorder="1" applyAlignment="1"/>
    <xf numFmtId="0" fontId="42" fillId="12" borderId="21" xfId="0" applyFont="1" applyFill="1" applyBorder="1"/>
    <xf numFmtId="0" fontId="42" fillId="12" borderId="2" xfId="0" applyFont="1" applyFill="1" applyBorder="1"/>
    <xf numFmtId="164" fontId="42" fillId="12" borderId="34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36" xfId="0" applyFont="1" applyBorder="1"/>
    <xf numFmtId="0" fontId="2" fillId="0" borderId="36" xfId="0" applyFont="1" applyBorder="1"/>
    <xf numFmtId="0" fontId="0" fillId="0" borderId="37" xfId="0" applyBorder="1"/>
    <xf numFmtId="0" fontId="2" fillId="0" borderId="38" xfId="0" applyFont="1" applyBorder="1"/>
    <xf numFmtId="0" fontId="0" fillId="0" borderId="6" xfId="0" applyBorder="1"/>
    <xf numFmtId="0" fontId="39" fillId="6" borderId="0" xfId="0" applyFont="1" applyFill="1" applyAlignment="1">
      <alignment wrapText="1"/>
    </xf>
    <xf numFmtId="164" fontId="39" fillId="6" borderId="0" xfId="4" applyFont="1" applyFill="1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0" borderId="3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42" fillId="12" borderId="21" xfId="0" applyFont="1" applyFill="1" applyBorder="1" applyAlignment="1">
      <alignment horizontal="center"/>
    </xf>
    <xf numFmtId="0" fontId="42" fillId="12" borderId="2" xfId="0" applyFont="1" applyFill="1" applyBorder="1" applyAlignment="1">
      <alignment horizontal="center"/>
    </xf>
    <xf numFmtId="0" fontId="39" fillId="6" borderId="27" xfId="0" applyFont="1" applyFill="1" applyBorder="1" applyAlignment="1">
      <alignment horizontal="center" wrapText="1"/>
    </xf>
    <xf numFmtId="0" fontId="39" fillId="6" borderId="29" xfId="0" applyFont="1" applyFill="1" applyBorder="1" applyAlignment="1">
      <alignment horizontal="center" wrapText="1"/>
    </xf>
    <xf numFmtId="164" fontId="39" fillId="6" borderId="27" xfId="4" applyFont="1" applyFill="1" applyBorder="1" applyAlignment="1">
      <alignment horizontal="center"/>
    </xf>
    <xf numFmtId="164" fontId="39" fillId="6" borderId="29" xfId="4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" fillId="12" borderId="30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96"/>
  <sheetViews>
    <sheetView showGridLines="0" tabSelected="1" topLeftCell="A31" zoomScaleNormal="100" zoomScaleSheetLayoutView="100" workbookViewId="0">
      <selection activeCell="E8" sqref="E8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1.28515625" style="136" bestFit="1" customWidth="1"/>
    <col min="13" max="13" width="11.42578125" style="136" customWidth="1"/>
    <col min="14" max="14" width="12.140625" style="136" customWidth="1"/>
    <col min="15" max="15" width="13.5703125" style="136" customWidth="1"/>
    <col min="16" max="16" width="11.85546875" style="136" customWidth="1"/>
    <col min="17" max="18" width="12.140625" style="136" customWidth="1"/>
    <col min="19" max="19" width="11.85546875" style="136" customWidth="1"/>
    <col min="20" max="20" width="12.5703125" style="136" customWidth="1"/>
    <col min="21" max="25" width="12.28515625" style="136" bestFit="1" customWidth="1"/>
    <col min="28" max="16384" width="9.140625" style="136"/>
  </cols>
  <sheetData>
    <row r="1" spans="2:26" x14ac:dyDescent="0.2">
      <c r="B1" s="297" t="s">
        <v>134</v>
      </c>
      <c r="C1" s="298"/>
      <c r="D1" s="298"/>
      <c r="E1" s="298"/>
      <c r="F1" s="298"/>
      <c r="G1" s="298"/>
      <c r="H1" s="298"/>
      <c r="I1" s="298"/>
      <c r="J1" s="298"/>
      <c r="K1" s="298"/>
    </row>
    <row r="2" spans="2:26" ht="12.75" customHeight="1" x14ac:dyDescent="0.2">
      <c r="B2" s="173" t="s">
        <v>135</v>
      </c>
      <c r="C2" s="312" t="s">
        <v>307</v>
      </c>
      <c r="D2" s="312"/>
      <c r="E2" s="312"/>
      <c r="F2" s="312"/>
      <c r="G2" s="312"/>
      <c r="H2" s="312"/>
      <c r="I2" s="312"/>
      <c r="J2" s="312"/>
      <c r="K2" s="272"/>
    </row>
    <row r="3" spans="2:26" x14ac:dyDescent="0.2">
      <c r="B3" s="173" t="s">
        <v>136</v>
      </c>
      <c r="C3" s="299"/>
      <c r="D3" s="300"/>
      <c r="E3" s="300"/>
      <c r="F3" s="300"/>
      <c r="G3" s="300"/>
      <c r="H3" s="79"/>
      <c r="I3" s="79"/>
      <c r="J3" s="79"/>
      <c r="K3" s="79"/>
    </row>
    <row r="4" spans="2:26" x14ac:dyDescent="0.2">
      <c r="B4" s="173" t="s">
        <v>162</v>
      </c>
      <c r="C4" s="314" t="s">
        <v>266</v>
      </c>
      <c r="D4" s="315"/>
      <c r="E4" s="316"/>
      <c r="F4" s="316"/>
      <c r="G4" s="316"/>
      <c r="H4" s="313"/>
      <c r="I4" s="313"/>
      <c r="J4" s="79"/>
      <c r="K4" s="79"/>
    </row>
    <row r="5" spans="2:26" x14ac:dyDescent="0.2">
      <c r="B5" s="173" t="s">
        <v>163</v>
      </c>
      <c r="C5" s="314" t="s">
        <v>240</v>
      </c>
      <c r="D5" s="314"/>
      <c r="E5" s="314"/>
      <c r="F5" s="314"/>
      <c r="G5" s="314"/>
      <c r="H5" s="174"/>
      <c r="I5" s="174"/>
      <c r="J5" s="79"/>
      <c r="K5" s="79"/>
    </row>
    <row r="6" spans="2:26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</row>
    <row r="7" spans="2:26" x14ac:dyDescent="0.2">
      <c r="B7" s="108" t="s">
        <v>222</v>
      </c>
      <c r="C7" s="176" t="s">
        <v>265</v>
      </c>
      <c r="D7" s="79" t="s">
        <v>220</v>
      </c>
      <c r="E7" s="177">
        <v>44978</v>
      </c>
      <c r="F7" s="79" t="s">
        <v>221</v>
      </c>
      <c r="G7" s="176" t="s">
        <v>267</v>
      </c>
      <c r="K7" s="1"/>
    </row>
    <row r="8" spans="2:26" x14ac:dyDescent="0.2">
      <c r="B8" s="173"/>
      <c r="C8" s="79"/>
      <c r="D8" s="79"/>
      <c r="E8" s="79"/>
      <c r="F8" s="79"/>
      <c r="G8" s="79"/>
      <c r="K8" s="1"/>
    </row>
    <row r="9" spans="2:26" x14ac:dyDescent="0.2">
      <c r="B9" s="108" t="s">
        <v>249</v>
      </c>
      <c r="C9" s="79" t="s">
        <v>250</v>
      </c>
      <c r="D9" s="79"/>
      <c r="E9" s="79"/>
      <c r="F9" s="79"/>
      <c r="G9" s="79"/>
      <c r="K9" s="1"/>
    </row>
    <row r="10" spans="2:26" x14ac:dyDescent="0.2">
      <c r="B10" s="173"/>
      <c r="C10" s="79"/>
      <c r="D10" s="79"/>
      <c r="E10" s="79"/>
      <c r="F10" s="79"/>
      <c r="G10" s="79"/>
      <c r="K10" s="1"/>
      <c r="Z10" s="278"/>
    </row>
    <row r="11" spans="2:26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273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77"/>
    </row>
    <row r="12" spans="2:26" ht="14.25" thickTop="1" thickBot="1" x14ac:dyDescent="0.25">
      <c r="B12" s="1"/>
      <c r="D12" s="79"/>
      <c r="E12" s="79"/>
      <c r="J12" s="274"/>
      <c r="K12" s="275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6"/>
    </row>
    <row r="13" spans="2:26" ht="14.25" thickTop="1" thickBot="1" x14ac:dyDescent="0.25">
      <c r="B13" s="82" t="s">
        <v>138</v>
      </c>
      <c r="C13" s="83"/>
      <c r="D13" s="83"/>
      <c r="E13" s="83" t="s">
        <v>139</v>
      </c>
      <c r="F13" s="301" t="s">
        <v>155</v>
      </c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</row>
    <row r="14" spans="2:26" ht="18" customHeight="1" thickTop="1" x14ac:dyDescent="0.2">
      <c r="B14" s="84"/>
      <c r="C14" s="85"/>
      <c r="D14" s="85"/>
      <c r="E14" s="85"/>
      <c r="F14" s="179" t="s">
        <v>287</v>
      </c>
      <c r="G14" s="179" t="s">
        <v>288</v>
      </c>
      <c r="H14" s="179" t="s">
        <v>289</v>
      </c>
      <c r="I14" s="179" t="s">
        <v>290</v>
      </c>
      <c r="J14" s="179" t="s">
        <v>291</v>
      </c>
      <c r="K14" s="179" t="s">
        <v>292</v>
      </c>
      <c r="L14" s="179" t="s">
        <v>293</v>
      </c>
      <c r="M14" s="179" t="s">
        <v>294</v>
      </c>
      <c r="N14" s="179" t="s">
        <v>295</v>
      </c>
      <c r="O14" s="179" t="s">
        <v>296</v>
      </c>
      <c r="P14" s="179" t="s">
        <v>297</v>
      </c>
      <c r="Q14" s="179" t="s">
        <v>298</v>
      </c>
      <c r="R14" s="179" t="s">
        <v>299</v>
      </c>
      <c r="S14" s="179" t="s">
        <v>300</v>
      </c>
      <c r="T14" s="179" t="s">
        <v>301</v>
      </c>
      <c r="U14" s="179" t="s">
        <v>302</v>
      </c>
      <c r="V14" s="179" t="s">
        <v>303</v>
      </c>
      <c r="W14" s="179" t="s">
        <v>304</v>
      </c>
      <c r="X14" s="179" t="s">
        <v>305</v>
      </c>
      <c r="Y14" s="179" t="s">
        <v>306</v>
      </c>
      <c r="Z14" s="179" t="s">
        <v>11</v>
      </c>
    </row>
    <row r="15" spans="2:26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</row>
    <row r="16" spans="2:26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</row>
    <row r="17" spans="2:26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</row>
    <row r="18" spans="2:26" x14ac:dyDescent="0.2">
      <c r="B18" s="184" t="s">
        <v>244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87">
        <f>SUM(F18:Y18)</f>
        <v>7000</v>
      </c>
    </row>
    <row r="19" spans="2:26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</row>
    <row r="20" spans="2:26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</row>
    <row r="21" spans="2:26" x14ac:dyDescent="0.2">
      <c r="C21" s="305" t="s">
        <v>140</v>
      </c>
      <c r="D21" s="305"/>
      <c r="E21" s="305"/>
      <c r="F21" s="181">
        <f t="shared" ref="F21:J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ref="K21:Z21" si="2">SUM(K17:K20)</f>
        <v>700</v>
      </c>
      <c r="L21" s="181">
        <f t="shared" si="2"/>
        <v>700</v>
      </c>
      <c r="M21" s="181">
        <f t="shared" si="2"/>
        <v>700</v>
      </c>
      <c r="N21" s="181">
        <f t="shared" si="2"/>
        <v>700</v>
      </c>
      <c r="O21" s="181">
        <f t="shared" si="2"/>
        <v>700</v>
      </c>
      <c r="P21" s="181">
        <f t="shared" si="2"/>
        <v>0</v>
      </c>
      <c r="Q21" s="181">
        <f t="shared" si="2"/>
        <v>0</v>
      </c>
      <c r="R21" s="181">
        <f t="shared" ref="R21" si="3">SUM(R17:R20)</f>
        <v>0</v>
      </c>
      <c r="S21" s="181">
        <f t="shared" si="2"/>
        <v>0</v>
      </c>
      <c r="T21" s="181">
        <f t="shared" si="2"/>
        <v>0</v>
      </c>
      <c r="U21" s="181">
        <f t="shared" si="2"/>
        <v>0</v>
      </c>
      <c r="V21" s="181">
        <f t="shared" si="2"/>
        <v>0</v>
      </c>
      <c r="W21" s="181">
        <f t="shared" si="2"/>
        <v>0</v>
      </c>
      <c r="X21" s="181">
        <f t="shared" si="2"/>
        <v>0</v>
      </c>
      <c r="Y21" s="181">
        <f t="shared" si="2"/>
        <v>0</v>
      </c>
      <c r="Z21" s="181">
        <f t="shared" si="2"/>
        <v>7000</v>
      </c>
    </row>
    <row r="22" spans="2:26" x14ac:dyDescent="0.2">
      <c r="C22" s="305" t="s">
        <v>160</v>
      </c>
      <c r="D22" s="305"/>
      <c r="E22" s="305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4">IF(K21=0,J22,(K17*$E$17+K18*$E$18+K19*$E$19)/K21)</f>
        <v>750</v>
      </c>
      <c r="L22" s="181">
        <f t="shared" si="4"/>
        <v>750</v>
      </c>
      <c r="M22" s="181">
        <f t="shared" si="4"/>
        <v>750</v>
      </c>
      <c r="N22" s="181">
        <f t="shared" si="4"/>
        <v>750</v>
      </c>
      <c r="O22" s="181">
        <f t="shared" si="4"/>
        <v>750</v>
      </c>
      <c r="P22" s="181">
        <f t="shared" si="4"/>
        <v>750</v>
      </c>
      <c r="Q22" s="181">
        <f t="shared" si="4"/>
        <v>750</v>
      </c>
      <c r="R22" s="181">
        <f t="shared" si="4"/>
        <v>750</v>
      </c>
      <c r="S22" s="181">
        <f>IF(S21=0,Q22,(S17*$E$17+S18*$E$18+S19*$E$19)/S21)</f>
        <v>750</v>
      </c>
      <c r="T22" s="181">
        <f t="shared" si="4"/>
        <v>750</v>
      </c>
      <c r="U22" s="181">
        <f t="shared" si="4"/>
        <v>750</v>
      </c>
      <c r="V22" s="181">
        <f t="shared" si="4"/>
        <v>750</v>
      </c>
      <c r="W22" s="181">
        <f t="shared" si="4"/>
        <v>750</v>
      </c>
      <c r="X22" s="181">
        <f t="shared" si="4"/>
        <v>750</v>
      </c>
      <c r="Y22" s="181">
        <f t="shared" si="4"/>
        <v>750</v>
      </c>
      <c r="Z22" s="181">
        <f>IF(Z21=0,Y22,(Z17*$E$17+Z18*$E$18+Z19*$E$19)/Z21)</f>
        <v>750</v>
      </c>
    </row>
    <row r="23" spans="2:26" x14ac:dyDescent="0.2">
      <c r="C23" s="305"/>
      <c r="D23" s="305"/>
      <c r="E23" s="305"/>
      <c r="F23" s="188"/>
      <c r="G23" s="188"/>
      <c r="H23" s="188"/>
      <c r="I23" s="188"/>
      <c r="J23" s="188"/>
      <c r="K23" s="188"/>
    </row>
    <row r="24" spans="2:26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6" x14ac:dyDescent="0.2">
      <c r="B25" s="1"/>
    </row>
    <row r="26" spans="2:26" x14ac:dyDescent="0.2">
      <c r="B26" s="1"/>
      <c r="D26" s="85"/>
      <c r="E26" s="85"/>
      <c r="F26" s="84"/>
      <c r="L26" s="77"/>
      <c r="M26" s="77"/>
      <c r="N26" s="77"/>
    </row>
    <row r="27" spans="2:26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6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  <c r="T28" s="136" t="s">
        <v>283</v>
      </c>
    </row>
    <row r="29" spans="2:26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6" ht="13.5" thickBot="1" x14ac:dyDescent="0.25">
      <c r="D30" s="193"/>
    </row>
    <row r="31" spans="2:26" ht="13.5" thickBot="1" x14ac:dyDescent="0.25">
      <c r="B31" s="88" t="s">
        <v>147</v>
      </c>
      <c r="C31" s="178"/>
      <c r="D31" s="178"/>
      <c r="E31" s="178"/>
      <c r="F31" s="194"/>
      <c r="H31" s="244" t="s">
        <v>227</v>
      </c>
      <c r="I31" s="218"/>
      <c r="J31" s="219"/>
      <c r="K31" s="195"/>
      <c r="L31" s="223"/>
      <c r="M31" s="223"/>
      <c r="N31" s="223"/>
    </row>
    <row r="32" spans="2:26" ht="13.5" thickTop="1" x14ac:dyDescent="0.2">
      <c r="B32" s="196" t="s">
        <v>149</v>
      </c>
      <c r="F32" s="197"/>
      <c r="H32" s="92" t="s">
        <v>223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06" t="s">
        <v>224</v>
      </c>
      <c r="I34" s="307"/>
      <c r="J34" s="308"/>
      <c r="K34" s="195"/>
    </row>
    <row r="35" spans="2:14" ht="13.5" thickBot="1" x14ac:dyDescent="0.25">
      <c r="B35" s="196"/>
      <c r="F35" s="166"/>
      <c r="H35" s="309"/>
      <c r="I35" s="310"/>
      <c r="J35" s="311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9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9" ht="13.5" thickTop="1" x14ac:dyDescent="0.2">
      <c r="B50" s="1"/>
      <c r="K50" s="195"/>
    </row>
    <row r="51" spans="2:19" ht="13.5" thickBot="1" x14ac:dyDescent="0.25">
      <c r="B51" s="1"/>
      <c r="K51" s="195"/>
    </row>
    <row r="52" spans="2:19" ht="13.5" thickBot="1" x14ac:dyDescent="0.25">
      <c r="B52" s="302" t="s">
        <v>218</v>
      </c>
      <c r="C52" s="303"/>
      <c r="D52" s="303"/>
      <c r="E52" s="303"/>
      <c r="F52" s="303"/>
      <c r="G52" s="303"/>
      <c r="H52" s="303"/>
      <c r="I52" s="303"/>
      <c r="J52" s="303"/>
      <c r="K52" s="304"/>
    </row>
    <row r="53" spans="2:19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9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9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9" ht="23.25" customHeight="1" thickBot="1" x14ac:dyDescent="0.3">
      <c r="B56" s="207" t="s">
        <v>145</v>
      </c>
      <c r="C56" s="224">
        <v>0</v>
      </c>
      <c r="D56" s="208"/>
      <c r="E56" s="295" t="s">
        <v>148</v>
      </c>
      <c r="F56" s="296"/>
      <c r="G56" s="296"/>
      <c r="H56" s="230"/>
      <c r="I56" s="231"/>
      <c r="J56" s="209"/>
      <c r="K56" s="210"/>
    </row>
    <row r="57" spans="2:19" ht="30.75" customHeight="1" thickBot="1" x14ac:dyDescent="0.25">
      <c r="B57" s="207" t="s">
        <v>245</v>
      </c>
      <c r="C57" s="224">
        <v>0</v>
      </c>
      <c r="D57" s="208"/>
      <c r="E57" s="329" t="s">
        <v>150</v>
      </c>
      <c r="F57" s="330"/>
      <c r="G57" s="330"/>
      <c r="H57" s="232"/>
      <c r="I57" s="233"/>
      <c r="J57" s="209"/>
      <c r="K57" s="210"/>
      <c r="O57" s="321" t="s">
        <v>248</v>
      </c>
      <c r="P57" s="322"/>
      <c r="Q57" s="246"/>
      <c r="R57" s="279"/>
    </row>
    <row r="58" spans="2:19" ht="22.5" customHeight="1" x14ac:dyDescent="0.2">
      <c r="B58" s="207" t="s">
        <v>246</v>
      </c>
      <c r="C58" s="224">
        <v>0</v>
      </c>
      <c r="D58" s="208"/>
      <c r="E58" s="234" t="s">
        <v>243</v>
      </c>
      <c r="F58" s="235"/>
      <c r="G58" s="235"/>
      <c r="H58" s="236"/>
      <c r="I58" s="237">
        <f>+C62</f>
        <v>76000000</v>
      </c>
      <c r="J58" s="209"/>
      <c r="K58" s="210"/>
      <c r="O58" s="247"/>
      <c r="P58" s="248"/>
      <c r="Q58" s="248"/>
      <c r="R58" s="248"/>
      <c r="S58" s="196"/>
    </row>
    <row r="59" spans="2:19" ht="22.5" customHeight="1" thickBot="1" x14ac:dyDescent="0.25">
      <c r="B59" s="207" t="s">
        <v>10</v>
      </c>
      <c r="C59" s="224">
        <v>76000000</v>
      </c>
      <c r="D59" s="208"/>
      <c r="E59" s="238" t="s">
        <v>230</v>
      </c>
      <c r="F59" s="239"/>
      <c r="G59" s="239"/>
      <c r="H59" s="239"/>
      <c r="I59" s="240">
        <f ca="1">IF(-'NPV Calculation'!C131&lt;0,0,-'NPV Calculation'!C131)</f>
        <v>49334523.014258429</v>
      </c>
      <c r="J59" s="209"/>
      <c r="K59" s="245"/>
      <c r="O59" s="247"/>
      <c r="P59" s="248"/>
      <c r="Q59" s="248"/>
      <c r="R59" s="248"/>
      <c r="S59" s="196"/>
    </row>
    <row r="60" spans="2:19" ht="22.5" customHeight="1" thickBot="1" x14ac:dyDescent="0.25">
      <c r="B60" s="207" t="s">
        <v>247</v>
      </c>
      <c r="C60" s="224"/>
      <c r="D60" s="208"/>
      <c r="E60" s="333" t="s">
        <v>259</v>
      </c>
      <c r="F60" s="334"/>
      <c r="G60" s="239"/>
      <c r="H60" s="241"/>
      <c r="I60" s="271">
        <f ca="1">+I58-I59</f>
        <v>26665476.985741571</v>
      </c>
      <c r="J60" s="209"/>
      <c r="K60" s="245"/>
      <c r="O60" s="323">
        <f ca="1">+I60/Z21</f>
        <v>3809.3538551059387</v>
      </c>
      <c r="P60" s="324"/>
      <c r="Q60" s="249"/>
      <c r="R60" s="280"/>
    </row>
    <row r="61" spans="2:19" ht="27" customHeight="1" thickBot="1" x14ac:dyDescent="0.25">
      <c r="B61" s="207" t="s">
        <v>146</v>
      </c>
      <c r="C61" s="225">
        <v>0</v>
      </c>
      <c r="D61" s="211"/>
      <c r="E61" s="331" t="s">
        <v>229</v>
      </c>
      <c r="F61" s="332"/>
      <c r="G61" s="332"/>
      <c r="H61" s="242"/>
      <c r="I61" s="243">
        <f ca="1">+IFERROR(I59/I58,0)</f>
        <v>0.64913846071392667</v>
      </c>
      <c r="J61" s="209"/>
      <c r="K61" s="210"/>
      <c r="L61" s="251"/>
    </row>
    <row r="62" spans="2:19" ht="20.25" customHeight="1" x14ac:dyDescent="0.2">
      <c r="B62" s="100" t="s">
        <v>11</v>
      </c>
      <c r="C62" s="226">
        <f>SUM(C56:C61)</f>
        <v>76000000</v>
      </c>
      <c r="D62" s="99"/>
      <c r="E62" s="142"/>
      <c r="F62" s="220"/>
      <c r="G62" s="221"/>
      <c r="K62" s="206"/>
      <c r="L62" s="250"/>
    </row>
    <row r="63" spans="2:19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9" x14ac:dyDescent="0.2">
      <c r="C64" s="1"/>
      <c r="D64" s="216"/>
    </row>
    <row r="65" spans="2:27" ht="18.75" thickBot="1" x14ac:dyDescent="0.3">
      <c r="B65" s="36"/>
      <c r="C65" s="140"/>
      <c r="D65" s="91"/>
      <c r="E65" s="325" t="s">
        <v>257</v>
      </c>
      <c r="F65" s="325"/>
      <c r="G65" s="262"/>
      <c r="H65" s="262"/>
      <c r="I65" s="262"/>
      <c r="M65" s="229" t="s">
        <v>258</v>
      </c>
    </row>
    <row r="66" spans="2:27" x14ac:dyDescent="0.2">
      <c r="B66" s="36"/>
      <c r="C66" s="140"/>
      <c r="D66" s="91"/>
      <c r="E66" s="263" t="s">
        <v>259</v>
      </c>
      <c r="F66" s="235"/>
      <c r="G66" s="235"/>
      <c r="H66" s="235"/>
      <c r="I66" s="264">
        <f ca="1">+I60</f>
        <v>26665476.985741571</v>
      </c>
    </row>
    <row r="67" spans="2:27" ht="13.5" thickBot="1" x14ac:dyDescent="0.25">
      <c r="B67" s="36"/>
      <c r="C67" s="91"/>
      <c r="D67" s="87"/>
      <c r="E67" s="265" t="s">
        <v>260</v>
      </c>
      <c r="F67" s="266"/>
      <c r="G67" s="266"/>
      <c r="H67" s="266"/>
      <c r="I67" s="267">
        <f>+'NPV Calculation'!C108</f>
        <v>29652272.526239999</v>
      </c>
      <c r="J67" s="192"/>
    </row>
    <row r="68" spans="2:27" ht="16.5" thickBot="1" x14ac:dyDescent="0.3">
      <c r="B68" s="36"/>
      <c r="C68" s="217"/>
      <c r="D68" s="87"/>
      <c r="E68" s="268" t="s">
        <v>261</v>
      </c>
      <c r="F68" s="269"/>
      <c r="G68" s="269"/>
      <c r="H68" s="269"/>
      <c r="I68" s="270">
        <f ca="1">MIN(I66:I67)</f>
        <v>26665476.985741571</v>
      </c>
      <c r="J68" s="192"/>
    </row>
    <row r="69" spans="2:27" x14ac:dyDescent="0.2">
      <c r="T69" s="155" t="s">
        <v>228</v>
      </c>
      <c r="U69" s="155"/>
      <c r="V69" s="155"/>
      <c r="W69" s="155"/>
      <c r="X69" s="155"/>
      <c r="Y69" s="155"/>
    </row>
    <row r="70" spans="2:27" x14ac:dyDescent="0.2">
      <c r="T70" s="155" t="s">
        <v>224</v>
      </c>
      <c r="U70" s="155"/>
      <c r="V70" s="155"/>
      <c r="W70" s="155"/>
      <c r="X70" s="155"/>
      <c r="Y70" s="155"/>
    </row>
    <row r="71" spans="2:27" x14ac:dyDescent="0.2">
      <c r="T71" s="155"/>
      <c r="U71" s="155"/>
      <c r="V71" s="155"/>
      <c r="W71" s="155"/>
      <c r="X71" s="155"/>
      <c r="Y71" s="155"/>
    </row>
    <row r="72" spans="2:27" s="214" customFormat="1" ht="13.5" thickBot="1" x14ac:dyDescent="0.25">
      <c r="T72" s="252"/>
      <c r="U72" s="252"/>
      <c r="V72" s="252"/>
      <c r="W72" s="252"/>
      <c r="X72" s="252"/>
      <c r="Y72" s="252"/>
      <c r="Z72"/>
      <c r="AA72"/>
    </row>
    <row r="73" spans="2:27" x14ac:dyDescent="0.2">
      <c r="T73" s="155"/>
      <c r="U73" s="155"/>
      <c r="V73" s="155"/>
      <c r="W73" s="155"/>
      <c r="X73" s="155"/>
      <c r="Y73" s="155"/>
    </row>
    <row r="74" spans="2:27" x14ac:dyDescent="0.2">
      <c r="T74" s="155"/>
      <c r="U74" s="155"/>
      <c r="V74" s="155"/>
      <c r="W74" s="155"/>
      <c r="X74" s="155"/>
      <c r="Y74" s="155"/>
    </row>
    <row r="75" spans="2:27" x14ac:dyDescent="0.2">
      <c r="T75" s="155"/>
      <c r="U75" s="155"/>
      <c r="V75" s="155"/>
      <c r="W75" s="155"/>
      <c r="X75" s="155"/>
      <c r="Y75" s="155"/>
    </row>
    <row r="76" spans="2:27" ht="18.75" thickBot="1" x14ac:dyDescent="0.3">
      <c r="E76" s="326" t="s">
        <v>257</v>
      </c>
      <c r="F76" s="326"/>
      <c r="G76" s="262"/>
      <c r="H76" s="262"/>
      <c r="I76" s="262"/>
      <c r="M76" s="229" t="s">
        <v>262</v>
      </c>
      <c r="T76" s="155"/>
      <c r="U76" s="155"/>
      <c r="V76" s="155"/>
      <c r="W76" s="155"/>
      <c r="X76" s="155"/>
      <c r="Y76" s="155"/>
    </row>
    <row r="77" spans="2:27" x14ac:dyDescent="0.2">
      <c r="E77" s="327" t="s">
        <v>263</v>
      </c>
      <c r="F77" s="328"/>
      <c r="G77" s="328"/>
      <c r="H77" s="328"/>
      <c r="I77" s="264">
        <f>+'NPV Calculation'!C89-'NPV Calculation'!C109</f>
        <v>76562820.673991308</v>
      </c>
      <c r="T77" s="155"/>
      <c r="U77" s="155"/>
      <c r="V77" s="155"/>
      <c r="W77" s="155"/>
      <c r="X77" s="155"/>
      <c r="Y77" s="155"/>
    </row>
    <row r="78" spans="2:27" ht="13.5" thickBot="1" x14ac:dyDescent="0.25">
      <c r="E78" s="317" t="s">
        <v>264</v>
      </c>
      <c r="F78" s="318"/>
      <c r="G78" s="318"/>
      <c r="H78" s="318"/>
      <c r="I78" s="267">
        <f>+C62</f>
        <v>76000000</v>
      </c>
      <c r="T78" s="155"/>
      <c r="U78" s="155"/>
      <c r="V78" s="155"/>
      <c r="W78" s="155"/>
      <c r="X78" s="155"/>
      <c r="Y78" s="155"/>
    </row>
    <row r="79" spans="2:27" ht="16.5" thickBot="1" x14ac:dyDescent="0.3">
      <c r="E79" s="319" t="s">
        <v>261</v>
      </c>
      <c r="F79" s="320"/>
      <c r="G79" s="320"/>
      <c r="H79" s="320"/>
      <c r="I79" s="270">
        <f>MIN(I77:I78)</f>
        <v>76000000</v>
      </c>
      <c r="T79" s="155"/>
      <c r="U79" s="155"/>
      <c r="V79" s="155"/>
      <c r="W79" s="155"/>
      <c r="X79" s="155"/>
      <c r="Y79" s="155"/>
    </row>
    <row r="80" spans="2:27" x14ac:dyDescent="0.2">
      <c r="T80" s="155"/>
      <c r="U80" s="155"/>
      <c r="V80" s="155"/>
      <c r="W80" s="155"/>
      <c r="X80" s="155"/>
      <c r="Y80" s="155"/>
    </row>
    <row r="81" spans="9:25" x14ac:dyDescent="0.2">
      <c r="T81" s="155"/>
      <c r="U81" s="155"/>
      <c r="V81" s="155"/>
      <c r="W81" s="155"/>
      <c r="X81" s="155"/>
      <c r="Y81" s="155"/>
    </row>
    <row r="82" spans="9:25" x14ac:dyDescent="0.2">
      <c r="T82" s="155"/>
      <c r="U82" s="155"/>
      <c r="V82" s="155"/>
      <c r="W82" s="155"/>
      <c r="X82" s="155"/>
      <c r="Y82" s="155"/>
    </row>
    <row r="83" spans="9:25" x14ac:dyDescent="0.2">
      <c r="I83" s="77"/>
      <c r="T83" s="155"/>
      <c r="U83" s="155"/>
      <c r="V83" s="155"/>
      <c r="W83" s="155"/>
      <c r="X83" s="155"/>
      <c r="Y83" s="155"/>
    </row>
    <row r="84" spans="9:25" x14ac:dyDescent="0.2">
      <c r="T84" s="155"/>
      <c r="U84" s="155"/>
      <c r="V84" s="155"/>
      <c r="W84" s="155"/>
      <c r="X84" s="155"/>
      <c r="Y84" s="155"/>
    </row>
    <row r="85" spans="9:25" x14ac:dyDescent="0.2">
      <c r="T85" s="155"/>
      <c r="U85" s="155"/>
      <c r="V85" s="155"/>
      <c r="W85" s="155"/>
      <c r="X85" s="155"/>
      <c r="Y85" s="155"/>
    </row>
    <row r="86" spans="9:25" x14ac:dyDescent="0.2">
      <c r="T86" s="155"/>
      <c r="U86" s="155"/>
      <c r="V86" s="155"/>
      <c r="W86" s="155"/>
      <c r="X86" s="155"/>
      <c r="Y86" s="155"/>
    </row>
    <row r="87" spans="9:25" x14ac:dyDescent="0.2">
      <c r="T87" s="155"/>
      <c r="U87" s="155"/>
      <c r="V87" s="155"/>
      <c r="W87" s="155"/>
      <c r="X87" s="155"/>
      <c r="Y87" s="155"/>
    </row>
    <row r="88" spans="9:25" x14ac:dyDescent="0.2">
      <c r="T88" s="155"/>
      <c r="U88" s="155"/>
      <c r="V88" s="155"/>
      <c r="W88" s="155"/>
      <c r="X88" s="155"/>
      <c r="Y88" s="155"/>
    </row>
    <row r="89" spans="9:25" x14ac:dyDescent="0.2">
      <c r="T89" s="155"/>
      <c r="U89" s="155"/>
      <c r="V89" s="155"/>
      <c r="W89" s="155"/>
      <c r="X89" s="155"/>
      <c r="Y89" s="155"/>
    </row>
    <row r="90" spans="9:25" x14ac:dyDescent="0.2">
      <c r="T90" s="155"/>
      <c r="U90" s="155"/>
      <c r="V90" s="155"/>
      <c r="W90" s="155"/>
      <c r="X90" s="155"/>
      <c r="Y90" s="155"/>
    </row>
    <row r="91" spans="9:25" x14ac:dyDescent="0.2">
      <c r="T91" s="155"/>
      <c r="U91" s="155"/>
      <c r="V91" s="155"/>
      <c r="W91" s="155"/>
      <c r="X91" s="155"/>
      <c r="Y91" s="155"/>
    </row>
    <row r="92" spans="9:25" x14ac:dyDescent="0.2">
      <c r="T92" s="155"/>
      <c r="U92" s="155"/>
      <c r="V92" s="155"/>
      <c r="W92" s="155"/>
      <c r="X92" s="155"/>
      <c r="Y92" s="155"/>
    </row>
    <row r="93" spans="9:25" x14ac:dyDescent="0.2">
      <c r="T93" s="155"/>
      <c r="U93" s="155"/>
      <c r="V93" s="155"/>
      <c r="W93" s="155"/>
      <c r="X93" s="155"/>
      <c r="Y93" s="155"/>
    </row>
    <row r="94" spans="9:25" x14ac:dyDescent="0.2">
      <c r="T94" s="155"/>
      <c r="U94" s="155"/>
      <c r="V94" s="155"/>
      <c r="W94" s="155"/>
      <c r="X94" s="155"/>
      <c r="Y94" s="155"/>
    </row>
    <row r="95" spans="9:25" x14ac:dyDescent="0.2">
      <c r="T95" s="155"/>
      <c r="U95" s="155"/>
      <c r="V95" s="155"/>
      <c r="W95" s="155"/>
      <c r="X95" s="155"/>
      <c r="Y95" s="155"/>
    </row>
    <row r="96" spans="9:25" x14ac:dyDescent="0.2">
      <c r="T96" s="155"/>
      <c r="U96" s="155"/>
      <c r="V96" s="155"/>
      <c r="W96" s="155"/>
      <c r="X96" s="155"/>
      <c r="Y96" s="155"/>
    </row>
  </sheetData>
  <mergeCells count="23">
    <mergeCell ref="E78:H78"/>
    <mergeCell ref="E79:H79"/>
    <mergeCell ref="O57:P57"/>
    <mergeCell ref="O60:P60"/>
    <mergeCell ref="E65:F65"/>
    <mergeCell ref="E76:F76"/>
    <mergeCell ref="E77:H77"/>
    <mergeCell ref="E57:G57"/>
    <mergeCell ref="E61:G61"/>
    <mergeCell ref="E60:F60"/>
    <mergeCell ref="E56:G56"/>
    <mergeCell ref="B1:K1"/>
    <mergeCell ref="C3:G3"/>
    <mergeCell ref="F13:Z13"/>
    <mergeCell ref="B52:K52"/>
    <mergeCell ref="C22:E22"/>
    <mergeCell ref="C23:E23"/>
    <mergeCell ref="H34:J35"/>
    <mergeCell ref="C2:J2"/>
    <mergeCell ref="H4:I4"/>
    <mergeCell ref="C4:G4"/>
    <mergeCell ref="C5:G5"/>
    <mergeCell ref="C21:E21"/>
  </mergeCells>
  <phoneticPr fontId="0" type="noConversion"/>
  <dataValidations disablePrompts="1" count="2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$T$68:$T$69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zoomScale="140" zoomScaleNormal="140" workbookViewId="0">
      <pane ySplit="2" topLeftCell="A91" activePane="bottomLeft" state="frozenSplit"/>
      <selection pane="bottomLeft" activeCell="E58" sqref="E58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0.85546875" customWidth="1"/>
  </cols>
  <sheetData>
    <row r="1" spans="1:24" ht="25.5" x14ac:dyDescent="0.2">
      <c r="A1" s="74" t="s">
        <v>119</v>
      </c>
      <c r="C1" s="1" t="s">
        <v>8</v>
      </c>
      <c r="E1" s="285" t="str">
        <f>+Summary!C2</f>
        <v>27.6kV Brooklin N Dev-ICM - C - 10-Yr DCF Model Calculation Results</v>
      </c>
      <c r="F1" s="286"/>
      <c r="G1" s="286"/>
      <c r="H1" s="286"/>
      <c r="I1" s="286"/>
      <c r="J1" s="287"/>
    </row>
    <row r="2" spans="1:24" x14ac:dyDescent="0.2">
      <c r="C2" s="1" t="s">
        <v>66</v>
      </c>
      <c r="E2" s="285" t="str">
        <f>+Summary!C4</f>
        <v>Brooklin Landowners</v>
      </c>
      <c r="F2" s="286"/>
      <c r="G2" s="286"/>
      <c r="H2" s="286"/>
      <c r="I2" s="286"/>
      <c r="J2" s="287"/>
    </row>
    <row r="3" spans="1:24" ht="24" customHeight="1" x14ac:dyDescent="0.2">
      <c r="C3" s="1" t="s">
        <v>39</v>
      </c>
      <c r="E3" s="51">
        <v>5</v>
      </c>
      <c r="F3" s="289" t="s">
        <v>113</v>
      </c>
      <c r="G3" s="290"/>
      <c r="H3" s="290"/>
      <c r="I3" s="290"/>
      <c r="J3" s="291"/>
    </row>
    <row r="4" spans="1:24" ht="13.5" thickBot="1" x14ac:dyDescent="0.25">
      <c r="C4" s="1" t="s">
        <v>40</v>
      </c>
      <c r="E4" s="51">
        <v>25</v>
      </c>
      <c r="F4" s="292" t="s">
        <v>112</v>
      </c>
      <c r="G4" s="293"/>
      <c r="H4" s="293"/>
      <c r="I4" s="293"/>
      <c r="J4" s="29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268</v>
      </c>
      <c r="K6" s="11" t="s">
        <v>269</v>
      </c>
      <c r="L6" s="11" t="s">
        <v>270</v>
      </c>
      <c r="M6" s="11" t="s">
        <v>271</v>
      </c>
      <c r="N6" s="11" t="s">
        <v>272</v>
      </c>
      <c r="O6" s="11" t="s">
        <v>273</v>
      </c>
      <c r="P6" s="11" t="s">
        <v>274</v>
      </c>
      <c r="Q6" s="11" t="s">
        <v>275</v>
      </c>
      <c r="R6" s="11" t="s">
        <v>276</v>
      </c>
      <c r="S6" s="11" t="s">
        <v>277</v>
      </c>
      <c r="T6" s="11" t="s">
        <v>278</v>
      </c>
      <c r="U6" s="11" t="s">
        <v>279</v>
      </c>
      <c r="V6" s="11" t="s">
        <v>280</v>
      </c>
      <c r="W6" s="11" t="s">
        <v>281</v>
      </c>
      <c r="X6" s="11" t="s">
        <v>282</v>
      </c>
    </row>
    <row r="7" spans="1:24" x14ac:dyDescent="0.2">
      <c r="D7" s="2" t="s">
        <v>6</v>
      </c>
      <c r="E7" s="90">
        <f>+Summary!F21</f>
        <v>700</v>
      </c>
      <c r="F7" s="90">
        <f>+Summary!G21</f>
        <v>700</v>
      </c>
      <c r="G7" s="90">
        <f>+Summary!H21</f>
        <v>700</v>
      </c>
      <c r="H7" s="90">
        <f>+Summary!I21</f>
        <v>700</v>
      </c>
      <c r="I7" s="90">
        <f>+Summary!J21</f>
        <v>700</v>
      </c>
      <c r="J7" s="90">
        <f>+Summary!K21</f>
        <v>700</v>
      </c>
      <c r="K7" s="90">
        <f>+Summary!L21</f>
        <v>700</v>
      </c>
      <c r="L7" s="90">
        <f>+Summary!M21</f>
        <v>700</v>
      </c>
      <c r="M7" s="90">
        <f>+Summary!N21</f>
        <v>700</v>
      </c>
      <c r="N7" s="90">
        <f>+Summary!O21</f>
        <v>700</v>
      </c>
      <c r="O7" s="90">
        <f>+Summary!P21</f>
        <v>0</v>
      </c>
      <c r="P7" s="90">
        <f>+Summary!Q21</f>
        <v>0</v>
      </c>
      <c r="Q7" s="90">
        <f>+Summary!R21</f>
        <v>0</v>
      </c>
      <c r="R7" s="90">
        <f>+Summary!S21</f>
        <v>0</v>
      </c>
      <c r="S7" s="90">
        <f>+Summary!T21</f>
        <v>0</v>
      </c>
      <c r="T7" s="90">
        <f>+Summary!U21</f>
        <v>0</v>
      </c>
      <c r="U7" s="90">
        <f>+Summary!V21</f>
        <v>0</v>
      </c>
      <c r="V7" s="90">
        <f>+Summary!W21</f>
        <v>0</v>
      </c>
      <c r="W7" s="90">
        <f>+Summary!X21</f>
        <v>0</v>
      </c>
      <c r="X7" s="90">
        <f>+Summary!Y21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268</v>
      </c>
      <c r="K17" s="11" t="s">
        <v>269</v>
      </c>
      <c r="L17" s="11" t="s">
        <v>270</v>
      </c>
      <c r="M17" s="11" t="s">
        <v>271</v>
      </c>
      <c r="N17" s="11" t="s">
        <v>272</v>
      </c>
      <c r="O17" s="11" t="s">
        <v>273</v>
      </c>
      <c r="P17" s="11" t="s">
        <v>274</v>
      </c>
      <c r="Q17" s="11" t="s">
        <v>275</v>
      </c>
      <c r="R17" s="11" t="s">
        <v>276</v>
      </c>
      <c r="S17" s="11" t="s">
        <v>277</v>
      </c>
      <c r="T17" s="11" t="s">
        <v>278</v>
      </c>
      <c r="U17" s="11" t="s">
        <v>279</v>
      </c>
      <c r="V17" s="11" t="s">
        <v>280</v>
      </c>
      <c r="W17" s="11" t="s">
        <v>281</v>
      </c>
      <c r="X17" s="11" t="s">
        <v>282</v>
      </c>
    </row>
    <row r="18" spans="1:25" x14ac:dyDescent="0.2">
      <c r="D18" s="2" t="s">
        <v>6</v>
      </c>
      <c r="E18" s="90">
        <f>+Summary!F22</f>
        <v>750</v>
      </c>
      <c r="F18" s="90">
        <f>+Summary!G22</f>
        <v>750</v>
      </c>
      <c r="G18" s="90">
        <f>+Summary!H22</f>
        <v>750</v>
      </c>
      <c r="H18" s="90">
        <f>+Summary!I22</f>
        <v>750</v>
      </c>
      <c r="I18" s="90">
        <f>+Summary!J22</f>
        <v>750</v>
      </c>
      <c r="J18" s="90">
        <f>+Summary!K22</f>
        <v>750</v>
      </c>
      <c r="K18" s="90">
        <f>+Summary!L22</f>
        <v>750</v>
      </c>
      <c r="L18" s="90">
        <f>+Summary!M22</f>
        <v>750</v>
      </c>
      <c r="M18" s="90">
        <f>+Summary!N22</f>
        <v>750</v>
      </c>
      <c r="N18" s="90">
        <f>+Summary!O22</f>
        <v>750</v>
      </c>
      <c r="O18" s="90">
        <f>+Summary!P22</f>
        <v>750</v>
      </c>
      <c r="P18" s="90">
        <f>+Summary!Q22</f>
        <v>750</v>
      </c>
      <c r="Q18" s="90">
        <f>+Summary!R22</f>
        <v>750</v>
      </c>
      <c r="R18" s="90">
        <f>+Summary!S22</f>
        <v>750</v>
      </c>
      <c r="S18" s="90">
        <f>+Summary!T22</f>
        <v>750</v>
      </c>
      <c r="T18" s="90">
        <f>+Summary!U22</f>
        <v>750</v>
      </c>
      <c r="U18" s="90">
        <f>+Summary!V22</f>
        <v>750</v>
      </c>
      <c r="V18" s="90">
        <f>+Summary!W22</f>
        <v>750</v>
      </c>
      <c r="W18" s="90">
        <f>+Summary!X22</f>
        <v>750</v>
      </c>
      <c r="X18" s="90">
        <f>+Summary!Y22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268</v>
      </c>
      <c r="K23" s="11" t="s">
        <v>269</v>
      </c>
      <c r="L23" s="11" t="s">
        <v>270</v>
      </c>
      <c r="M23" s="11" t="s">
        <v>271</v>
      </c>
      <c r="N23" s="11" t="s">
        <v>272</v>
      </c>
      <c r="O23" s="11" t="s">
        <v>273</v>
      </c>
      <c r="P23" s="11" t="s">
        <v>274</v>
      </c>
      <c r="Q23" s="11" t="s">
        <v>275</v>
      </c>
      <c r="R23" s="11" t="s">
        <v>276</v>
      </c>
      <c r="S23" s="11" t="s">
        <v>277</v>
      </c>
      <c r="T23" s="11" t="s">
        <v>278</v>
      </c>
      <c r="U23" s="11" t="s">
        <v>279</v>
      </c>
      <c r="V23" s="11" t="s">
        <v>280</v>
      </c>
      <c r="W23" s="11" t="s">
        <v>281</v>
      </c>
      <c r="X23" s="11" t="s">
        <v>282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" si="1">+J25</f>
        <v>0</v>
      </c>
      <c r="L25" s="50">
        <f t="shared" ref="L25" si="2">+K25</f>
        <v>0</v>
      </c>
      <c r="M25" s="50">
        <f t="shared" ref="M25" si="3">+L25</f>
        <v>0</v>
      </c>
      <c r="N25" s="50">
        <f t="shared" ref="N25" si="4">+M25</f>
        <v>0</v>
      </c>
      <c r="O25" s="50">
        <v>0</v>
      </c>
      <c r="P25" s="50">
        <f t="shared" ref="P25" si="5">+O25</f>
        <v>0</v>
      </c>
      <c r="Q25" s="50">
        <f t="shared" ref="Q25" si="6">+P25</f>
        <v>0</v>
      </c>
      <c r="R25" s="50">
        <f t="shared" ref="R25" si="7">+Q25</f>
        <v>0</v>
      </c>
      <c r="S25" s="50">
        <f t="shared" ref="S25" si="8">+R25</f>
        <v>0</v>
      </c>
      <c r="T25" s="50">
        <v>0</v>
      </c>
      <c r="U25" s="50">
        <f t="shared" ref="U25" si="9">+T25</f>
        <v>0</v>
      </c>
      <c r="V25" s="50">
        <f t="shared" ref="V25" si="10">+U25</f>
        <v>0</v>
      </c>
      <c r="W25" s="50">
        <f t="shared" ref="W25" si="11">+V25</f>
        <v>0</v>
      </c>
      <c r="X25" s="50">
        <f t="shared" ref="X25" si="12">+W25</f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268</v>
      </c>
      <c r="K30" s="11" t="s">
        <v>269</v>
      </c>
      <c r="L30" s="11" t="s">
        <v>270</v>
      </c>
      <c r="M30" s="11" t="s">
        <v>271</v>
      </c>
      <c r="N30" s="11" t="s">
        <v>272</v>
      </c>
      <c r="O30" s="11" t="s">
        <v>273</v>
      </c>
      <c r="P30" s="11" t="s">
        <v>274</v>
      </c>
      <c r="Q30" s="11" t="s">
        <v>275</v>
      </c>
      <c r="R30" s="11" t="s">
        <v>276</v>
      </c>
      <c r="S30" s="11" t="s">
        <v>277</v>
      </c>
      <c r="T30" s="11" t="s">
        <v>278</v>
      </c>
      <c r="U30" s="11" t="s">
        <v>279</v>
      </c>
      <c r="V30" s="11" t="s">
        <v>280</v>
      </c>
      <c r="W30" s="11" t="s">
        <v>281</v>
      </c>
      <c r="X30" s="11" t="s">
        <v>282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2" si="13">+F31</f>
        <v>33.409999999999997</v>
      </c>
      <c r="H31" s="159">
        <f t="shared" si="13"/>
        <v>33.409999999999997</v>
      </c>
      <c r="I31" s="159">
        <f t="shared" si="13"/>
        <v>33.409999999999997</v>
      </c>
      <c r="J31" s="159">
        <v>33.409999999999997</v>
      </c>
      <c r="K31" s="159">
        <f t="shared" ref="K31" si="14">+J31</f>
        <v>33.409999999999997</v>
      </c>
      <c r="L31" s="159">
        <f t="shared" ref="L31:L33" si="15">+K31</f>
        <v>33.409999999999997</v>
      </c>
      <c r="M31" s="159">
        <f t="shared" ref="M31:M35" si="16">+L31</f>
        <v>33.409999999999997</v>
      </c>
      <c r="N31" s="159">
        <f t="shared" ref="N31:N35" si="17">+M31</f>
        <v>33.409999999999997</v>
      </c>
      <c r="O31" s="159">
        <v>33.409999999999997</v>
      </c>
      <c r="P31" s="159">
        <f t="shared" ref="P31" si="18">+O31</f>
        <v>33.409999999999997</v>
      </c>
      <c r="Q31" s="159">
        <f t="shared" ref="Q31:Q33" si="19">+P31</f>
        <v>33.409999999999997</v>
      </c>
      <c r="R31" s="159">
        <f t="shared" ref="R31:R35" si="20">+Q31</f>
        <v>33.409999999999997</v>
      </c>
      <c r="S31" s="159">
        <f t="shared" ref="S31:S35" si="21">+R31</f>
        <v>33.409999999999997</v>
      </c>
      <c r="T31" s="159">
        <v>33.409999999999997</v>
      </c>
      <c r="U31" s="159">
        <f t="shared" ref="U31" si="22">+T31</f>
        <v>33.409999999999997</v>
      </c>
      <c r="V31" s="159">
        <f t="shared" ref="V31:V33" si="23">+U31</f>
        <v>33.409999999999997</v>
      </c>
      <c r="W31" s="159">
        <f t="shared" ref="W31:W35" si="24">+V31</f>
        <v>33.409999999999997</v>
      </c>
      <c r="X31" s="159">
        <f t="shared" ref="X31:X35" si="25">+W31</f>
        <v>33.409999999999997</v>
      </c>
      <c r="Y31" s="261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13"/>
        <v>28.08</v>
      </c>
      <c r="H32" s="159">
        <f t="shared" si="13"/>
        <v>28.08</v>
      </c>
      <c r="I32" s="159">
        <f t="shared" si="13"/>
        <v>28.08</v>
      </c>
      <c r="J32" s="159">
        <v>28.08</v>
      </c>
      <c r="K32" s="159">
        <f t="shared" ref="K32" si="26">+J32</f>
        <v>28.08</v>
      </c>
      <c r="L32" s="159">
        <f t="shared" si="15"/>
        <v>28.08</v>
      </c>
      <c r="M32" s="159">
        <f t="shared" si="16"/>
        <v>28.08</v>
      </c>
      <c r="N32" s="159">
        <f t="shared" si="17"/>
        <v>28.08</v>
      </c>
      <c r="O32" s="159">
        <v>28.08</v>
      </c>
      <c r="P32" s="159">
        <f t="shared" ref="P32" si="27">+O32</f>
        <v>28.08</v>
      </c>
      <c r="Q32" s="159">
        <f t="shared" si="19"/>
        <v>28.08</v>
      </c>
      <c r="R32" s="159">
        <f t="shared" si="20"/>
        <v>28.08</v>
      </c>
      <c r="S32" s="159">
        <f t="shared" si="21"/>
        <v>28.08</v>
      </c>
      <c r="T32" s="159">
        <v>28.08</v>
      </c>
      <c r="U32" s="159">
        <f t="shared" ref="U32" si="28">+T32</f>
        <v>28.08</v>
      </c>
      <c r="V32" s="159">
        <f t="shared" si="23"/>
        <v>28.08</v>
      </c>
      <c r="W32" s="159">
        <f t="shared" si="24"/>
        <v>28.08</v>
      </c>
      <c r="X32" s="159">
        <f t="shared" si="25"/>
        <v>28.08</v>
      </c>
      <c r="Y32" s="261"/>
    </row>
    <row r="33" spans="1:25" x14ac:dyDescent="0.2">
      <c r="D33" s="228" t="s">
        <v>237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ref="H33:I35" si="29">+G33</f>
        <v>213.88</v>
      </c>
      <c r="I33" s="159">
        <f t="shared" si="29"/>
        <v>213.88</v>
      </c>
      <c r="J33" s="159">
        <v>213.88</v>
      </c>
      <c r="K33" s="159">
        <f t="shared" ref="K33" si="30">+J33</f>
        <v>213.88</v>
      </c>
      <c r="L33" s="159">
        <f t="shared" si="15"/>
        <v>213.88</v>
      </c>
      <c r="M33" s="159">
        <f t="shared" si="16"/>
        <v>213.88</v>
      </c>
      <c r="N33" s="159">
        <f t="shared" si="17"/>
        <v>213.88</v>
      </c>
      <c r="O33" s="159">
        <v>213.88</v>
      </c>
      <c r="P33" s="159">
        <f t="shared" ref="P33" si="31">+O33</f>
        <v>213.88</v>
      </c>
      <c r="Q33" s="159">
        <f t="shared" si="19"/>
        <v>213.88</v>
      </c>
      <c r="R33" s="159">
        <f t="shared" si="20"/>
        <v>213.88</v>
      </c>
      <c r="S33" s="159">
        <f t="shared" si="21"/>
        <v>213.88</v>
      </c>
      <c r="T33" s="159">
        <v>213.88</v>
      </c>
      <c r="U33" s="159">
        <f t="shared" ref="U33" si="32">+T33</f>
        <v>213.88</v>
      </c>
      <c r="V33" s="159">
        <f t="shared" si="23"/>
        <v>213.88</v>
      </c>
      <c r="W33" s="159">
        <f t="shared" si="24"/>
        <v>213.88</v>
      </c>
      <c r="X33" s="159">
        <f t="shared" si="25"/>
        <v>213.88</v>
      </c>
      <c r="Y33" s="261"/>
    </row>
    <row r="34" spans="1:25" x14ac:dyDescent="0.2">
      <c r="D34" s="228" t="s">
        <v>238</v>
      </c>
      <c r="E34" s="159">
        <v>0</v>
      </c>
      <c r="F34" s="159">
        <v>0</v>
      </c>
      <c r="G34" s="159">
        <v>0</v>
      </c>
      <c r="H34" s="159">
        <f t="shared" si="29"/>
        <v>0</v>
      </c>
      <c r="I34" s="159">
        <f t="shared" si="29"/>
        <v>0</v>
      </c>
      <c r="J34" s="159">
        <v>0</v>
      </c>
      <c r="K34" s="159">
        <v>0</v>
      </c>
      <c r="L34" s="159">
        <v>0</v>
      </c>
      <c r="M34" s="159">
        <f t="shared" si="16"/>
        <v>0</v>
      </c>
      <c r="N34" s="159">
        <f t="shared" si="17"/>
        <v>0</v>
      </c>
      <c r="O34" s="159">
        <v>0</v>
      </c>
      <c r="P34" s="159">
        <v>0</v>
      </c>
      <c r="Q34" s="159">
        <v>0</v>
      </c>
      <c r="R34" s="159">
        <f t="shared" si="20"/>
        <v>0</v>
      </c>
      <c r="S34" s="159">
        <f t="shared" si="21"/>
        <v>0</v>
      </c>
      <c r="T34" s="159">
        <v>0</v>
      </c>
      <c r="U34" s="159">
        <v>0</v>
      </c>
      <c r="V34" s="159">
        <v>0</v>
      </c>
      <c r="W34" s="159">
        <f t="shared" si="24"/>
        <v>0</v>
      </c>
      <c r="X34" s="159">
        <f t="shared" si="25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29"/>
        <v>0</v>
      </c>
      <c r="I35" s="159">
        <f t="shared" si="29"/>
        <v>0</v>
      </c>
      <c r="J35" s="159">
        <v>0</v>
      </c>
      <c r="K35" s="159">
        <v>0</v>
      </c>
      <c r="L35" s="159">
        <f t="shared" ref="L35" si="33">+K35</f>
        <v>0</v>
      </c>
      <c r="M35" s="159">
        <f t="shared" si="16"/>
        <v>0</v>
      </c>
      <c r="N35" s="159">
        <f t="shared" si="17"/>
        <v>0</v>
      </c>
      <c r="O35" s="159">
        <v>0</v>
      </c>
      <c r="P35" s="159">
        <v>0</v>
      </c>
      <c r="Q35" s="159">
        <f t="shared" ref="Q35" si="34">+P35</f>
        <v>0</v>
      </c>
      <c r="R35" s="159">
        <f t="shared" si="20"/>
        <v>0</v>
      </c>
      <c r="S35" s="159">
        <f t="shared" si="21"/>
        <v>0</v>
      </c>
      <c r="T35" s="159">
        <v>0</v>
      </c>
      <c r="U35" s="159">
        <v>0</v>
      </c>
      <c r="V35" s="159">
        <f t="shared" ref="V35" si="35">+U35</f>
        <v>0</v>
      </c>
      <c r="W35" s="159">
        <f t="shared" si="24"/>
        <v>0</v>
      </c>
      <c r="X35" s="159">
        <f t="shared" si="25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268</v>
      </c>
      <c r="K41" s="11" t="s">
        <v>269</v>
      </c>
      <c r="L41" s="11" t="s">
        <v>270</v>
      </c>
      <c r="M41" s="11" t="s">
        <v>271</v>
      </c>
      <c r="N41" s="11" t="s">
        <v>272</v>
      </c>
      <c r="O41" s="11" t="s">
        <v>273</v>
      </c>
      <c r="P41" s="11" t="s">
        <v>274</v>
      </c>
      <c r="Q41" s="11" t="s">
        <v>275</v>
      </c>
      <c r="R41" s="11" t="s">
        <v>276</v>
      </c>
      <c r="S41" s="11" t="s">
        <v>277</v>
      </c>
      <c r="T41" s="11" t="s">
        <v>278</v>
      </c>
      <c r="U41" s="11" t="s">
        <v>279</v>
      </c>
      <c r="V41" s="11" t="s">
        <v>280</v>
      </c>
      <c r="W41" s="11" t="s">
        <v>281</v>
      </c>
      <c r="X41" s="11" t="s">
        <v>282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36">+F42</f>
        <v>0</v>
      </c>
      <c r="H42" s="14">
        <f t="shared" si="36"/>
        <v>0</v>
      </c>
      <c r="I42" s="14">
        <f t="shared" si="36"/>
        <v>0</v>
      </c>
      <c r="J42" s="14">
        <v>0</v>
      </c>
      <c r="K42" s="14">
        <v>0</v>
      </c>
      <c r="L42" s="14">
        <f t="shared" ref="L42:L43" si="37">+K42</f>
        <v>0</v>
      </c>
      <c r="M42" s="14">
        <f t="shared" ref="M42:M43" si="38">+L42</f>
        <v>0</v>
      </c>
      <c r="N42" s="14">
        <f t="shared" ref="N42:N43" si="39">+M42</f>
        <v>0</v>
      </c>
      <c r="O42" s="14">
        <v>0</v>
      </c>
      <c r="P42" s="14">
        <v>0</v>
      </c>
      <c r="Q42" s="14">
        <f t="shared" ref="Q42:Q43" si="40">+P42</f>
        <v>0</v>
      </c>
      <c r="R42" s="14">
        <f t="shared" ref="R42:R43" si="41">+Q42</f>
        <v>0</v>
      </c>
      <c r="S42" s="14">
        <f t="shared" ref="S42:S43" si="42">+R42</f>
        <v>0</v>
      </c>
      <c r="T42" s="14">
        <v>0</v>
      </c>
      <c r="U42" s="14">
        <v>0</v>
      </c>
      <c r="V42" s="14">
        <f t="shared" ref="V42:V43" si="43">+U42</f>
        <v>0</v>
      </c>
      <c r="W42" s="14">
        <f t="shared" ref="W42:W43" si="44">+V42</f>
        <v>0</v>
      </c>
      <c r="X42" s="14">
        <f t="shared" ref="X42:X43" si="45">+W42</f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36"/>
        <v>2.0799999999999999E-2</v>
      </c>
      <c r="H43" s="14">
        <f t="shared" si="36"/>
        <v>2.0799999999999999E-2</v>
      </c>
      <c r="I43" s="14">
        <f t="shared" si="36"/>
        <v>2.0799999999999999E-2</v>
      </c>
      <c r="J43" s="14">
        <v>2.0799999999999999E-2</v>
      </c>
      <c r="K43" s="14">
        <f t="shared" ref="K43" si="46">+J43</f>
        <v>2.0799999999999999E-2</v>
      </c>
      <c r="L43" s="14">
        <f t="shared" si="37"/>
        <v>2.0799999999999999E-2</v>
      </c>
      <c r="M43" s="14">
        <f t="shared" si="38"/>
        <v>2.0799999999999999E-2</v>
      </c>
      <c r="N43" s="14">
        <f t="shared" si="39"/>
        <v>2.0799999999999999E-2</v>
      </c>
      <c r="O43" s="14">
        <v>2.0799999999999999E-2</v>
      </c>
      <c r="P43" s="14">
        <f t="shared" ref="P43" si="47">+O43</f>
        <v>2.0799999999999999E-2</v>
      </c>
      <c r="Q43" s="14">
        <f t="shared" si="40"/>
        <v>2.0799999999999999E-2</v>
      </c>
      <c r="R43" s="14">
        <f t="shared" si="41"/>
        <v>2.0799999999999999E-2</v>
      </c>
      <c r="S43" s="14">
        <f t="shared" si="42"/>
        <v>2.0799999999999999E-2</v>
      </c>
      <c r="T43" s="14">
        <v>2.0799999999999999E-2</v>
      </c>
      <c r="U43" s="14">
        <f t="shared" ref="U43" si="48">+T43</f>
        <v>2.0799999999999999E-2</v>
      </c>
      <c r="V43" s="14">
        <f t="shared" si="43"/>
        <v>2.0799999999999999E-2</v>
      </c>
      <c r="W43" s="14">
        <f t="shared" si="44"/>
        <v>2.0799999999999999E-2</v>
      </c>
      <c r="X43" s="14">
        <f t="shared" si="45"/>
        <v>2.0799999999999999E-2</v>
      </c>
      <c r="Y43" s="261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268</v>
      </c>
      <c r="K47" s="11" t="s">
        <v>269</v>
      </c>
      <c r="L47" s="11" t="s">
        <v>270</v>
      </c>
      <c r="M47" s="11" t="s">
        <v>271</v>
      </c>
      <c r="N47" s="11" t="s">
        <v>272</v>
      </c>
      <c r="O47" s="11" t="s">
        <v>273</v>
      </c>
      <c r="P47" s="11" t="s">
        <v>274</v>
      </c>
      <c r="Q47" s="11" t="s">
        <v>275</v>
      </c>
      <c r="R47" s="11" t="s">
        <v>276</v>
      </c>
      <c r="S47" s="11" t="s">
        <v>277</v>
      </c>
      <c r="T47" s="11" t="s">
        <v>278</v>
      </c>
      <c r="U47" s="11" t="s">
        <v>279</v>
      </c>
      <c r="V47" s="11" t="s">
        <v>280</v>
      </c>
      <c r="W47" s="11" t="s">
        <v>281</v>
      </c>
      <c r="X47" s="11" t="s">
        <v>282</v>
      </c>
    </row>
    <row r="48" spans="1:25" x14ac:dyDescent="0.2">
      <c r="D48" s="228" t="s">
        <v>237</v>
      </c>
      <c r="E48" s="14">
        <v>4.2717000000000001</v>
      </c>
      <c r="F48" s="14">
        <f>+E48</f>
        <v>4.2717000000000001</v>
      </c>
      <c r="G48" s="14">
        <f t="shared" ref="G48:H50" si="49">F48</f>
        <v>4.2717000000000001</v>
      </c>
      <c r="H48" s="14">
        <f t="shared" si="49"/>
        <v>4.2717000000000001</v>
      </c>
      <c r="I48" s="14">
        <f>H48</f>
        <v>4.2717000000000001</v>
      </c>
      <c r="J48" s="14">
        <v>4.2717000000000001</v>
      </c>
      <c r="K48" s="14">
        <f t="shared" ref="K48" si="50">+J48</f>
        <v>4.2717000000000001</v>
      </c>
      <c r="L48" s="14">
        <f t="shared" ref="L48:L50" si="51">K48</f>
        <v>4.2717000000000001</v>
      </c>
      <c r="M48" s="14">
        <f t="shared" ref="M48:M50" si="52">L48</f>
        <v>4.2717000000000001</v>
      </c>
      <c r="N48" s="14">
        <f t="shared" ref="N48" si="53">M48</f>
        <v>4.2717000000000001</v>
      </c>
      <c r="O48" s="14">
        <v>4.2717000000000001</v>
      </c>
      <c r="P48" s="14">
        <f t="shared" ref="P48" si="54">+O48</f>
        <v>4.2717000000000001</v>
      </c>
      <c r="Q48" s="14">
        <f t="shared" ref="Q48:Q50" si="55">P48</f>
        <v>4.2717000000000001</v>
      </c>
      <c r="R48" s="14">
        <f t="shared" ref="R48:R50" si="56">Q48</f>
        <v>4.2717000000000001</v>
      </c>
      <c r="S48" s="14">
        <f t="shared" ref="S48" si="57">R48</f>
        <v>4.2717000000000001</v>
      </c>
      <c r="T48" s="14">
        <v>4.2717000000000001</v>
      </c>
      <c r="U48" s="14">
        <f t="shared" ref="U48" si="58">+T48</f>
        <v>4.2717000000000001</v>
      </c>
      <c r="V48" s="14">
        <f t="shared" ref="V48:V50" si="59">U48</f>
        <v>4.2717000000000001</v>
      </c>
      <c r="W48" s="14">
        <f t="shared" ref="W48:W50" si="60">V48</f>
        <v>4.2717000000000001</v>
      </c>
      <c r="X48" s="14">
        <f t="shared" ref="X48:X50" si="61">W48</f>
        <v>4.2717000000000001</v>
      </c>
      <c r="Y48" s="261"/>
    </row>
    <row r="49" spans="1:25" x14ac:dyDescent="0.2">
      <c r="D49" s="228" t="s">
        <v>238</v>
      </c>
      <c r="E49" s="14">
        <v>0</v>
      </c>
      <c r="F49" s="14">
        <v>0</v>
      </c>
      <c r="G49" s="14">
        <f t="shared" si="49"/>
        <v>0</v>
      </c>
      <c r="H49" s="14">
        <f t="shared" si="49"/>
        <v>0</v>
      </c>
      <c r="I49" s="14">
        <f>H49</f>
        <v>0</v>
      </c>
      <c r="J49" s="14">
        <v>0</v>
      </c>
      <c r="K49" s="14">
        <v>0</v>
      </c>
      <c r="L49" s="14">
        <f t="shared" si="51"/>
        <v>0</v>
      </c>
      <c r="M49" s="14">
        <f t="shared" si="52"/>
        <v>0</v>
      </c>
      <c r="N49" s="14">
        <f t="shared" ref="N49" si="62">M49</f>
        <v>0</v>
      </c>
      <c r="O49" s="14">
        <v>0</v>
      </c>
      <c r="P49" s="14">
        <v>0</v>
      </c>
      <c r="Q49" s="14">
        <f t="shared" si="55"/>
        <v>0</v>
      </c>
      <c r="R49" s="14">
        <f t="shared" si="56"/>
        <v>0</v>
      </c>
      <c r="S49" s="14">
        <f t="shared" ref="S49" si="63">R49</f>
        <v>0</v>
      </c>
      <c r="T49" s="14">
        <v>0</v>
      </c>
      <c r="U49" s="14">
        <v>0</v>
      </c>
      <c r="V49" s="14">
        <f t="shared" si="59"/>
        <v>0</v>
      </c>
      <c r="W49" s="14">
        <f t="shared" si="60"/>
        <v>0</v>
      </c>
      <c r="X49" s="14">
        <f t="shared" si="61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49"/>
        <v>0</v>
      </c>
      <c r="H50" s="14">
        <f t="shared" si="49"/>
        <v>0</v>
      </c>
      <c r="I50" s="14">
        <f>H50</f>
        <v>0</v>
      </c>
      <c r="J50" s="14">
        <v>0</v>
      </c>
      <c r="K50" s="14">
        <v>0</v>
      </c>
      <c r="L50" s="14">
        <f t="shared" si="51"/>
        <v>0</v>
      </c>
      <c r="M50" s="14">
        <f t="shared" si="52"/>
        <v>0</v>
      </c>
      <c r="N50" s="14">
        <f t="shared" ref="N50" si="64">M50</f>
        <v>0</v>
      </c>
      <c r="O50" s="14">
        <v>0</v>
      </c>
      <c r="P50" s="14">
        <v>0</v>
      </c>
      <c r="Q50" s="14">
        <f t="shared" si="55"/>
        <v>0</v>
      </c>
      <c r="R50" s="14">
        <f t="shared" si="56"/>
        <v>0</v>
      </c>
      <c r="S50" s="14">
        <f t="shared" ref="S50" si="65">R50</f>
        <v>0</v>
      </c>
      <c r="T50" s="14">
        <v>0</v>
      </c>
      <c r="U50" s="14">
        <v>0</v>
      </c>
      <c r="V50" s="14">
        <f t="shared" si="59"/>
        <v>0</v>
      </c>
      <c r="W50" s="14">
        <f t="shared" si="60"/>
        <v>0</v>
      </c>
      <c r="X50" s="14">
        <f t="shared" si="61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283" t="s">
        <v>34</v>
      </c>
      <c r="D53" s="288"/>
      <c r="E53" s="288"/>
      <c r="F53" s="288"/>
      <c r="G53" s="288"/>
      <c r="H53" s="288"/>
      <c r="I53" s="288"/>
      <c r="J53" s="28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268</v>
      </c>
      <c r="K54" s="11" t="s">
        <v>269</v>
      </c>
      <c r="L54" s="11" t="s">
        <v>270</v>
      </c>
      <c r="M54" s="11" t="s">
        <v>271</v>
      </c>
      <c r="N54" s="11" t="s">
        <v>272</v>
      </c>
      <c r="O54" s="11" t="s">
        <v>273</v>
      </c>
      <c r="P54" s="11" t="s">
        <v>274</v>
      </c>
      <c r="Q54" s="11" t="s">
        <v>275</v>
      </c>
      <c r="R54" s="11" t="s">
        <v>276</v>
      </c>
      <c r="S54" s="11" t="s">
        <v>277</v>
      </c>
      <c r="T54" s="11" t="s">
        <v>278</v>
      </c>
      <c r="U54" s="11" t="s">
        <v>279</v>
      </c>
      <c r="V54" s="11" t="s">
        <v>280</v>
      </c>
      <c r="W54" s="11" t="s">
        <v>281</v>
      </c>
      <c r="X54" s="11" t="s">
        <v>282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66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66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+Summary!C59-44600000</f>
        <v>31400000</v>
      </c>
      <c r="F58" s="49">
        <f>44600000/9</f>
        <v>4955555.555555556</v>
      </c>
      <c r="G58" s="49">
        <f t="shared" ref="G58:N58" si="67">44600000/9</f>
        <v>4955555.555555556</v>
      </c>
      <c r="H58" s="49">
        <f t="shared" si="67"/>
        <v>4955555.555555556</v>
      </c>
      <c r="I58" s="49">
        <f t="shared" si="67"/>
        <v>4955555.555555556</v>
      </c>
      <c r="J58" s="49">
        <f t="shared" si="67"/>
        <v>4955555.555555556</v>
      </c>
      <c r="K58" s="49">
        <f t="shared" si="67"/>
        <v>4955555.555555556</v>
      </c>
      <c r="L58" s="49">
        <f t="shared" si="67"/>
        <v>4955555.555555556</v>
      </c>
      <c r="M58" s="49">
        <f t="shared" si="67"/>
        <v>4955555.555555556</v>
      </c>
      <c r="N58" s="49">
        <f t="shared" si="67"/>
        <v>4955555.555555556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89">
        <f>SUM(E58:X58)</f>
        <v>75999999.99999997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68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68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68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68"/>
        <v>0</v>
      </c>
    </row>
    <row r="63" spans="1:25" x14ac:dyDescent="0.2">
      <c r="D63" s="2" t="s">
        <v>11</v>
      </c>
      <c r="E63" s="48">
        <f>SUM(E55:E62)</f>
        <v>31400000</v>
      </c>
      <c r="F63" s="48">
        <f>SUM(F55:F62)</f>
        <v>4955555.555555556</v>
      </c>
      <c r="G63" s="48">
        <f>SUM(G55:G62)</f>
        <v>4955555.555555556</v>
      </c>
      <c r="H63" s="48">
        <f>SUM(H55:H62)</f>
        <v>4955555.555555556</v>
      </c>
      <c r="I63" s="48">
        <f>SUM(I55:I62)</f>
        <v>4955555.555555556</v>
      </c>
      <c r="J63" s="48">
        <f t="shared" ref="J63:X63" si="69">SUM(J55:J62)</f>
        <v>4955555.555555556</v>
      </c>
      <c r="K63" s="48">
        <f t="shared" si="69"/>
        <v>4955555.555555556</v>
      </c>
      <c r="L63" s="48">
        <f t="shared" si="69"/>
        <v>4955555.555555556</v>
      </c>
      <c r="M63" s="48">
        <f t="shared" si="69"/>
        <v>4955555.555555556</v>
      </c>
      <c r="N63" s="48">
        <f t="shared" si="69"/>
        <v>4955555.555555556</v>
      </c>
      <c r="O63" s="48">
        <f t="shared" si="69"/>
        <v>0</v>
      </c>
      <c r="P63" s="48">
        <f t="shared" si="69"/>
        <v>0</v>
      </c>
      <c r="Q63" s="48">
        <f t="shared" si="69"/>
        <v>0</v>
      </c>
      <c r="R63" s="48">
        <f t="shared" si="69"/>
        <v>0</v>
      </c>
      <c r="S63" s="48">
        <f t="shared" si="69"/>
        <v>0</v>
      </c>
      <c r="T63" s="48">
        <f t="shared" si="69"/>
        <v>0</v>
      </c>
      <c r="U63" s="48">
        <f t="shared" si="69"/>
        <v>0</v>
      </c>
      <c r="V63" s="48">
        <f t="shared" si="69"/>
        <v>0</v>
      </c>
      <c r="W63" s="48">
        <f t="shared" si="69"/>
        <v>0</v>
      </c>
      <c r="X63" s="48">
        <f t="shared" si="69"/>
        <v>0</v>
      </c>
      <c r="Y63" s="89">
        <f t="shared" si="68"/>
        <v>75999999.99999997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68"/>
        <v>0</v>
      </c>
    </row>
    <row r="65" spans="1:24" x14ac:dyDescent="0.2">
      <c r="A65" s="74">
        <v>8</v>
      </c>
      <c r="C65" s="283" t="s">
        <v>33</v>
      </c>
      <c r="D65" s="284"/>
      <c r="E65" s="284"/>
      <c r="F65" s="284"/>
      <c r="G65" s="284"/>
      <c r="H65" s="284"/>
      <c r="I65" s="284"/>
      <c r="J65" s="28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268</v>
      </c>
      <c r="K66" s="11" t="s">
        <v>269</v>
      </c>
      <c r="L66" s="11" t="s">
        <v>270</v>
      </c>
      <c r="M66" s="11" t="s">
        <v>271</v>
      </c>
      <c r="N66" s="11" t="s">
        <v>272</v>
      </c>
      <c r="O66" s="11" t="s">
        <v>273</v>
      </c>
      <c r="P66" s="11" t="s">
        <v>274</v>
      </c>
      <c r="Q66" s="11" t="s">
        <v>275</v>
      </c>
      <c r="R66" s="11" t="s">
        <v>276</v>
      </c>
      <c r="S66" s="11" t="s">
        <v>277</v>
      </c>
      <c r="T66" s="11" t="s">
        <v>278</v>
      </c>
      <c r="U66" s="11" t="s">
        <v>279</v>
      </c>
      <c r="V66" s="11" t="s">
        <v>280</v>
      </c>
      <c r="W66" s="11" t="s">
        <v>281</v>
      </c>
      <c r="X66" s="11" t="s">
        <v>282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70">SUM(J67:J75)</f>
        <v>0</v>
      </c>
      <c r="K76" s="47">
        <f t="shared" si="70"/>
        <v>0</v>
      </c>
      <c r="L76" s="47">
        <f t="shared" si="70"/>
        <v>0</v>
      </c>
      <c r="M76" s="47">
        <f t="shared" si="70"/>
        <v>0</v>
      </c>
      <c r="N76" s="47">
        <f t="shared" si="70"/>
        <v>0</v>
      </c>
      <c r="O76" s="47">
        <f t="shared" si="70"/>
        <v>0</v>
      </c>
      <c r="P76" s="47">
        <f t="shared" si="70"/>
        <v>0</v>
      </c>
      <c r="Q76" s="47">
        <f t="shared" si="70"/>
        <v>0</v>
      </c>
      <c r="R76" s="47">
        <f t="shared" si="70"/>
        <v>0</v>
      </c>
      <c r="S76" s="47">
        <f t="shared" si="70"/>
        <v>0</v>
      </c>
      <c r="T76" s="47">
        <f t="shared" si="70"/>
        <v>0</v>
      </c>
      <c r="U76" s="47">
        <f t="shared" si="70"/>
        <v>0</v>
      </c>
      <c r="V76" s="47">
        <f t="shared" si="70"/>
        <v>0</v>
      </c>
      <c r="W76" s="47">
        <f t="shared" si="70"/>
        <v>0</v>
      </c>
      <c r="X76" s="47">
        <f t="shared" si="70"/>
        <v>0</v>
      </c>
    </row>
    <row r="77" spans="1:24" x14ac:dyDescent="0.2">
      <c r="A77" s="74">
        <v>9</v>
      </c>
      <c r="C77" s="283" t="s">
        <v>122</v>
      </c>
      <c r="D77" s="284"/>
      <c r="E77" s="284"/>
      <c r="F77" s="284"/>
      <c r="G77" s="284"/>
      <c r="H77" s="284"/>
      <c r="I77" s="284"/>
      <c r="J77" s="28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268</v>
      </c>
      <c r="K78" s="11" t="s">
        <v>269</v>
      </c>
      <c r="L78" s="11" t="s">
        <v>270</v>
      </c>
      <c r="M78" s="11" t="s">
        <v>271</v>
      </c>
      <c r="N78" s="11" t="s">
        <v>272</v>
      </c>
      <c r="O78" s="11" t="s">
        <v>273</v>
      </c>
      <c r="P78" s="11" t="s">
        <v>274</v>
      </c>
      <c r="Q78" s="11" t="s">
        <v>275</v>
      </c>
      <c r="R78" s="11" t="s">
        <v>276</v>
      </c>
      <c r="S78" s="11" t="s">
        <v>277</v>
      </c>
      <c r="T78" s="11" t="s">
        <v>278</v>
      </c>
      <c r="U78" s="11" t="s">
        <v>279</v>
      </c>
      <c r="V78" s="11" t="s">
        <v>280</v>
      </c>
      <c r="W78" s="11" t="s">
        <v>281</v>
      </c>
      <c r="X78" s="11" t="s">
        <v>284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281" t="s">
        <v>120</v>
      </c>
      <c r="D88" s="282"/>
      <c r="E88" s="282"/>
      <c r="F88" s="282"/>
      <c r="G88" s="282"/>
      <c r="H88" s="282"/>
      <c r="I88" s="282"/>
      <c r="J88" s="28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268</v>
      </c>
      <c r="K89" s="11" t="s">
        <v>269</v>
      </c>
      <c r="L89" s="11" t="s">
        <v>270</v>
      </c>
      <c r="M89" s="11" t="s">
        <v>271</v>
      </c>
      <c r="N89" s="11" t="s">
        <v>272</v>
      </c>
      <c r="O89" s="11" t="s">
        <v>273</v>
      </c>
      <c r="P89" s="11" t="s">
        <v>274</v>
      </c>
      <c r="Q89" s="11" t="s">
        <v>275</v>
      </c>
      <c r="R89" s="11" t="s">
        <v>276</v>
      </c>
      <c r="S89" s="11" t="s">
        <v>277</v>
      </c>
      <c r="T89" s="11" t="s">
        <v>278</v>
      </c>
      <c r="U89" s="11" t="s">
        <v>279</v>
      </c>
      <c r="V89" s="11" t="s">
        <v>280</v>
      </c>
      <c r="W89" s="11" t="s">
        <v>281</v>
      </c>
      <c r="X89" s="11" t="s">
        <v>284</v>
      </c>
    </row>
    <row r="90" spans="1:25" x14ac:dyDescent="0.2">
      <c r="D90" s="2" t="s">
        <v>6</v>
      </c>
      <c r="E90" s="123">
        <f>+Summary!D29</f>
        <v>148.32479191438765</v>
      </c>
      <c r="F90" s="124">
        <f t="shared" ref="F90:F94" si="71">+E90</f>
        <v>148.32479191438765</v>
      </c>
      <c r="G90" s="124">
        <f t="shared" ref="G90:G94" si="72">+F90</f>
        <v>148.32479191438765</v>
      </c>
      <c r="H90" s="124">
        <f t="shared" ref="H90:H94" si="73">+G90</f>
        <v>148.32479191438765</v>
      </c>
      <c r="I90" s="124">
        <f t="shared" ref="I90:I94" si="74">+H90</f>
        <v>148.32479191438765</v>
      </c>
      <c r="J90" s="124">
        <f t="shared" ref="J90:J94" si="75">+I90</f>
        <v>148.32479191438765</v>
      </c>
      <c r="K90" s="124">
        <f t="shared" ref="K90:K94" si="76">+J90</f>
        <v>148.32479191438765</v>
      </c>
      <c r="L90" s="124">
        <f t="shared" ref="L90:L94" si="77">+K90</f>
        <v>148.32479191438765</v>
      </c>
      <c r="M90" s="124">
        <f t="shared" ref="M90:M94" si="78">+L90</f>
        <v>148.32479191438765</v>
      </c>
      <c r="N90" s="124">
        <f t="shared" ref="N90:N94" si="79">+M90</f>
        <v>148.32479191438765</v>
      </c>
      <c r="O90" s="124">
        <f t="shared" ref="O90:O94" si="80">+N90</f>
        <v>148.32479191438765</v>
      </c>
      <c r="P90" s="124">
        <f t="shared" ref="P90:P94" si="81">+O90</f>
        <v>148.32479191438765</v>
      </c>
      <c r="Q90" s="124">
        <f t="shared" ref="Q90:Q94" si="82">+P90</f>
        <v>148.32479191438765</v>
      </c>
      <c r="R90" s="124">
        <f t="shared" ref="R90:R94" si="83">+Q90</f>
        <v>148.32479191438765</v>
      </c>
      <c r="S90" s="124">
        <f t="shared" ref="S90:S94" si="84">+R90</f>
        <v>148.32479191438765</v>
      </c>
      <c r="T90" s="124">
        <f t="shared" ref="T90:T94" si="85">+S90</f>
        <v>148.32479191438765</v>
      </c>
      <c r="U90" s="124">
        <f t="shared" ref="U90:U94" si="86">+T90</f>
        <v>148.32479191438765</v>
      </c>
      <c r="V90" s="124">
        <f t="shared" ref="V90:V94" si="87">+U90</f>
        <v>148.32479191438765</v>
      </c>
      <c r="W90" s="124">
        <f t="shared" ref="W90:W94" si="88">+V90</f>
        <v>148.32479191438765</v>
      </c>
      <c r="X90" s="124">
        <f t="shared" ref="X90:X94" si="89">+W90</f>
        <v>148.32479191438765</v>
      </c>
      <c r="Y90" s="261"/>
    </row>
    <row r="91" spans="1:25" x14ac:dyDescent="0.2">
      <c r="D91" s="2" t="s">
        <v>77</v>
      </c>
      <c r="E91" s="123">
        <f>+E90</f>
        <v>148.32479191438765</v>
      </c>
      <c r="F91" s="124">
        <f t="shared" si="71"/>
        <v>148.32479191438765</v>
      </c>
      <c r="G91" s="124">
        <f t="shared" si="72"/>
        <v>148.32479191438765</v>
      </c>
      <c r="H91" s="124">
        <f t="shared" si="73"/>
        <v>148.32479191438765</v>
      </c>
      <c r="I91" s="124">
        <f t="shared" si="74"/>
        <v>148.32479191438765</v>
      </c>
      <c r="J91" s="124">
        <f t="shared" si="75"/>
        <v>148.32479191438765</v>
      </c>
      <c r="K91" s="124">
        <f t="shared" si="76"/>
        <v>148.32479191438765</v>
      </c>
      <c r="L91" s="124">
        <f t="shared" si="77"/>
        <v>148.32479191438765</v>
      </c>
      <c r="M91" s="124">
        <f t="shared" si="78"/>
        <v>148.32479191438765</v>
      </c>
      <c r="N91" s="124">
        <f t="shared" si="79"/>
        <v>148.32479191438765</v>
      </c>
      <c r="O91" s="124">
        <f t="shared" si="80"/>
        <v>148.32479191438765</v>
      </c>
      <c r="P91" s="124">
        <f t="shared" si="81"/>
        <v>148.32479191438765</v>
      </c>
      <c r="Q91" s="124">
        <f t="shared" si="82"/>
        <v>148.32479191438765</v>
      </c>
      <c r="R91" s="124">
        <f t="shared" si="83"/>
        <v>148.32479191438765</v>
      </c>
      <c r="S91" s="124">
        <f t="shared" si="84"/>
        <v>148.32479191438765</v>
      </c>
      <c r="T91" s="124">
        <f t="shared" si="85"/>
        <v>148.32479191438765</v>
      </c>
      <c r="U91" s="124">
        <f t="shared" si="86"/>
        <v>148.32479191438765</v>
      </c>
      <c r="V91" s="124">
        <f t="shared" si="87"/>
        <v>148.32479191438765</v>
      </c>
      <c r="W91" s="124">
        <f t="shared" si="88"/>
        <v>148.32479191438765</v>
      </c>
      <c r="X91" s="124">
        <f t="shared" si="89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71"/>
        <v>148.32479191438765</v>
      </c>
      <c r="G92" s="124">
        <f t="shared" si="72"/>
        <v>148.32479191438765</v>
      </c>
      <c r="H92" s="124">
        <f t="shared" si="73"/>
        <v>148.32479191438765</v>
      </c>
      <c r="I92" s="124">
        <f t="shared" si="74"/>
        <v>148.32479191438765</v>
      </c>
      <c r="J92" s="124">
        <f t="shared" si="75"/>
        <v>148.32479191438765</v>
      </c>
      <c r="K92" s="124">
        <f t="shared" si="76"/>
        <v>148.32479191438765</v>
      </c>
      <c r="L92" s="124">
        <f t="shared" si="77"/>
        <v>148.32479191438765</v>
      </c>
      <c r="M92" s="124">
        <f t="shared" si="78"/>
        <v>148.32479191438765</v>
      </c>
      <c r="N92" s="124">
        <f t="shared" si="79"/>
        <v>148.32479191438765</v>
      </c>
      <c r="O92" s="124">
        <f t="shared" si="80"/>
        <v>148.32479191438765</v>
      </c>
      <c r="P92" s="124">
        <f t="shared" si="81"/>
        <v>148.32479191438765</v>
      </c>
      <c r="Q92" s="124">
        <f t="shared" si="82"/>
        <v>148.32479191438765</v>
      </c>
      <c r="R92" s="124">
        <f t="shared" si="83"/>
        <v>148.32479191438765</v>
      </c>
      <c r="S92" s="124">
        <f t="shared" si="84"/>
        <v>148.32479191438765</v>
      </c>
      <c r="T92" s="124">
        <f t="shared" si="85"/>
        <v>148.32479191438765</v>
      </c>
      <c r="U92" s="124">
        <f t="shared" si="86"/>
        <v>148.32479191438765</v>
      </c>
      <c r="V92" s="124">
        <f t="shared" si="87"/>
        <v>148.32479191438765</v>
      </c>
      <c r="W92" s="124">
        <f t="shared" si="88"/>
        <v>148.32479191438765</v>
      </c>
      <c r="X92" s="124">
        <f t="shared" si="89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71"/>
        <v>148.32479191438765</v>
      </c>
      <c r="G93" s="124">
        <f t="shared" si="72"/>
        <v>148.32479191438765</v>
      </c>
      <c r="H93" s="124">
        <f t="shared" si="73"/>
        <v>148.32479191438765</v>
      </c>
      <c r="I93" s="124">
        <f t="shared" si="74"/>
        <v>148.32479191438765</v>
      </c>
      <c r="J93" s="124">
        <f t="shared" si="75"/>
        <v>148.32479191438765</v>
      </c>
      <c r="K93" s="124">
        <f t="shared" si="76"/>
        <v>148.32479191438765</v>
      </c>
      <c r="L93" s="124">
        <f t="shared" si="77"/>
        <v>148.32479191438765</v>
      </c>
      <c r="M93" s="124">
        <f t="shared" si="78"/>
        <v>148.32479191438765</v>
      </c>
      <c r="N93" s="124">
        <f t="shared" si="79"/>
        <v>148.32479191438765</v>
      </c>
      <c r="O93" s="124">
        <f t="shared" si="80"/>
        <v>148.32479191438765</v>
      </c>
      <c r="P93" s="124">
        <f t="shared" si="81"/>
        <v>148.32479191438765</v>
      </c>
      <c r="Q93" s="124">
        <f t="shared" si="82"/>
        <v>148.32479191438765</v>
      </c>
      <c r="R93" s="124">
        <f t="shared" si="83"/>
        <v>148.32479191438765</v>
      </c>
      <c r="S93" s="124">
        <f t="shared" si="84"/>
        <v>148.32479191438765</v>
      </c>
      <c r="T93" s="124">
        <f t="shared" si="85"/>
        <v>148.32479191438765</v>
      </c>
      <c r="U93" s="124">
        <f t="shared" si="86"/>
        <v>148.32479191438765</v>
      </c>
      <c r="V93" s="124">
        <f t="shared" si="87"/>
        <v>148.32479191438765</v>
      </c>
      <c r="W93" s="124">
        <f t="shared" si="88"/>
        <v>148.32479191438765</v>
      </c>
      <c r="X93" s="124">
        <f t="shared" si="89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71"/>
        <v>148.32479191438765</v>
      </c>
      <c r="G94" s="124">
        <f t="shared" si="72"/>
        <v>148.32479191438765</v>
      </c>
      <c r="H94" s="124">
        <f t="shared" si="73"/>
        <v>148.32479191438765</v>
      </c>
      <c r="I94" s="124">
        <f t="shared" si="74"/>
        <v>148.32479191438765</v>
      </c>
      <c r="J94" s="124">
        <f t="shared" si="75"/>
        <v>148.32479191438765</v>
      </c>
      <c r="K94" s="124">
        <f t="shared" si="76"/>
        <v>148.32479191438765</v>
      </c>
      <c r="L94" s="124">
        <f t="shared" si="77"/>
        <v>148.32479191438765</v>
      </c>
      <c r="M94" s="124">
        <f t="shared" si="78"/>
        <v>148.32479191438765</v>
      </c>
      <c r="N94" s="124">
        <f t="shared" si="79"/>
        <v>148.32479191438765</v>
      </c>
      <c r="O94" s="124">
        <f t="shared" si="80"/>
        <v>148.32479191438765</v>
      </c>
      <c r="P94" s="124">
        <f t="shared" si="81"/>
        <v>148.32479191438765</v>
      </c>
      <c r="Q94" s="124">
        <f t="shared" si="82"/>
        <v>148.32479191438765</v>
      </c>
      <c r="R94" s="124">
        <f t="shared" si="83"/>
        <v>148.32479191438765</v>
      </c>
      <c r="S94" s="124">
        <f t="shared" si="84"/>
        <v>148.32479191438765</v>
      </c>
      <c r="T94" s="124">
        <f t="shared" si="85"/>
        <v>148.32479191438765</v>
      </c>
      <c r="U94" s="124">
        <f t="shared" si="86"/>
        <v>148.32479191438765</v>
      </c>
      <c r="V94" s="124">
        <f t="shared" si="87"/>
        <v>148.32479191438765</v>
      </c>
      <c r="W94" s="124">
        <f t="shared" si="88"/>
        <v>148.32479191438765</v>
      </c>
      <c r="X94" s="124">
        <f t="shared" si="89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283" t="s">
        <v>17</v>
      </c>
      <c r="D99" s="284"/>
      <c r="E99" s="284"/>
      <c r="F99" s="284"/>
      <c r="G99" s="284"/>
      <c r="H99" s="284"/>
      <c r="I99" s="284"/>
      <c r="J99" s="284"/>
    </row>
    <row r="100" spans="1:25" s="9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268</v>
      </c>
      <c r="K100" s="11" t="s">
        <v>269</v>
      </c>
      <c r="L100" s="11" t="s">
        <v>270</v>
      </c>
      <c r="M100" s="11" t="s">
        <v>271</v>
      </c>
      <c r="N100" s="11" t="s">
        <v>272</v>
      </c>
      <c r="O100" s="11" t="s">
        <v>273</v>
      </c>
      <c r="P100" s="11" t="s">
        <v>274</v>
      </c>
      <c r="Q100" s="11" t="s">
        <v>275</v>
      </c>
      <c r="R100" s="11" t="s">
        <v>276</v>
      </c>
      <c r="S100" s="11" t="s">
        <v>277</v>
      </c>
      <c r="T100" s="11" t="s">
        <v>278</v>
      </c>
      <c r="U100" s="11" t="s">
        <v>279</v>
      </c>
      <c r="V100" s="11" t="s">
        <v>280</v>
      </c>
      <c r="W100" s="11" t="s">
        <v>281</v>
      </c>
      <c r="X100" s="11" t="s">
        <v>284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I102" si="90">+E101</f>
        <v>2.69E-2</v>
      </c>
      <c r="G101" s="15">
        <f t="shared" si="90"/>
        <v>2.69E-2</v>
      </c>
      <c r="H101" s="15">
        <f t="shared" si="90"/>
        <v>2.69E-2</v>
      </c>
      <c r="I101" s="15">
        <f t="shared" si="90"/>
        <v>2.69E-2</v>
      </c>
      <c r="J101" s="15">
        <f t="shared" ref="J101:J104" si="91">+I101</f>
        <v>2.69E-2</v>
      </c>
      <c r="K101" s="15">
        <f t="shared" ref="K101:K104" si="92">+J101</f>
        <v>2.69E-2</v>
      </c>
      <c r="L101" s="15">
        <f t="shared" ref="L101:L104" si="93">+K101</f>
        <v>2.69E-2</v>
      </c>
      <c r="M101" s="15">
        <f t="shared" ref="M101:M104" si="94">+L101</f>
        <v>2.69E-2</v>
      </c>
      <c r="N101" s="15">
        <f t="shared" ref="N101:N104" si="95">+M101</f>
        <v>2.69E-2</v>
      </c>
      <c r="O101" s="15">
        <f t="shared" ref="O101:O104" si="96">+N101</f>
        <v>2.69E-2</v>
      </c>
      <c r="P101" s="15">
        <f t="shared" ref="P101:P104" si="97">+O101</f>
        <v>2.69E-2</v>
      </c>
      <c r="Q101" s="15">
        <f t="shared" ref="Q101:Q104" si="98">+P101</f>
        <v>2.69E-2</v>
      </c>
      <c r="R101" s="15">
        <f t="shared" ref="R101:R104" si="99">+Q101</f>
        <v>2.69E-2</v>
      </c>
      <c r="S101" s="15">
        <f t="shared" ref="S101:S104" si="100">+R101</f>
        <v>2.69E-2</v>
      </c>
      <c r="T101" s="15">
        <f t="shared" ref="T101:T104" si="101">+S101</f>
        <v>2.69E-2</v>
      </c>
      <c r="U101" s="15">
        <f t="shared" ref="U101:U104" si="102">+T101</f>
        <v>2.69E-2</v>
      </c>
      <c r="V101" s="15">
        <f t="shared" ref="V101:V104" si="103">+U101</f>
        <v>2.69E-2</v>
      </c>
      <c r="W101" s="15">
        <f t="shared" ref="W101:W104" si="104">+V101</f>
        <v>2.69E-2</v>
      </c>
      <c r="X101" s="15">
        <f t="shared" ref="X101:X104" si="105">+W101</f>
        <v>2.69E-2</v>
      </c>
      <c r="Y101" s="261"/>
    </row>
    <row r="102" spans="1:25" x14ac:dyDescent="0.2">
      <c r="D102" s="2" t="s">
        <v>23</v>
      </c>
      <c r="E102" s="15">
        <v>9.6600000000000005E-2</v>
      </c>
      <c r="F102" s="15">
        <f t="shared" si="90"/>
        <v>9.6600000000000005E-2</v>
      </c>
      <c r="G102" s="15">
        <f t="shared" si="90"/>
        <v>9.6600000000000005E-2</v>
      </c>
      <c r="H102" s="15">
        <f t="shared" si="90"/>
        <v>9.6600000000000005E-2</v>
      </c>
      <c r="I102" s="15">
        <f t="shared" si="90"/>
        <v>9.6600000000000005E-2</v>
      </c>
      <c r="J102" s="15">
        <f t="shared" si="91"/>
        <v>9.6600000000000005E-2</v>
      </c>
      <c r="K102" s="15">
        <f t="shared" si="92"/>
        <v>9.6600000000000005E-2</v>
      </c>
      <c r="L102" s="15">
        <f t="shared" si="93"/>
        <v>9.6600000000000005E-2</v>
      </c>
      <c r="M102" s="15">
        <f t="shared" si="94"/>
        <v>9.6600000000000005E-2</v>
      </c>
      <c r="N102" s="15">
        <f t="shared" si="95"/>
        <v>9.6600000000000005E-2</v>
      </c>
      <c r="O102" s="15">
        <f t="shared" si="96"/>
        <v>9.6600000000000005E-2</v>
      </c>
      <c r="P102" s="15">
        <f t="shared" si="97"/>
        <v>9.6600000000000005E-2</v>
      </c>
      <c r="Q102" s="15">
        <f t="shared" si="98"/>
        <v>9.6600000000000005E-2</v>
      </c>
      <c r="R102" s="15">
        <f t="shared" si="99"/>
        <v>9.6600000000000005E-2</v>
      </c>
      <c r="S102" s="15">
        <f t="shared" si="100"/>
        <v>9.6600000000000005E-2</v>
      </c>
      <c r="T102" s="15">
        <f t="shared" si="101"/>
        <v>9.6600000000000005E-2</v>
      </c>
      <c r="U102" s="15">
        <f t="shared" si="102"/>
        <v>9.6600000000000005E-2</v>
      </c>
      <c r="V102" s="15">
        <f t="shared" si="103"/>
        <v>9.6600000000000005E-2</v>
      </c>
      <c r="W102" s="15">
        <f t="shared" si="104"/>
        <v>9.6600000000000005E-2</v>
      </c>
      <c r="X102" s="15">
        <f t="shared" si="105"/>
        <v>9.6600000000000005E-2</v>
      </c>
      <c r="Y102" s="261"/>
    </row>
    <row r="103" spans="1:25" x14ac:dyDescent="0.2">
      <c r="D103" s="2" t="s">
        <v>117</v>
      </c>
      <c r="E103" s="15">
        <f>+'Debt Equity Ratio'!V16</f>
        <v>0.64679319311168071</v>
      </c>
      <c r="F103" s="15">
        <f>+E103</f>
        <v>0.64679319311168071</v>
      </c>
      <c r="G103" s="15">
        <f t="shared" ref="G103:I104" si="106">+F103</f>
        <v>0.64679319311168071</v>
      </c>
      <c r="H103" s="15">
        <f t="shared" si="106"/>
        <v>0.64679319311168071</v>
      </c>
      <c r="I103" s="15">
        <f t="shared" si="106"/>
        <v>0.64679319311168071</v>
      </c>
      <c r="J103" s="15">
        <f t="shared" si="91"/>
        <v>0.64679319311168071</v>
      </c>
      <c r="K103" s="15">
        <f t="shared" si="92"/>
        <v>0.64679319311168071</v>
      </c>
      <c r="L103" s="15">
        <f t="shared" si="93"/>
        <v>0.64679319311168071</v>
      </c>
      <c r="M103" s="15">
        <f t="shared" si="94"/>
        <v>0.64679319311168071</v>
      </c>
      <c r="N103" s="15">
        <f t="shared" si="95"/>
        <v>0.64679319311168071</v>
      </c>
      <c r="O103" s="15">
        <f t="shared" si="96"/>
        <v>0.64679319311168071</v>
      </c>
      <c r="P103" s="15">
        <f t="shared" si="97"/>
        <v>0.64679319311168071</v>
      </c>
      <c r="Q103" s="15">
        <f t="shared" si="98"/>
        <v>0.64679319311168071</v>
      </c>
      <c r="R103" s="15">
        <f t="shared" si="99"/>
        <v>0.64679319311168071</v>
      </c>
      <c r="S103" s="15">
        <f t="shared" si="100"/>
        <v>0.64679319311168071</v>
      </c>
      <c r="T103" s="15">
        <f t="shared" si="101"/>
        <v>0.64679319311168071</v>
      </c>
      <c r="U103" s="15">
        <f t="shared" si="102"/>
        <v>0.64679319311168071</v>
      </c>
      <c r="V103" s="15">
        <f t="shared" si="103"/>
        <v>0.64679319311168071</v>
      </c>
      <c r="W103" s="15">
        <f t="shared" si="104"/>
        <v>0.64679319311168071</v>
      </c>
      <c r="X103" s="15">
        <f t="shared" si="105"/>
        <v>0.64679319311168071</v>
      </c>
      <c r="Y103" s="261"/>
    </row>
    <row r="104" spans="1:25" x14ac:dyDescent="0.2">
      <c r="D104" s="2" t="s">
        <v>118</v>
      </c>
      <c r="E104" s="15">
        <f>+'Debt Equity Ratio'!V17</f>
        <v>0.35320680688831929</v>
      </c>
      <c r="F104" s="15">
        <f>+E104</f>
        <v>0.35320680688831929</v>
      </c>
      <c r="G104" s="15">
        <f t="shared" si="106"/>
        <v>0.35320680688831929</v>
      </c>
      <c r="H104" s="15">
        <f t="shared" si="106"/>
        <v>0.35320680688831929</v>
      </c>
      <c r="I104" s="15">
        <f t="shared" si="106"/>
        <v>0.35320680688831929</v>
      </c>
      <c r="J104" s="15">
        <f t="shared" si="91"/>
        <v>0.35320680688831929</v>
      </c>
      <c r="K104" s="15">
        <f t="shared" si="92"/>
        <v>0.35320680688831929</v>
      </c>
      <c r="L104" s="15">
        <f t="shared" si="93"/>
        <v>0.35320680688831929</v>
      </c>
      <c r="M104" s="15">
        <f t="shared" si="94"/>
        <v>0.35320680688831929</v>
      </c>
      <c r="N104" s="15">
        <f t="shared" si="95"/>
        <v>0.35320680688831929</v>
      </c>
      <c r="O104" s="15">
        <f t="shared" si="96"/>
        <v>0.35320680688831929</v>
      </c>
      <c r="P104" s="15">
        <f t="shared" si="97"/>
        <v>0.35320680688831929</v>
      </c>
      <c r="Q104" s="15">
        <f t="shared" si="98"/>
        <v>0.35320680688831929</v>
      </c>
      <c r="R104" s="15">
        <f t="shared" si="99"/>
        <v>0.35320680688831929</v>
      </c>
      <c r="S104" s="15">
        <f t="shared" si="100"/>
        <v>0.35320680688831929</v>
      </c>
      <c r="T104" s="15">
        <f t="shared" si="101"/>
        <v>0.35320680688831929</v>
      </c>
      <c r="U104" s="15">
        <f t="shared" si="102"/>
        <v>0.35320680688831929</v>
      </c>
      <c r="V104" s="15">
        <f t="shared" si="103"/>
        <v>0.35320680688831929</v>
      </c>
      <c r="W104" s="15">
        <f t="shared" si="104"/>
        <v>0.35320680688831929</v>
      </c>
      <c r="X104" s="15">
        <f t="shared" si="105"/>
        <v>0.35320680688831929</v>
      </c>
      <c r="Y104" s="261"/>
    </row>
    <row r="105" spans="1:25" x14ac:dyDescent="0.2">
      <c r="D105" s="2" t="s">
        <v>24</v>
      </c>
      <c r="E105" s="17">
        <f t="shared" ref="E105:I105" si="107">+E111</f>
        <v>0.26500000000000001</v>
      </c>
      <c r="F105" s="17">
        <f t="shared" si="107"/>
        <v>0.26500000000000001</v>
      </c>
      <c r="G105" s="17">
        <f t="shared" si="107"/>
        <v>0.26500000000000001</v>
      </c>
      <c r="H105" s="17">
        <f t="shared" si="107"/>
        <v>0.26500000000000001</v>
      </c>
      <c r="I105" s="17">
        <f t="shared" si="107"/>
        <v>0.26500000000000001</v>
      </c>
      <c r="J105" s="17">
        <f t="shared" ref="J105:X105" si="108">+J111</f>
        <v>0.26500000000000001</v>
      </c>
      <c r="K105" s="17">
        <f t="shared" si="108"/>
        <v>0.26500000000000001</v>
      </c>
      <c r="L105" s="17">
        <f t="shared" si="108"/>
        <v>0.26500000000000001</v>
      </c>
      <c r="M105" s="17">
        <f t="shared" si="108"/>
        <v>0.26500000000000001</v>
      </c>
      <c r="N105" s="17">
        <f t="shared" si="108"/>
        <v>0.26500000000000001</v>
      </c>
      <c r="O105" s="17">
        <f t="shared" si="108"/>
        <v>0.26500000000000001</v>
      </c>
      <c r="P105" s="17">
        <f t="shared" si="108"/>
        <v>0.26500000000000001</v>
      </c>
      <c r="Q105" s="17">
        <f t="shared" si="108"/>
        <v>0.26500000000000001</v>
      </c>
      <c r="R105" s="17">
        <f t="shared" si="108"/>
        <v>0.26500000000000001</v>
      </c>
      <c r="S105" s="17">
        <f t="shared" si="108"/>
        <v>0.26500000000000001</v>
      </c>
      <c r="T105" s="17">
        <f t="shared" si="108"/>
        <v>0.26500000000000001</v>
      </c>
      <c r="U105" s="17">
        <f t="shared" si="108"/>
        <v>0.26500000000000001</v>
      </c>
      <c r="V105" s="17">
        <f t="shared" si="108"/>
        <v>0.26500000000000001</v>
      </c>
      <c r="W105" s="17">
        <f t="shared" si="108"/>
        <v>0.26500000000000001</v>
      </c>
      <c r="X105" s="17">
        <f t="shared" si="108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109">+(J103*(1-J105)*J101)+(J104*J102)</f>
        <v>4.6907849163019238E-2</v>
      </c>
      <c r="K106" s="16">
        <f t="shared" si="109"/>
        <v>4.6907849163019238E-2</v>
      </c>
      <c r="L106" s="16">
        <f t="shared" si="109"/>
        <v>4.6907849163019238E-2</v>
      </c>
      <c r="M106" s="16">
        <f t="shared" si="109"/>
        <v>4.6907849163019238E-2</v>
      </c>
      <c r="N106" s="16">
        <f t="shared" si="109"/>
        <v>4.6907849163019238E-2</v>
      </c>
      <c r="O106" s="16">
        <f t="shared" si="109"/>
        <v>4.6907849163019238E-2</v>
      </c>
      <c r="P106" s="16">
        <f t="shared" si="109"/>
        <v>4.6907849163019238E-2</v>
      </c>
      <c r="Q106" s="16">
        <f t="shared" si="109"/>
        <v>4.6907849163019238E-2</v>
      </c>
      <c r="R106" s="16">
        <f t="shared" si="109"/>
        <v>4.6907849163019238E-2</v>
      </c>
      <c r="S106" s="16">
        <f t="shared" si="109"/>
        <v>4.6907849163019238E-2</v>
      </c>
      <c r="T106" s="16">
        <f t="shared" si="109"/>
        <v>4.6907849163019238E-2</v>
      </c>
      <c r="U106" s="16">
        <f t="shared" si="109"/>
        <v>4.6907849163019238E-2</v>
      </c>
      <c r="V106" s="16">
        <f t="shared" si="109"/>
        <v>4.6907849163019238E-2</v>
      </c>
      <c r="W106" s="16">
        <f t="shared" si="109"/>
        <v>4.6907849163019238E-2</v>
      </c>
      <c r="X106" s="16">
        <f t="shared" si="109"/>
        <v>4.6907849163019238E-2</v>
      </c>
    </row>
    <row r="108" spans="1:25" x14ac:dyDescent="0.2">
      <c r="A108" s="74">
        <v>12</v>
      </c>
      <c r="C108" s="283" t="s">
        <v>26</v>
      </c>
      <c r="D108" s="284"/>
      <c r="E108" s="284"/>
      <c r="F108" s="284"/>
      <c r="G108" s="284"/>
      <c r="H108" s="284"/>
      <c r="I108" s="284"/>
      <c r="J108" s="284"/>
    </row>
    <row r="109" spans="1:25" x14ac:dyDescent="0.2">
      <c r="C109" s="9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268</v>
      </c>
      <c r="K109" s="11" t="s">
        <v>269</v>
      </c>
      <c r="L109" s="11" t="s">
        <v>270</v>
      </c>
      <c r="M109" s="11" t="s">
        <v>271</v>
      </c>
      <c r="N109" s="11" t="s">
        <v>272</v>
      </c>
      <c r="O109" s="11" t="s">
        <v>273</v>
      </c>
      <c r="P109" s="11" t="s">
        <v>274</v>
      </c>
      <c r="Q109" s="11" t="s">
        <v>275</v>
      </c>
      <c r="R109" s="11" t="s">
        <v>276</v>
      </c>
      <c r="S109" s="11" t="s">
        <v>277</v>
      </c>
      <c r="T109" s="11" t="s">
        <v>278</v>
      </c>
      <c r="U109" s="11" t="s">
        <v>279</v>
      </c>
      <c r="V109" s="11" t="s">
        <v>280</v>
      </c>
      <c r="W109" s="11" t="s">
        <v>281</v>
      </c>
      <c r="X109" s="11" t="s">
        <v>284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110">+I111</f>
        <v>0.26500000000000001</v>
      </c>
      <c r="K111" s="15">
        <f t="shared" si="110"/>
        <v>0.26500000000000001</v>
      </c>
      <c r="L111" s="15">
        <f t="shared" si="110"/>
        <v>0.26500000000000001</v>
      </c>
      <c r="M111" s="15">
        <f t="shared" si="110"/>
        <v>0.26500000000000001</v>
      </c>
      <c r="N111" s="15">
        <f t="shared" si="110"/>
        <v>0.26500000000000001</v>
      </c>
      <c r="O111" s="15">
        <f t="shared" si="110"/>
        <v>0.26500000000000001</v>
      </c>
      <c r="P111" s="15">
        <f t="shared" si="110"/>
        <v>0.26500000000000001</v>
      </c>
      <c r="Q111" s="15">
        <f t="shared" si="110"/>
        <v>0.26500000000000001</v>
      </c>
      <c r="R111" s="15">
        <f t="shared" si="110"/>
        <v>0.26500000000000001</v>
      </c>
      <c r="S111" s="15">
        <f t="shared" si="110"/>
        <v>0.26500000000000001</v>
      </c>
      <c r="T111" s="15">
        <f t="shared" si="110"/>
        <v>0.26500000000000001</v>
      </c>
      <c r="U111" s="15">
        <f t="shared" si="110"/>
        <v>0.26500000000000001</v>
      </c>
      <c r="V111" s="15">
        <f t="shared" si="110"/>
        <v>0.26500000000000001</v>
      </c>
      <c r="W111" s="15">
        <f t="shared" si="110"/>
        <v>0.26500000000000001</v>
      </c>
      <c r="X111" s="15">
        <f t="shared" si="110"/>
        <v>0.26500000000000001</v>
      </c>
      <c r="Y111" s="261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261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261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261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111">+I115</f>
        <v>0</v>
      </c>
      <c r="K115" s="69">
        <f t="shared" si="111"/>
        <v>0</v>
      </c>
      <c r="L115" s="69">
        <f t="shared" si="111"/>
        <v>0</v>
      </c>
      <c r="M115" s="69">
        <f t="shared" si="111"/>
        <v>0</v>
      </c>
      <c r="N115" s="69">
        <f t="shared" si="111"/>
        <v>0</v>
      </c>
      <c r="O115" s="69">
        <f t="shared" si="111"/>
        <v>0</v>
      </c>
      <c r="P115" s="69">
        <f t="shared" si="111"/>
        <v>0</v>
      </c>
      <c r="Q115" s="69">
        <f t="shared" si="111"/>
        <v>0</v>
      </c>
      <c r="R115" s="69">
        <f t="shared" si="111"/>
        <v>0</v>
      </c>
      <c r="S115" s="69">
        <f t="shared" si="111"/>
        <v>0</v>
      </c>
      <c r="T115" s="69">
        <f t="shared" si="111"/>
        <v>0</v>
      </c>
      <c r="U115" s="69">
        <f t="shared" si="111"/>
        <v>0</v>
      </c>
      <c r="V115" s="69">
        <f t="shared" si="111"/>
        <v>0</v>
      </c>
      <c r="W115" s="69">
        <f t="shared" si="111"/>
        <v>0</v>
      </c>
      <c r="X115" s="69">
        <f t="shared" si="111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I117" si="112">+E115-E116</f>
        <v>0</v>
      </c>
      <c r="F117" s="37">
        <f t="shared" si="112"/>
        <v>0</v>
      </c>
      <c r="G117" s="37">
        <f t="shared" si="112"/>
        <v>0</v>
      </c>
      <c r="H117" s="37">
        <f t="shared" si="112"/>
        <v>0</v>
      </c>
      <c r="I117" s="37">
        <f t="shared" si="112"/>
        <v>0</v>
      </c>
      <c r="J117" s="37">
        <f t="shared" ref="J117:X117" si="113">+J115-J116</f>
        <v>0</v>
      </c>
      <c r="K117" s="37">
        <f t="shared" si="113"/>
        <v>0</v>
      </c>
      <c r="L117" s="37">
        <f t="shared" si="113"/>
        <v>0</v>
      </c>
      <c r="M117" s="37">
        <f t="shared" si="113"/>
        <v>0</v>
      </c>
      <c r="N117" s="37">
        <f t="shared" si="113"/>
        <v>0</v>
      </c>
      <c r="O117" s="37">
        <f t="shared" si="113"/>
        <v>0</v>
      </c>
      <c r="P117" s="37">
        <f t="shared" si="113"/>
        <v>0</v>
      </c>
      <c r="Q117" s="37">
        <f t="shared" si="113"/>
        <v>0</v>
      </c>
      <c r="R117" s="37">
        <f t="shared" si="113"/>
        <v>0</v>
      </c>
      <c r="S117" s="37">
        <f t="shared" si="113"/>
        <v>0</v>
      </c>
      <c r="T117" s="37">
        <f t="shared" si="113"/>
        <v>0</v>
      </c>
      <c r="U117" s="37">
        <f t="shared" si="113"/>
        <v>0</v>
      </c>
      <c r="V117" s="37">
        <f t="shared" si="113"/>
        <v>0</v>
      </c>
      <c r="W117" s="37">
        <f t="shared" si="113"/>
        <v>0</v>
      </c>
      <c r="X117" s="37">
        <f t="shared" si="113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disablePrompts="1"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73"/>
  <sheetViews>
    <sheetView zoomScaleNormal="100" workbookViewId="0">
      <pane xSplit="2" ySplit="5" topLeftCell="C33" activePane="bottomRight" state="frozenSplit"/>
      <selection activeCell="E51" sqref="E51"/>
      <selection pane="topRight" activeCell="E51" sqref="E51"/>
      <selection pane="bottomLeft" activeCell="E51" sqref="E51"/>
      <selection pane="bottomRight" activeCell="A46" sqref="A46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Inputs'!J106</f>
        <v>4.6907849163019238E-2</v>
      </c>
      <c r="J1" s="41">
        <f>+'Data Inputs'!K106</f>
        <v>4.6907849163019238E-2</v>
      </c>
      <c r="K1" s="41">
        <f>+'Data Inputs'!L106</f>
        <v>4.6907849163019238E-2</v>
      </c>
      <c r="L1" s="41">
        <f>+'Data Inputs'!M106</f>
        <v>4.6907849163019238E-2</v>
      </c>
      <c r="M1" s="41">
        <f>+'Data Inputs'!N106</f>
        <v>4.6907849163019238E-2</v>
      </c>
      <c r="N1" s="41">
        <f>+'Data Inputs'!O106</f>
        <v>4.6907849163019238E-2</v>
      </c>
      <c r="O1" s="41">
        <f>+'Data Inputs'!P106</f>
        <v>4.6907849163019238E-2</v>
      </c>
      <c r="P1" s="41">
        <f>+'Data Inputs'!Q106</f>
        <v>4.6907849163019238E-2</v>
      </c>
      <c r="Q1" s="41">
        <f>+'Data Inputs'!R106</f>
        <v>4.6907849163019238E-2</v>
      </c>
      <c r="R1" s="41">
        <f>+'Data Inputs'!S106</f>
        <v>4.6907849163019238E-2</v>
      </c>
      <c r="S1" s="41">
        <f>+'Data Inputs'!T106</f>
        <v>4.6907849163019238E-2</v>
      </c>
      <c r="T1" s="41">
        <f>+'Data Inputs'!U106</f>
        <v>4.6907849163019238E-2</v>
      </c>
      <c r="U1" s="41">
        <f>+'Data Inputs'!V106</f>
        <v>4.6907849163019238E-2</v>
      </c>
      <c r="V1" s="41">
        <f>+'Data Inputs'!W106</f>
        <v>4.6907849163019238E-2</v>
      </c>
      <c r="W1" s="41">
        <f>+'Data Inputs'!X106</f>
        <v>4.6907849163019238E-2</v>
      </c>
      <c r="X1" s="41">
        <f>W1</f>
        <v>4.6907849163019238E-2</v>
      </c>
      <c r="Y1" s="41">
        <f t="shared" ref="Y1:AB1" si="0">X1</f>
        <v>4.6907849163019238E-2</v>
      </c>
      <c r="Z1" s="41">
        <f t="shared" si="0"/>
        <v>4.6907849163019238E-2</v>
      </c>
      <c r="AA1" s="41">
        <f t="shared" si="0"/>
        <v>4.6907849163019238E-2</v>
      </c>
      <c r="AB1" s="41">
        <f t="shared" si="0"/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1">ROUND(1/((1+E1)^E5),5)</f>
        <v>0.91239999999999999</v>
      </c>
      <c r="F2" s="41">
        <f t="shared" si="1"/>
        <v>0.87151000000000001</v>
      </c>
      <c r="G2" s="41">
        <f t="shared" si="1"/>
        <v>0.83247000000000004</v>
      </c>
      <c r="H2" s="41">
        <f t="shared" si="1"/>
        <v>0.79517000000000004</v>
      </c>
      <c r="I2" s="41">
        <f t="shared" si="1"/>
        <v>0.75953999999999999</v>
      </c>
      <c r="J2" s="41">
        <f t="shared" si="1"/>
        <v>0.72550999999999999</v>
      </c>
      <c r="K2" s="41">
        <f t="shared" si="1"/>
        <v>0.69299999999999995</v>
      </c>
      <c r="L2" s="41">
        <f t="shared" si="1"/>
        <v>0.66195000000000004</v>
      </c>
      <c r="M2" s="41">
        <f t="shared" si="1"/>
        <v>0.63229000000000002</v>
      </c>
      <c r="N2" s="41">
        <f t="shared" si="1"/>
        <v>0.60396000000000005</v>
      </c>
      <c r="O2" s="41">
        <f t="shared" si="1"/>
        <v>0.57689999999999997</v>
      </c>
      <c r="P2" s="41">
        <f t="shared" si="1"/>
        <v>0.55105000000000004</v>
      </c>
      <c r="Q2" s="41">
        <f t="shared" si="1"/>
        <v>0.52636000000000005</v>
      </c>
      <c r="R2" s="41">
        <f t="shared" si="1"/>
        <v>0.50277000000000005</v>
      </c>
      <c r="S2" s="41">
        <f t="shared" si="1"/>
        <v>0.48025000000000001</v>
      </c>
      <c r="T2" s="41">
        <f t="shared" si="1"/>
        <v>0.45873000000000003</v>
      </c>
      <c r="U2" s="41">
        <f t="shared" si="1"/>
        <v>0.43818000000000001</v>
      </c>
      <c r="V2" s="41">
        <f t="shared" si="1"/>
        <v>0.41854000000000002</v>
      </c>
      <c r="W2" s="41">
        <f t="shared" si="1"/>
        <v>0.39978999999999998</v>
      </c>
      <c r="X2" s="41">
        <f t="shared" si="1"/>
        <v>0.38188</v>
      </c>
      <c r="Y2" s="41">
        <f t="shared" si="1"/>
        <v>0.36476999999999998</v>
      </c>
      <c r="Z2" s="41">
        <f t="shared" si="1"/>
        <v>0.34842000000000001</v>
      </c>
      <c r="AA2" s="41">
        <f t="shared" si="1"/>
        <v>0.33280999999999999</v>
      </c>
      <c r="AB2" s="41">
        <f t="shared" si="1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2">ROUND((1+E1)^-(E5-0.5),5)</f>
        <v>0.93354999999999999</v>
      </c>
      <c r="F3" s="60">
        <f t="shared" si="2"/>
        <v>0.89171999999999996</v>
      </c>
      <c r="G3" s="60">
        <f t="shared" si="2"/>
        <v>0.85177000000000003</v>
      </c>
      <c r="H3" s="60">
        <f t="shared" si="2"/>
        <v>0.81359999999999999</v>
      </c>
      <c r="I3" s="60">
        <f t="shared" si="2"/>
        <v>0.77715000000000001</v>
      </c>
      <c r="J3" s="60">
        <f t="shared" si="2"/>
        <v>0.74233000000000005</v>
      </c>
      <c r="K3" s="60">
        <f t="shared" si="2"/>
        <v>0.70906999999999998</v>
      </c>
      <c r="L3" s="60">
        <f t="shared" si="2"/>
        <v>0.67730000000000001</v>
      </c>
      <c r="M3" s="60">
        <f t="shared" si="2"/>
        <v>0.64695000000000003</v>
      </c>
      <c r="N3" s="60">
        <f t="shared" si="2"/>
        <v>0.61795999999999995</v>
      </c>
      <c r="O3" s="60">
        <f t="shared" si="2"/>
        <v>0.59026999999999996</v>
      </c>
      <c r="P3" s="60">
        <f t="shared" si="2"/>
        <v>0.56381999999999999</v>
      </c>
      <c r="Q3" s="60">
        <f t="shared" si="2"/>
        <v>0.53856000000000004</v>
      </c>
      <c r="R3" s="60">
        <f t="shared" si="2"/>
        <v>0.51443000000000005</v>
      </c>
      <c r="S3" s="60">
        <f t="shared" si="2"/>
        <v>0.49137999999999998</v>
      </c>
      <c r="T3" s="60">
        <f t="shared" si="2"/>
        <v>0.46936</v>
      </c>
      <c r="U3" s="60">
        <f t="shared" si="2"/>
        <v>0.44833000000000001</v>
      </c>
      <c r="V3" s="60">
        <f t="shared" si="2"/>
        <v>0.42825000000000002</v>
      </c>
      <c r="W3" s="60">
        <f t="shared" si="2"/>
        <v>0.40905999999999998</v>
      </c>
      <c r="X3" s="60">
        <f t="shared" si="2"/>
        <v>0.39073000000000002</v>
      </c>
      <c r="Y3" s="60">
        <f t="shared" si="2"/>
        <v>0.37322</v>
      </c>
      <c r="Z3" s="60">
        <f t="shared" si="2"/>
        <v>0.35649999999999998</v>
      </c>
      <c r="AA3" s="60">
        <f t="shared" si="2"/>
        <v>0.34053</v>
      </c>
      <c r="AB3" s="60">
        <f t="shared" si="2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285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7000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7000</v>
      </c>
      <c r="O8" s="24">
        <f>N8+'Data Inputs'!O7/2+'Data Inputs'!P7/2</f>
        <v>7000</v>
      </c>
      <c r="P8" s="24">
        <f>O8+'Data Inputs'!P7/2+'Data Inputs'!Q7/2</f>
        <v>7000</v>
      </c>
      <c r="Q8" s="24">
        <f>P8+'Data Inputs'!Q7/2+'Data Inputs'!R7/2</f>
        <v>7000</v>
      </c>
      <c r="R8" s="24">
        <f>Q8+'Data Inputs'!R7/2+'Data Inputs'!S7/2</f>
        <v>7000</v>
      </c>
      <c r="S8" s="24">
        <f>R8+'Data Inputs'!S7/2+'Data Inputs'!T7/2</f>
        <v>7000</v>
      </c>
      <c r="T8" s="24">
        <f>S8+'Data Inputs'!T7/2+'Data Inputs'!U7/2</f>
        <v>7000</v>
      </c>
      <c r="U8" s="24">
        <f>T8+'Data Inputs'!U7/2+'Data Inputs'!V7/2</f>
        <v>7000</v>
      </c>
      <c r="V8" s="24">
        <f>U8+'Data Inputs'!V7/2+'Data Inputs'!W7/2</f>
        <v>7000</v>
      </c>
      <c r="W8" s="24">
        <f>V8+'Data Inputs'!W7/2+'Data Inputs'!X7/2</f>
        <v>7000</v>
      </c>
      <c r="X8" s="24">
        <f>W8+'Data Inputs'!X7/2+'Data Inputs'!Y7/2</f>
        <v>7000</v>
      </c>
      <c r="Y8" s="24">
        <f>X8+'Data Inputs'!Y7/2+'Data Inputs'!Z7/2</f>
        <v>7000</v>
      </c>
      <c r="Z8" s="24">
        <f>Y8+'Data Inputs'!Z7/2+'Data Inputs'!AA7/2</f>
        <v>7000</v>
      </c>
      <c r="AA8" s="24">
        <f>Z8+'Data Inputs'!AA7/2+'Data Inputs'!AB7/2</f>
        <v>7000</v>
      </c>
      <c r="AB8" s="24">
        <f>AA8+'Data Inputs'!AB7/2+'Data Inputs'!AC7/2</f>
        <v>7000</v>
      </c>
    </row>
    <row r="9" spans="1:29" s="3" customFormat="1" x14ac:dyDescent="0.2">
      <c r="A9" s="4"/>
      <c r="B9" s="5" t="s">
        <v>77</v>
      </c>
      <c r="C9" s="24">
        <f t="shared" ref="C9:C16" si="3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3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3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3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3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3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3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3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28" s="3" customFormat="1" x14ac:dyDescent="0.2">
      <c r="A17" s="4"/>
      <c r="B17" s="6" t="s">
        <v>286</v>
      </c>
      <c r="C17" s="57">
        <f>SUM(C8:C16)</f>
        <v>7000</v>
      </c>
      <c r="D17" s="57">
        <f t="shared" ref="D17:AB17" si="4">SUM(D8:D16)</f>
        <v>350</v>
      </c>
      <c r="E17" s="57">
        <f t="shared" si="4"/>
        <v>1050</v>
      </c>
      <c r="F17" s="57">
        <f t="shared" si="4"/>
        <v>1750</v>
      </c>
      <c r="G17" s="57">
        <f t="shared" si="4"/>
        <v>2450</v>
      </c>
      <c r="H17" s="57">
        <f t="shared" si="4"/>
        <v>3150</v>
      </c>
      <c r="I17" s="57">
        <f t="shared" si="4"/>
        <v>3850</v>
      </c>
      <c r="J17" s="57">
        <f t="shared" si="4"/>
        <v>4550</v>
      </c>
      <c r="K17" s="57">
        <f t="shared" si="4"/>
        <v>5250</v>
      </c>
      <c r="L17" s="57">
        <f t="shared" si="4"/>
        <v>5950</v>
      </c>
      <c r="M17" s="57">
        <f t="shared" si="4"/>
        <v>6650</v>
      </c>
      <c r="N17" s="57">
        <f t="shared" si="4"/>
        <v>7000</v>
      </c>
      <c r="O17" s="57">
        <f t="shared" si="4"/>
        <v>7000</v>
      </c>
      <c r="P17" s="57">
        <f t="shared" si="4"/>
        <v>7000</v>
      </c>
      <c r="Q17" s="57">
        <f t="shared" si="4"/>
        <v>7000</v>
      </c>
      <c r="R17" s="57">
        <f t="shared" si="4"/>
        <v>7000</v>
      </c>
      <c r="S17" s="57">
        <f t="shared" si="4"/>
        <v>7000</v>
      </c>
      <c r="T17" s="57">
        <f t="shared" si="4"/>
        <v>7000</v>
      </c>
      <c r="U17" s="57">
        <f t="shared" si="4"/>
        <v>7000</v>
      </c>
      <c r="V17" s="57">
        <f t="shared" si="4"/>
        <v>7000</v>
      </c>
      <c r="W17" s="57">
        <f t="shared" si="4"/>
        <v>7000</v>
      </c>
      <c r="X17" s="57">
        <f t="shared" si="4"/>
        <v>7000</v>
      </c>
      <c r="Y17" s="57">
        <f t="shared" si="4"/>
        <v>7000</v>
      </c>
      <c r="Z17" s="57">
        <f t="shared" si="4"/>
        <v>7000</v>
      </c>
      <c r="AA17" s="57">
        <f t="shared" si="4"/>
        <v>7000</v>
      </c>
      <c r="AB17" s="57">
        <f t="shared" si="4"/>
        <v>7000</v>
      </c>
    </row>
    <row r="18" spans="1:28" x14ac:dyDescent="0.2">
      <c r="A18" s="4" t="s">
        <v>12</v>
      </c>
    </row>
    <row r="19" spans="1:28" x14ac:dyDescent="0.2">
      <c r="B19" s="5" t="s">
        <v>6</v>
      </c>
      <c r="C19" s="24">
        <f t="shared" ref="C19:C27" si="5">SUM(D19:AB19)</f>
        <v>56128800</v>
      </c>
      <c r="D19" s="24">
        <f>D8*'Data Inputs'!E31*12</f>
        <v>140321.99999999997</v>
      </c>
      <c r="E19" s="24">
        <f>E8*'Data Inputs'!F31*12</f>
        <v>420966</v>
      </c>
      <c r="F19" s="24">
        <f>F8*'Data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2806439.9999999995</v>
      </c>
      <c r="O19" s="24">
        <f>O8*'Data Inputs'!P31*12</f>
        <v>2806439.9999999995</v>
      </c>
      <c r="P19" s="24">
        <f>P8*'Data Inputs'!Q31*12</f>
        <v>2806439.9999999995</v>
      </c>
      <c r="Q19" s="24">
        <f>Q8*'Data Inputs'!R31*12</f>
        <v>2806439.9999999995</v>
      </c>
      <c r="R19" s="24">
        <f>R8*'Data Inputs'!S31*12</f>
        <v>2806439.9999999995</v>
      </c>
      <c r="S19" s="24">
        <f>S8*'Data Inputs'!T31*12</f>
        <v>2806439.9999999995</v>
      </c>
      <c r="T19" s="24">
        <f>T8*'Data Inputs'!U31*12</f>
        <v>2806439.9999999995</v>
      </c>
      <c r="U19" s="24">
        <f>U8*'Data Inputs'!V31*12</f>
        <v>2806439.9999999995</v>
      </c>
      <c r="V19" s="24">
        <f>V8*'Data Inputs'!W31*12</f>
        <v>2806439.9999999995</v>
      </c>
      <c r="W19" s="24">
        <f>W8*'Data Inputs'!$X$31*12</f>
        <v>2806439.9999999995</v>
      </c>
      <c r="X19" s="24">
        <f>X8*'Data Inputs'!$X$31*12</f>
        <v>2806439.9999999995</v>
      </c>
      <c r="Y19" s="24">
        <f>Y8*'Data Inputs'!$X$31*12</f>
        <v>2806439.9999999995</v>
      </c>
      <c r="Z19" s="24">
        <f>Z8*'Data Inputs'!$X$31*12</f>
        <v>2806439.9999999995</v>
      </c>
      <c r="AA19" s="24">
        <f>AA8*'Data Inputs'!$X$31*12</f>
        <v>2806439.9999999995</v>
      </c>
      <c r="AB19" s="24">
        <f>AB8*'Data Inputs'!$X$31*12</f>
        <v>2806439.9999999995</v>
      </c>
    </row>
    <row r="20" spans="1:28" x14ac:dyDescent="0.2">
      <c r="B20" s="5" t="s">
        <v>77</v>
      </c>
      <c r="C20" s="24">
        <f t="shared" si="5"/>
        <v>0</v>
      </c>
      <c r="D20" s="24">
        <f>D9*'Data Inputs'!E32*12</f>
        <v>0</v>
      </c>
      <c r="E20" s="24">
        <f>E9*'Data Inputs'!F32*12</f>
        <v>0</v>
      </c>
      <c r="F20" s="24">
        <f>F9*'Data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</row>
    <row r="21" spans="1:28" x14ac:dyDescent="0.2">
      <c r="B21" s="5" t="s">
        <v>173</v>
      </c>
      <c r="C21" s="24">
        <f t="shared" si="5"/>
        <v>0</v>
      </c>
      <c r="D21" s="24">
        <f>D10*'Data Inputs'!E33*12</f>
        <v>0</v>
      </c>
      <c r="E21" s="24">
        <f>E10*'Data Inputs'!F33*12</f>
        <v>0</v>
      </c>
      <c r="F21" s="24">
        <f>F10*'Data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</row>
    <row r="22" spans="1:28" x14ac:dyDescent="0.2">
      <c r="B22" s="5" t="s">
        <v>174</v>
      </c>
      <c r="C22" s="24">
        <f t="shared" si="5"/>
        <v>0</v>
      </c>
      <c r="D22" s="24">
        <f>D11*'Data Inputs'!E34*12</f>
        <v>0</v>
      </c>
      <c r="E22" s="24">
        <f>E11*'Data Inputs'!F34*12</f>
        <v>0</v>
      </c>
      <c r="F22" s="24">
        <f>F11*'Data Inputs'!G34*12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</row>
    <row r="23" spans="1:28" x14ac:dyDescent="0.2">
      <c r="B23" s="5" t="s">
        <v>7</v>
      </c>
      <c r="C23" s="24">
        <f t="shared" si="5"/>
        <v>0</v>
      </c>
      <c r="D23" s="24">
        <f>D12*'Data Inputs'!E35*12</f>
        <v>0</v>
      </c>
      <c r="E23" s="24">
        <f>E12*'Data Inputs'!F35*12</f>
        <v>0</v>
      </c>
      <c r="F23" s="24">
        <f>F12*'Data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</row>
    <row r="24" spans="1:28" x14ac:dyDescent="0.2">
      <c r="B24" s="5" t="s">
        <v>82</v>
      </c>
      <c r="C24" s="24">
        <f t="shared" si="5"/>
        <v>0</v>
      </c>
      <c r="D24" s="24">
        <f>D13*'Data Inputs'!E36*12</f>
        <v>0</v>
      </c>
      <c r="E24" s="24">
        <f>E13*'Data Inputs'!F36*12</f>
        <v>0</v>
      </c>
      <c r="F24" s="24">
        <f>F13*'Data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</row>
    <row r="25" spans="1:28" x14ac:dyDescent="0.2">
      <c r="B25" s="5" t="s">
        <v>82</v>
      </c>
      <c r="C25" s="24">
        <f t="shared" si="5"/>
        <v>0</v>
      </c>
      <c r="D25" s="24">
        <f>D14*'Data Inputs'!E37*12</f>
        <v>0</v>
      </c>
      <c r="E25" s="24">
        <f>E14*'Data Inputs'!F37*12</f>
        <v>0</v>
      </c>
      <c r="F25" s="24">
        <f>F14*'Data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</row>
    <row r="26" spans="1:28" x14ac:dyDescent="0.2">
      <c r="B26" s="5" t="s">
        <v>83</v>
      </c>
      <c r="C26" s="24">
        <f t="shared" si="5"/>
        <v>0</v>
      </c>
      <c r="D26" s="24">
        <f>D15*'Data Inputs'!E38*12</f>
        <v>0</v>
      </c>
      <c r="E26" s="24">
        <f>E15*'Data Inputs'!F38*12</f>
        <v>0</v>
      </c>
      <c r="F26" s="24">
        <f>F15*'Data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</row>
    <row r="27" spans="1:28" x14ac:dyDescent="0.2">
      <c r="B27" s="5" t="s">
        <v>83</v>
      </c>
      <c r="C27" s="24">
        <f t="shared" si="5"/>
        <v>0</v>
      </c>
      <c r="D27" s="24">
        <f>D16*'Data Inputs'!E39*12</f>
        <v>0</v>
      </c>
      <c r="E27" s="24">
        <f>E16*'Data Inputs'!F39*12</f>
        <v>0</v>
      </c>
      <c r="F27" s="24">
        <f>F16*'Data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</row>
    <row r="28" spans="1:28" x14ac:dyDescent="0.2">
      <c r="B28" s="6" t="s">
        <v>15</v>
      </c>
      <c r="C28" s="57">
        <f>SUM(C19:C27)</f>
        <v>56128800</v>
      </c>
      <c r="D28" s="57">
        <f t="shared" ref="D28:AB28" si="6">SUM(D19:D27)</f>
        <v>140321.99999999997</v>
      </c>
      <c r="E28" s="57">
        <f t="shared" si="6"/>
        <v>420966</v>
      </c>
      <c r="F28" s="57">
        <f t="shared" si="6"/>
        <v>701609.99999999988</v>
      </c>
      <c r="G28" s="57">
        <f t="shared" si="6"/>
        <v>982253.99999999977</v>
      </c>
      <c r="H28" s="57">
        <f t="shared" si="6"/>
        <v>1262897.9999999998</v>
      </c>
      <c r="I28" s="57">
        <f t="shared" si="6"/>
        <v>1543541.9999999998</v>
      </c>
      <c r="J28" s="57">
        <f t="shared" si="6"/>
        <v>1824185.9999999995</v>
      </c>
      <c r="K28" s="57">
        <f t="shared" si="6"/>
        <v>2104829.9999999995</v>
      </c>
      <c r="L28" s="57">
        <f t="shared" si="6"/>
        <v>2385473.9999999995</v>
      </c>
      <c r="M28" s="57">
        <f t="shared" si="6"/>
        <v>2666117.9999999995</v>
      </c>
      <c r="N28" s="57">
        <f t="shared" si="6"/>
        <v>2806439.9999999995</v>
      </c>
      <c r="O28" s="57">
        <f t="shared" si="6"/>
        <v>2806439.9999999995</v>
      </c>
      <c r="P28" s="57">
        <f t="shared" si="6"/>
        <v>2806439.9999999995</v>
      </c>
      <c r="Q28" s="57">
        <f t="shared" si="6"/>
        <v>2806439.9999999995</v>
      </c>
      <c r="R28" s="57">
        <f t="shared" si="6"/>
        <v>2806439.9999999995</v>
      </c>
      <c r="S28" s="57">
        <f t="shared" si="6"/>
        <v>2806439.9999999995</v>
      </c>
      <c r="T28" s="57">
        <f t="shared" si="6"/>
        <v>2806439.9999999995</v>
      </c>
      <c r="U28" s="57">
        <f t="shared" si="6"/>
        <v>2806439.9999999995</v>
      </c>
      <c r="V28" s="57">
        <f t="shared" si="6"/>
        <v>2806439.9999999995</v>
      </c>
      <c r="W28" s="57">
        <f t="shared" si="6"/>
        <v>2806439.9999999995</v>
      </c>
      <c r="X28" s="57">
        <f t="shared" si="6"/>
        <v>2806439.9999999995</v>
      </c>
      <c r="Y28" s="57">
        <f t="shared" si="6"/>
        <v>2806439.9999999995</v>
      </c>
      <c r="Z28" s="57">
        <f t="shared" si="6"/>
        <v>2806439.9999999995</v>
      </c>
      <c r="AA28" s="57">
        <f t="shared" si="6"/>
        <v>2806439.9999999995</v>
      </c>
      <c r="AB28" s="57">
        <f t="shared" si="6"/>
        <v>2806439.9999999995</v>
      </c>
    </row>
    <row r="29" spans="1:28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x14ac:dyDescent="0.2">
      <c r="B30" s="5" t="s">
        <v>6</v>
      </c>
      <c r="C30" s="24">
        <f t="shared" ref="C30:C38" si="7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28" x14ac:dyDescent="0.2">
      <c r="B31" s="5" t="s">
        <v>77</v>
      </c>
      <c r="C31" s="24">
        <f t="shared" si="7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28" x14ac:dyDescent="0.2">
      <c r="B32" s="5" t="s">
        <v>173</v>
      </c>
      <c r="C32" s="24">
        <f t="shared" si="7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7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7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7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7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7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7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8">SUM(E30:E38)</f>
        <v>0</v>
      </c>
      <c r="F39" s="57">
        <f t="shared" si="8"/>
        <v>0</v>
      </c>
      <c r="G39" s="57">
        <f t="shared" si="8"/>
        <v>0</v>
      </c>
      <c r="H39" s="57">
        <f t="shared" si="8"/>
        <v>0</v>
      </c>
      <c r="I39" s="57">
        <f t="shared" si="8"/>
        <v>0</v>
      </c>
      <c r="J39" s="57">
        <f t="shared" si="8"/>
        <v>0</v>
      </c>
      <c r="K39" s="57">
        <f t="shared" si="8"/>
        <v>0</v>
      </c>
      <c r="L39" s="57">
        <f t="shared" si="8"/>
        <v>0</v>
      </c>
      <c r="M39" s="57">
        <f t="shared" si="8"/>
        <v>0</v>
      </c>
      <c r="N39" s="57">
        <f t="shared" si="8"/>
        <v>0</v>
      </c>
      <c r="O39" s="57">
        <f t="shared" si="8"/>
        <v>0</v>
      </c>
      <c r="P39" s="57">
        <f t="shared" si="8"/>
        <v>0</v>
      </c>
      <c r="Q39" s="57">
        <f t="shared" si="8"/>
        <v>0</v>
      </c>
      <c r="R39" s="57">
        <f t="shared" si="8"/>
        <v>0</v>
      </c>
      <c r="S39" s="57">
        <f t="shared" si="8"/>
        <v>0</v>
      </c>
      <c r="T39" s="57">
        <f t="shared" si="8"/>
        <v>0</v>
      </c>
      <c r="U39" s="57">
        <f t="shared" si="8"/>
        <v>0</v>
      </c>
      <c r="V39" s="57">
        <f t="shared" si="8"/>
        <v>0</v>
      </c>
      <c r="W39" s="57">
        <f t="shared" si="8"/>
        <v>0</v>
      </c>
      <c r="X39" s="57">
        <f t="shared" si="8"/>
        <v>0</v>
      </c>
      <c r="Y39" s="57">
        <f t="shared" si="8"/>
        <v>0</v>
      </c>
      <c r="Z39" s="57">
        <f t="shared" si="8"/>
        <v>0</v>
      </c>
      <c r="AA39" s="57">
        <f t="shared" si="8"/>
        <v>0</v>
      </c>
      <c r="AB39" s="57">
        <f t="shared" si="8"/>
        <v>0</v>
      </c>
    </row>
    <row r="40" spans="1:28" ht="13.5" thickBot="1" x14ac:dyDescent="0.25">
      <c r="A40" s="4" t="s">
        <v>14</v>
      </c>
      <c r="C40" s="58">
        <f>+C28+C39</f>
        <v>56128800</v>
      </c>
      <c r="D40" s="58">
        <f t="shared" ref="D40:AB40" si="9">+D28+D39</f>
        <v>140321.99999999997</v>
      </c>
      <c r="E40" s="58">
        <f t="shared" si="9"/>
        <v>420966</v>
      </c>
      <c r="F40" s="58">
        <f t="shared" si="9"/>
        <v>701609.99999999988</v>
      </c>
      <c r="G40" s="58">
        <f t="shared" si="9"/>
        <v>982253.99999999977</v>
      </c>
      <c r="H40" s="58">
        <f t="shared" si="9"/>
        <v>1262897.9999999998</v>
      </c>
      <c r="I40" s="58">
        <f t="shared" si="9"/>
        <v>1543541.9999999998</v>
      </c>
      <c r="J40" s="58">
        <f t="shared" si="9"/>
        <v>1824185.9999999995</v>
      </c>
      <c r="K40" s="58">
        <f t="shared" si="9"/>
        <v>2104829.9999999995</v>
      </c>
      <c r="L40" s="58">
        <f t="shared" si="9"/>
        <v>2385473.9999999995</v>
      </c>
      <c r="M40" s="58">
        <f t="shared" si="9"/>
        <v>2666117.9999999995</v>
      </c>
      <c r="N40" s="58">
        <f t="shared" si="9"/>
        <v>2806439.9999999995</v>
      </c>
      <c r="O40" s="58">
        <f t="shared" si="9"/>
        <v>2806439.9999999995</v>
      </c>
      <c r="P40" s="58">
        <f t="shared" si="9"/>
        <v>2806439.9999999995</v>
      </c>
      <c r="Q40" s="58">
        <f t="shared" si="9"/>
        <v>2806439.9999999995</v>
      </c>
      <c r="R40" s="58">
        <f t="shared" si="9"/>
        <v>2806439.9999999995</v>
      </c>
      <c r="S40" s="58">
        <f t="shared" si="9"/>
        <v>2806439.9999999995</v>
      </c>
      <c r="T40" s="58">
        <f t="shared" si="9"/>
        <v>2806439.9999999995</v>
      </c>
      <c r="U40" s="58">
        <f t="shared" si="9"/>
        <v>2806439.9999999995</v>
      </c>
      <c r="V40" s="58">
        <f t="shared" si="9"/>
        <v>2806439.9999999995</v>
      </c>
      <c r="W40" s="58">
        <f t="shared" si="9"/>
        <v>2806439.9999999995</v>
      </c>
      <c r="X40" s="58">
        <f t="shared" si="9"/>
        <v>2806439.9999999995</v>
      </c>
      <c r="Y40" s="58">
        <f t="shared" si="9"/>
        <v>2806439.9999999995</v>
      </c>
      <c r="Z40" s="58">
        <f t="shared" si="9"/>
        <v>2806439.9999999995</v>
      </c>
      <c r="AA40" s="58">
        <f t="shared" si="9"/>
        <v>2806439.9999999995</v>
      </c>
      <c r="AB40" s="58">
        <f t="shared" si="9"/>
        <v>2806439.9999999995</v>
      </c>
    </row>
    <row r="41" spans="1:28" ht="13.5" thickTop="1" x14ac:dyDescent="0.2">
      <c r="A41"/>
      <c r="B41" s="160" t="s">
        <v>226</v>
      </c>
      <c r="C41" s="161">
        <f>SUM(D41:AB41)</f>
        <v>29652272.526239999</v>
      </c>
      <c r="D41" s="162">
        <f>+D40*D3</f>
        <v>137142.30347999997</v>
      </c>
      <c r="E41" s="162">
        <f t="shared" ref="E41:AB41" si="10">+E40*E3</f>
        <v>392992.80930000002</v>
      </c>
      <c r="F41" s="162">
        <f t="shared" si="10"/>
        <v>625639.66919999989</v>
      </c>
      <c r="G41" s="162">
        <f t="shared" si="10"/>
        <v>836654.48957999982</v>
      </c>
      <c r="H41" s="162">
        <f t="shared" si="10"/>
        <v>1027493.8127999998</v>
      </c>
      <c r="I41" s="162">
        <f t="shared" si="10"/>
        <v>1199563.6652999998</v>
      </c>
      <c r="J41" s="162">
        <f t="shared" si="10"/>
        <v>1354147.9933799997</v>
      </c>
      <c r="K41" s="162">
        <f t="shared" si="10"/>
        <v>1492471.8080999996</v>
      </c>
      <c r="L41" s="162">
        <f t="shared" si="10"/>
        <v>1615681.5401999997</v>
      </c>
      <c r="M41" s="162">
        <f t="shared" si="10"/>
        <v>1724845.0400999999</v>
      </c>
      <c r="N41" s="162">
        <f t="shared" si="10"/>
        <v>1734267.6623999996</v>
      </c>
      <c r="O41" s="162">
        <f t="shared" si="10"/>
        <v>1656557.3387999996</v>
      </c>
      <c r="P41" s="162">
        <f t="shared" si="10"/>
        <v>1582327.0007999998</v>
      </c>
      <c r="Q41" s="162">
        <f t="shared" si="10"/>
        <v>1511436.3263999999</v>
      </c>
      <c r="R41" s="162">
        <f t="shared" si="10"/>
        <v>1443716.9291999999</v>
      </c>
      <c r="S41" s="162">
        <f t="shared" si="10"/>
        <v>1379028.4871999996</v>
      </c>
      <c r="T41" s="162">
        <f t="shared" si="10"/>
        <v>1317230.6783999999</v>
      </c>
      <c r="U41" s="162">
        <f t="shared" si="10"/>
        <v>1258211.2451999998</v>
      </c>
      <c r="V41" s="162">
        <f t="shared" si="10"/>
        <v>1201857.93</v>
      </c>
      <c r="W41" s="162">
        <f t="shared" si="10"/>
        <v>1148002.3463999997</v>
      </c>
      <c r="X41" s="162">
        <f t="shared" si="10"/>
        <v>1096560.3011999999</v>
      </c>
      <c r="Y41" s="162">
        <f t="shared" si="10"/>
        <v>1047419.5367999998</v>
      </c>
      <c r="Z41" s="162">
        <f t="shared" si="10"/>
        <v>1000495.8599999998</v>
      </c>
      <c r="AA41" s="162">
        <f t="shared" si="10"/>
        <v>955677.01319999981</v>
      </c>
      <c r="AB41" s="162">
        <f t="shared" si="10"/>
        <v>912850.73879999982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1">SUM(D46:AB46)</f>
        <v>20765470.868014269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1038273.5434007135</v>
      </c>
      <c r="O46" s="24">
        <f>O8*'Data Inputs'!P90</f>
        <v>1038273.5434007135</v>
      </c>
      <c r="P46" s="24">
        <f>P8*'Data Inputs'!Q90</f>
        <v>1038273.5434007135</v>
      </c>
      <c r="Q46" s="24">
        <f>Q8*'Data Inputs'!R90</f>
        <v>1038273.5434007135</v>
      </c>
      <c r="R46" s="24">
        <f>R8*'Data Inputs'!S90</f>
        <v>1038273.5434007135</v>
      </c>
      <c r="S46" s="24">
        <f>S8*'Data Inputs'!T90</f>
        <v>1038273.5434007135</v>
      </c>
      <c r="T46" s="24">
        <f>T8*'Data Inputs'!U90</f>
        <v>1038273.5434007135</v>
      </c>
      <c r="U46" s="24">
        <f>U8*'Data Inputs'!V90</f>
        <v>1038273.5434007135</v>
      </c>
      <c r="V46" s="24">
        <f>V8*'Data Inputs'!W90</f>
        <v>1038273.5434007135</v>
      </c>
      <c r="W46" s="24">
        <f>W8*'Data Inputs'!$X$90</f>
        <v>1038273.5434007135</v>
      </c>
      <c r="X46" s="24">
        <f>X8*'Data Inputs'!$X$90</f>
        <v>1038273.5434007135</v>
      </c>
      <c r="Y46" s="24">
        <f>Y8*'Data Inputs'!$X$90</f>
        <v>1038273.5434007135</v>
      </c>
      <c r="Z46" s="24">
        <f>Z8*'Data Inputs'!$X$90</f>
        <v>1038273.5434007135</v>
      </c>
      <c r="AA46" s="24">
        <f>AA8*'Data Inputs'!$X$90</f>
        <v>1038273.5434007135</v>
      </c>
      <c r="AB46" s="24">
        <f>AB8*'Data Inputs'!$X$90</f>
        <v>1038273.5434007135</v>
      </c>
    </row>
    <row r="47" spans="1:28" x14ac:dyDescent="0.2">
      <c r="B47" s="5" t="s">
        <v>77</v>
      </c>
      <c r="C47" s="24">
        <f t="shared" si="11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1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1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1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1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1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1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1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20765470.868014269</v>
      </c>
      <c r="D55" s="58">
        <f>SUM(D46:D54)</f>
        <v>51913.677170035677</v>
      </c>
      <c r="E55" s="58">
        <f t="shared" ref="E55:AB55" si="12">SUM(E46:E54)</f>
        <v>155741.03151010702</v>
      </c>
      <c r="F55" s="58">
        <f t="shared" si="12"/>
        <v>259568.38585017837</v>
      </c>
      <c r="G55" s="58">
        <f t="shared" si="12"/>
        <v>363395.74019024975</v>
      </c>
      <c r="H55" s="58">
        <f t="shared" si="12"/>
        <v>467223.09453032108</v>
      </c>
      <c r="I55" s="58">
        <f t="shared" si="12"/>
        <v>571050.4488703924</v>
      </c>
      <c r="J55" s="58">
        <f t="shared" si="12"/>
        <v>674877.80321046384</v>
      </c>
      <c r="K55" s="58">
        <f t="shared" si="12"/>
        <v>778705.15755053516</v>
      </c>
      <c r="L55" s="58">
        <f t="shared" si="12"/>
        <v>882532.51189060649</v>
      </c>
      <c r="M55" s="58">
        <f t="shared" si="12"/>
        <v>986359.86623067781</v>
      </c>
      <c r="N55" s="58">
        <f t="shared" si="12"/>
        <v>1038273.5434007135</v>
      </c>
      <c r="O55" s="58">
        <f t="shared" si="12"/>
        <v>1038273.5434007135</v>
      </c>
      <c r="P55" s="58">
        <f t="shared" si="12"/>
        <v>1038273.5434007135</v>
      </c>
      <c r="Q55" s="58">
        <f t="shared" si="12"/>
        <v>1038273.5434007135</v>
      </c>
      <c r="R55" s="58">
        <f t="shared" si="12"/>
        <v>1038273.5434007135</v>
      </c>
      <c r="S55" s="58">
        <f t="shared" si="12"/>
        <v>1038273.5434007135</v>
      </c>
      <c r="T55" s="58">
        <f t="shared" si="12"/>
        <v>1038273.5434007135</v>
      </c>
      <c r="U55" s="58">
        <f t="shared" si="12"/>
        <v>1038273.5434007135</v>
      </c>
      <c r="V55" s="58">
        <f t="shared" si="12"/>
        <v>1038273.5434007135</v>
      </c>
      <c r="W55" s="58">
        <f t="shared" si="12"/>
        <v>1038273.5434007135</v>
      </c>
      <c r="X55" s="58">
        <f t="shared" si="12"/>
        <v>1038273.5434007135</v>
      </c>
      <c r="Y55" s="58">
        <f t="shared" si="12"/>
        <v>1038273.5434007135</v>
      </c>
      <c r="Z55" s="58">
        <f t="shared" si="12"/>
        <v>1038273.5434007135</v>
      </c>
      <c r="AA55" s="58">
        <f t="shared" si="12"/>
        <v>1038273.5434007135</v>
      </c>
      <c r="AB55" s="58">
        <f t="shared" si="12"/>
        <v>1038273.5434007135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75999999.99999997</v>
      </c>
      <c r="D62" s="59">
        <f>+'Data Inputs'!E63</f>
        <v>31400000</v>
      </c>
      <c r="E62" s="59">
        <f>+'Data Inputs'!F63</f>
        <v>4955555.555555556</v>
      </c>
      <c r="F62" s="59">
        <f>+'Data Inputs'!G63</f>
        <v>4955555.555555556</v>
      </c>
      <c r="G62" s="59">
        <f>+'Data Inputs'!H63</f>
        <v>4955555.555555556</v>
      </c>
      <c r="H62" s="59">
        <f>+'Data Inputs'!I63</f>
        <v>4955555.555555556</v>
      </c>
      <c r="I62" s="59">
        <f>+'Data Inputs'!J63</f>
        <v>4955555.555555556</v>
      </c>
      <c r="J62" s="59">
        <f>+'Data Inputs'!K63</f>
        <v>4955555.555555556</v>
      </c>
      <c r="K62" s="59">
        <f>+'Data Inputs'!L63</f>
        <v>4955555.555555556</v>
      </c>
      <c r="L62" s="59">
        <f>+'Data Inputs'!M63</f>
        <v>4955555.555555556</v>
      </c>
      <c r="M62" s="59">
        <f>+'Data Inputs'!N63</f>
        <v>4955555.555555556</v>
      </c>
      <c r="N62" s="59">
        <f>+'Data Inputs'!O63</f>
        <v>0</v>
      </c>
      <c r="O62" s="59">
        <f>+'Data Inputs'!P63</f>
        <v>0</v>
      </c>
      <c r="P62" s="59">
        <f>+'Data Inputs'!Q63</f>
        <v>0</v>
      </c>
      <c r="Q62" s="59">
        <f>+'Data Inputs'!R63</f>
        <v>0</v>
      </c>
      <c r="R62" s="59">
        <f>+'Data Inputs'!S63</f>
        <v>0</v>
      </c>
      <c r="S62" s="59">
        <f>+'Data Inputs'!T63</f>
        <v>0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3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3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3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3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3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3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3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3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3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4">SUM(C64:C72)</f>
        <v>0</v>
      </c>
      <c r="D73" s="57">
        <f t="shared" si="14"/>
        <v>0</v>
      </c>
      <c r="E73" s="57">
        <f t="shared" si="14"/>
        <v>0</v>
      </c>
      <c r="F73" s="57">
        <f t="shared" si="14"/>
        <v>0</v>
      </c>
      <c r="G73" s="57">
        <f t="shared" si="14"/>
        <v>0</v>
      </c>
      <c r="H73" s="57">
        <f t="shared" si="14"/>
        <v>0</v>
      </c>
      <c r="I73" s="57">
        <f t="shared" ref="I73:W73" si="15">SUM(I64:I72)</f>
        <v>0</v>
      </c>
      <c r="J73" s="57">
        <f t="shared" si="15"/>
        <v>0</v>
      </c>
      <c r="K73" s="57">
        <f t="shared" si="15"/>
        <v>0</v>
      </c>
      <c r="L73" s="57">
        <f t="shared" si="15"/>
        <v>0</v>
      </c>
      <c r="M73" s="57">
        <f t="shared" si="15"/>
        <v>0</v>
      </c>
      <c r="N73" s="57">
        <f t="shared" si="15"/>
        <v>0</v>
      </c>
      <c r="O73" s="57">
        <f t="shared" si="15"/>
        <v>0</v>
      </c>
      <c r="P73" s="57">
        <f t="shared" si="15"/>
        <v>0</v>
      </c>
      <c r="Q73" s="57">
        <f t="shared" si="15"/>
        <v>0</v>
      </c>
      <c r="R73" s="57">
        <f t="shared" si="15"/>
        <v>0</v>
      </c>
      <c r="S73" s="57">
        <f t="shared" si="15"/>
        <v>0</v>
      </c>
      <c r="T73" s="57">
        <f t="shared" si="15"/>
        <v>0</v>
      </c>
      <c r="U73" s="57">
        <f t="shared" si="15"/>
        <v>0</v>
      </c>
      <c r="V73" s="57">
        <f t="shared" si="15"/>
        <v>0</v>
      </c>
      <c r="W73" s="57">
        <f t="shared" si="15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5" si="16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6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6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6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6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6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6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6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6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W84" si="17">SUM(C75:C83)</f>
        <v>0</v>
      </c>
      <c r="D84" s="57">
        <f t="shared" si="17"/>
        <v>0</v>
      </c>
      <c r="E84" s="57">
        <f t="shared" si="17"/>
        <v>0</v>
      </c>
      <c r="F84" s="57">
        <f t="shared" si="17"/>
        <v>0</v>
      </c>
      <c r="G84" s="57">
        <f t="shared" si="17"/>
        <v>0</v>
      </c>
      <c r="H84" s="57">
        <f t="shared" si="17"/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 t="shared" si="16"/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67"/>
      <c r="Y85" s="67"/>
      <c r="Z85" s="67"/>
      <c r="AA85" s="67"/>
      <c r="AB85" s="67"/>
    </row>
    <row r="86" spans="1:28" x14ac:dyDescent="0.2">
      <c r="A86" s="4" t="s">
        <v>37</v>
      </c>
      <c r="C86" s="67">
        <f>+C62+C73+C84+C85</f>
        <v>75999999.99999997</v>
      </c>
      <c r="D86" s="67">
        <f t="shared" ref="D86:AB86" si="18">+D62+D73+D84+D85</f>
        <v>31400000</v>
      </c>
      <c r="E86" s="67">
        <f t="shared" si="18"/>
        <v>4955555.555555556</v>
      </c>
      <c r="F86" s="67">
        <f t="shared" si="18"/>
        <v>4955555.555555556</v>
      </c>
      <c r="G86" s="67">
        <f t="shared" si="18"/>
        <v>4955555.555555556</v>
      </c>
      <c r="H86" s="67">
        <f t="shared" si="18"/>
        <v>4955555.555555556</v>
      </c>
      <c r="I86" s="67">
        <f t="shared" si="18"/>
        <v>4955555.555555556</v>
      </c>
      <c r="J86" s="67">
        <f t="shared" si="18"/>
        <v>4955555.555555556</v>
      </c>
      <c r="K86" s="67">
        <f t="shared" si="18"/>
        <v>4955555.555555556</v>
      </c>
      <c r="L86" s="67">
        <f t="shared" si="18"/>
        <v>4955555.555555556</v>
      </c>
      <c r="M86" s="67">
        <f t="shared" si="18"/>
        <v>4955555.555555556</v>
      </c>
      <c r="N86" s="67">
        <f t="shared" si="18"/>
        <v>0</v>
      </c>
      <c r="O86" s="67">
        <f t="shared" si="18"/>
        <v>0</v>
      </c>
      <c r="P86" s="67">
        <f t="shared" si="18"/>
        <v>0</v>
      </c>
      <c r="Q86" s="67">
        <f t="shared" si="18"/>
        <v>0</v>
      </c>
      <c r="R86" s="67">
        <f t="shared" si="18"/>
        <v>0</v>
      </c>
      <c r="S86" s="67">
        <f t="shared" si="18"/>
        <v>0</v>
      </c>
      <c r="T86" s="67">
        <f t="shared" si="18"/>
        <v>0</v>
      </c>
      <c r="U86" s="67">
        <f t="shared" si="18"/>
        <v>0</v>
      </c>
      <c r="V86" s="67">
        <f t="shared" si="18"/>
        <v>0</v>
      </c>
      <c r="W86" s="67">
        <f t="shared" si="18"/>
        <v>0</v>
      </c>
      <c r="X86" s="67">
        <f t="shared" si="18"/>
        <v>0</v>
      </c>
      <c r="Y86" s="67">
        <f t="shared" si="18"/>
        <v>0</v>
      </c>
      <c r="Z86" s="67">
        <f t="shared" si="18"/>
        <v>0</v>
      </c>
      <c r="AA86" s="67">
        <f t="shared" si="18"/>
        <v>0</v>
      </c>
      <c r="AB86" s="67">
        <f t="shared" si="18"/>
        <v>0</v>
      </c>
    </row>
    <row r="87" spans="1:28" ht="13.5" thickBot="1" x14ac:dyDescent="0.25">
      <c r="A87" s="4" t="s">
        <v>85</v>
      </c>
      <c r="C87" s="58">
        <f>+C86-C85</f>
        <v>75999999.99999997</v>
      </c>
      <c r="D87" s="58">
        <f>+D86-D85</f>
        <v>31400000</v>
      </c>
      <c r="E87" s="58">
        <f t="shared" ref="E87:AB87" si="19">+E86-E85</f>
        <v>4955555.555555556</v>
      </c>
      <c r="F87" s="58">
        <f t="shared" si="19"/>
        <v>4955555.555555556</v>
      </c>
      <c r="G87" s="58">
        <f t="shared" si="19"/>
        <v>4955555.555555556</v>
      </c>
      <c r="H87" s="58">
        <f t="shared" si="19"/>
        <v>4955555.555555556</v>
      </c>
      <c r="I87" s="58">
        <f t="shared" si="19"/>
        <v>4955555.555555556</v>
      </c>
      <c r="J87" s="58">
        <f t="shared" si="19"/>
        <v>4955555.555555556</v>
      </c>
      <c r="K87" s="58">
        <f t="shared" si="19"/>
        <v>4955555.555555556</v>
      </c>
      <c r="L87" s="58">
        <f t="shared" si="19"/>
        <v>4955555.555555556</v>
      </c>
      <c r="M87" s="58">
        <f t="shared" si="19"/>
        <v>4955555.555555556</v>
      </c>
      <c r="N87" s="58">
        <f t="shared" si="19"/>
        <v>0</v>
      </c>
      <c r="O87" s="58">
        <f t="shared" si="19"/>
        <v>0</v>
      </c>
      <c r="P87" s="58">
        <f t="shared" si="19"/>
        <v>0</v>
      </c>
      <c r="Q87" s="58">
        <f t="shared" si="19"/>
        <v>0</v>
      </c>
      <c r="R87" s="58">
        <f t="shared" si="19"/>
        <v>0</v>
      </c>
      <c r="S87" s="58">
        <f t="shared" si="19"/>
        <v>0</v>
      </c>
      <c r="T87" s="58">
        <f t="shared" si="19"/>
        <v>0</v>
      </c>
      <c r="U87" s="58">
        <f t="shared" si="19"/>
        <v>0</v>
      </c>
      <c r="V87" s="58">
        <f t="shared" si="19"/>
        <v>0</v>
      </c>
      <c r="W87" s="58">
        <f t="shared" si="19"/>
        <v>0</v>
      </c>
      <c r="X87" s="58">
        <f t="shared" si="19"/>
        <v>0</v>
      </c>
      <c r="Y87" s="58">
        <f t="shared" si="19"/>
        <v>0</v>
      </c>
      <c r="Z87" s="58">
        <f t="shared" si="19"/>
        <v>0</v>
      </c>
      <c r="AA87" s="58">
        <f t="shared" si="19"/>
        <v>0</v>
      </c>
      <c r="AB87" s="58">
        <f t="shared" si="19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65592634.222222216</v>
      </c>
      <c r="D89" s="162">
        <f t="shared" ref="D89:AB89" si="20">+D86*D3</f>
        <v>30688476</v>
      </c>
      <c r="E89" s="162">
        <f t="shared" si="20"/>
        <v>4626258.888888889</v>
      </c>
      <c r="F89" s="162">
        <f t="shared" si="20"/>
        <v>4418968</v>
      </c>
      <c r="G89" s="162">
        <f t="shared" si="20"/>
        <v>4220993.555555556</v>
      </c>
      <c r="H89" s="162">
        <f t="shared" si="20"/>
        <v>4031840.0000000005</v>
      </c>
      <c r="I89" s="162">
        <f t="shared" si="20"/>
        <v>3851210.0000000005</v>
      </c>
      <c r="J89" s="162">
        <f t="shared" si="20"/>
        <v>3678657.555555556</v>
      </c>
      <c r="K89" s="162">
        <f t="shared" si="20"/>
        <v>3513835.777777778</v>
      </c>
      <c r="L89" s="162">
        <f t="shared" si="20"/>
        <v>3356397.777777778</v>
      </c>
      <c r="M89" s="162">
        <f t="shared" si="20"/>
        <v>3205996.666666667</v>
      </c>
      <c r="N89" s="162">
        <f t="shared" si="20"/>
        <v>0</v>
      </c>
      <c r="O89" s="162">
        <f t="shared" si="20"/>
        <v>0</v>
      </c>
      <c r="P89" s="162">
        <f t="shared" si="20"/>
        <v>0</v>
      </c>
      <c r="Q89" s="162">
        <f t="shared" si="20"/>
        <v>0</v>
      </c>
      <c r="R89" s="162">
        <f t="shared" si="20"/>
        <v>0</v>
      </c>
      <c r="S89" s="162">
        <f t="shared" si="20"/>
        <v>0</v>
      </c>
      <c r="T89" s="162">
        <f t="shared" si="20"/>
        <v>0</v>
      </c>
      <c r="U89" s="162">
        <f t="shared" si="20"/>
        <v>0</v>
      </c>
      <c r="V89" s="162">
        <f t="shared" si="20"/>
        <v>0</v>
      </c>
      <c r="W89" s="162">
        <f t="shared" si="20"/>
        <v>0</v>
      </c>
      <c r="X89" s="162">
        <f t="shared" si="20"/>
        <v>0</v>
      </c>
      <c r="Y89" s="162">
        <f t="shared" si="20"/>
        <v>0</v>
      </c>
      <c r="Z89" s="162">
        <f t="shared" si="20"/>
        <v>0</v>
      </c>
      <c r="AA89" s="162">
        <f t="shared" si="20"/>
        <v>0</v>
      </c>
      <c r="AB89" s="162">
        <f t="shared" si="20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31400000</v>
      </c>
      <c r="E94" s="24">
        <f ca="1">+D97</f>
        <v>-17217142.093688093</v>
      </c>
      <c r="F94" s="24">
        <f t="shared" ref="F94:AB94" ca="1" si="21">+E97</f>
        <v>-11082437.392859712</v>
      </c>
      <c r="G94" s="24">
        <f t="shared" ca="1" si="21"/>
        <v>-5438509.0680976016</v>
      </c>
      <c r="H94" s="24">
        <f t="shared" ca="1" si="21"/>
        <v>-246095.00931645976</v>
      </c>
      <c r="I94" s="24">
        <f t="shared" ca="1" si="21"/>
        <v>4530925.9247621913</v>
      </c>
      <c r="J94" s="24">
        <f t="shared" ca="1" si="21"/>
        <v>9124007.4063367713</v>
      </c>
      <c r="K94" s="24">
        <f t="shared" ca="1" si="21"/>
        <v>13349642.369385386</v>
      </c>
      <c r="L94" s="24">
        <f t="shared" ca="1" si="21"/>
        <v>17237226.535390113</v>
      </c>
      <c r="M94" s="24">
        <f t="shared" ca="1" si="21"/>
        <v>20813803.968114458</v>
      </c>
      <c r="N94" s="24">
        <f t="shared" ca="1" si="21"/>
        <v>24104255.206220858</v>
      </c>
      <c r="O94" s="24">
        <f t="shared" ca="1" si="21"/>
        <v>22175914.789723188</v>
      </c>
      <c r="P94" s="24">
        <f t="shared" ca="1" si="21"/>
        <v>20401841.606545333</v>
      </c>
      <c r="Q94" s="24">
        <f t="shared" ca="1" si="21"/>
        <v>18769694.278021708</v>
      </c>
      <c r="R94" s="24">
        <f t="shared" ca="1" si="21"/>
        <v>17268118.735779971</v>
      </c>
      <c r="S94" s="24">
        <f t="shared" ca="1" si="21"/>
        <v>15886669.236917574</v>
      </c>
      <c r="T94" s="24">
        <f t="shared" ca="1" si="21"/>
        <v>14615735.697964167</v>
      </c>
      <c r="U94" s="24">
        <f t="shared" ca="1" si="21"/>
        <v>13446476.842127034</v>
      </c>
      <c r="V94" s="24">
        <f t="shared" ca="1" si="21"/>
        <v>12370758.694756871</v>
      </c>
      <c r="W94" s="24">
        <f t="shared" ca="1" si="21"/>
        <v>11381097.999176322</v>
      </c>
      <c r="X94" s="24">
        <f t="shared" ca="1" si="21"/>
        <v>10470610.159242216</v>
      </c>
      <c r="Y94" s="24">
        <f t="shared" ca="1" si="21"/>
        <v>9632961.3465028387</v>
      </c>
      <c r="Z94" s="24">
        <f t="shared" ca="1" si="21"/>
        <v>8862324.4387826119</v>
      </c>
      <c r="AA94" s="24">
        <f t="shared" ca="1" si="21"/>
        <v>8153338.4836800024</v>
      </c>
      <c r="AB94" s="24">
        <f t="shared" ca="1" si="21"/>
        <v>7501071.404985602</v>
      </c>
    </row>
    <row r="95" spans="1:28" x14ac:dyDescent="0.2">
      <c r="B95" s="5" t="s">
        <v>86</v>
      </c>
      <c r="C95" s="24"/>
      <c r="D95" s="24">
        <f ca="1">IF(C131&lt;0,+C131,0)</f>
        <v>-49334523.014258429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19764491.293154817</v>
      </c>
      <c r="D96" s="24">
        <f ca="1">(+D94+D95)*'Data Inputs'!E114*0.5</f>
        <v>-717380.92057033721</v>
      </c>
      <c r="E96" s="24">
        <f ca="1">(E87*'Data Inputs'!F114*0.5)+('Data Inputs'!F114*D97)</f>
        <v>-1179149.1452728251</v>
      </c>
      <c r="F96" s="24">
        <f ca="1">(F87*'Data Inputs'!G114*0.5)+('Data Inputs'!G114*E97)</f>
        <v>-688372.76920655475</v>
      </c>
      <c r="G96" s="24">
        <f ca="1">(G87*'Data Inputs'!H114*0.5)+('Data Inputs'!H114*F97)</f>
        <v>-236858.50322558591</v>
      </c>
      <c r="H96" s="24">
        <f ca="1">(H87*'Data Inputs'!$I114*0.5)+('Data Inputs'!$I114*G97)</f>
        <v>178534.62147690548</v>
      </c>
      <c r="I96" s="24">
        <f ca="1">'Data Inputs'!$I114*H97</f>
        <v>362474.07398097531</v>
      </c>
      <c r="J96" s="24">
        <f ca="1">'Data Inputs'!$I114*I97</f>
        <v>729920.59250694176</v>
      </c>
      <c r="K96" s="24">
        <f ca="1">'Data Inputs'!$I114*J97</f>
        <v>1067971.3895508309</v>
      </c>
      <c r="L96" s="24">
        <f ca="1">'Data Inputs'!$I114*K97</f>
        <v>1378978.1228312091</v>
      </c>
      <c r="M96" s="24">
        <f ca="1">'Data Inputs'!$I114*L97</f>
        <v>1665104.3174491567</v>
      </c>
      <c r="N96" s="24">
        <f ca="1">'Data Inputs'!$I114*M97</f>
        <v>1928340.4164976687</v>
      </c>
      <c r="O96" s="24">
        <f ca="1">'Data Inputs'!$I114*N97</f>
        <v>1774073.1831778551</v>
      </c>
      <c r="P96" s="24">
        <f ca="1">'Data Inputs'!$I114*O97</f>
        <v>1632147.3285236266</v>
      </c>
      <c r="Q96" s="24">
        <f ca="1">'Data Inputs'!$I114*P97</f>
        <v>1501575.5422417368</v>
      </c>
      <c r="R96" s="24">
        <f ca="1">'Data Inputs'!$I114*Q97</f>
        <v>1381449.4988623976</v>
      </c>
      <c r="S96" s="24">
        <f ca="1">'Data Inputs'!$I114*R97</f>
        <v>1270933.538953406</v>
      </c>
      <c r="T96" s="24">
        <f ca="1">'Data Inputs'!$I114*S97</f>
        <v>1169258.8558371335</v>
      </c>
      <c r="U96" s="24">
        <f ca="1">'Data Inputs'!$I114*T97</f>
        <v>1075718.1473701629</v>
      </c>
      <c r="V96" s="24">
        <f ca="1">'Data Inputs'!$I114*U97</f>
        <v>989660.69558054965</v>
      </c>
      <c r="W96" s="24">
        <f ca="1">'Data Inputs'!$I114*V97</f>
        <v>910487.83993410575</v>
      </c>
      <c r="X96" s="24">
        <f ca="1">'Data Inputs'!$I114*W97</f>
        <v>837648.81273937738</v>
      </c>
      <c r="Y96" s="24">
        <f ca="1">'Data Inputs'!$I114*X97</f>
        <v>770636.90772022714</v>
      </c>
      <c r="Z96" s="24">
        <f ca="1">'Data Inputs'!$I114*Y97</f>
        <v>708985.955102609</v>
      </c>
      <c r="AA96" s="24">
        <f ca="1">'Data Inputs'!$I114*Z97</f>
        <v>652267.07869440026</v>
      </c>
      <c r="AB96" s="24">
        <f ca="1">'Data Inputs'!$I114*AA97</f>
        <v>600085.71239884815</v>
      </c>
    </row>
    <row r="97" spans="1:28" x14ac:dyDescent="0.2">
      <c r="A97" s="5" t="s">
        <v>71</v>
      </c>
      <c r="C97" s="57"/>
      <c r="D97" s="57">
        <f ca="1">+D94+D95-D96</f>
        <v>-17217142.093688093</v>
      </c>
      <c r="E97" s="57">
        <f ca="1">+E87+E94+-E96</f>
        <v>-11082437.392859712</v>
      </c>
      <c r="F97" s="57">
        <f t="shared" ref="F97:AB97" ca="1" si="22">+F87+F94+-F96</f>
        <v>-5438509.0680976016</v>
      </c>
      <c r="G97" s="57">
        <f t="shared" ca="1" si="22"/>
        <v>-246095.00931645976</v>
      </c>
      <c r="H97" s="57">
        <f t="shared" ca="1" si="22"/>
        <v>4530925.9247621913</v>
      </c>
      <c r="I97" s="57">
        <f t="shared" ca="1" si="22"/>
        <v>9124007.4063367713</v>
      </c>
      <c r="J97" s="57">
        <f t="shared" ca="1" si="22"/>
        <v>13349642.369385386</v>
      </c>
      <c r="K97" s="57">
        <f t="shared" ca="1" si="22"/>
        <v>17237226.535390113</v>
      </c>
      <c r="L97" s="57">
        <f t="shared" ca="1" si="22"/>
        <v>20813803.968114458</v>
      </c>
      <c r="M97" s="57">
        <f t="shared" ca="1" si="22"/>
        <v>24104255.206220858</v>
      </c>
      <c r="N97" s="57">
        <f t="shared" ca="1" si="22"/>
        <v>22175914.789723188</v>
      </c>
      <c r="O97" s="57">
        <f t="shared" ca="1" si="22"/>
        <v>20401841.606545333</v>
      </c>
      <c r="P97" s="57">
        <f t="shared" ca="1" si="22"/>
        <v>18769694.278021708</v>
      </c>
      <c r="Q97" s="57">
        <f t="shared" ca="1" si="22"/>
        <v>17268118.735779971</v>
      </c>
      <c r="R97" s="57">
        <f t="shared" ca="1" si="22"/>
        <v>15886669.236917574</v>
      </c>
      <c r="S97" s="57">
        <f t="shared" ca="1" si="22"/>
        <v>14615735.697964167</v>
      </c>
      <c r="T97" s="57">
        <f t="shared" ca="1" si="22"/>
        <v>13446476.842127034</v>
      </c>
      <c r="U97" s="57">
        <f t="shared" ca="1" si="22"/>
        <v>12370758.694756871</v>
      </c>
      <c r="V97" s="57">
        <f t="shared" ca="1" si="22"/>
        <v>11381097.999176322</v>
      </c>
      <c r="W97" s="57">
        <f t="shared" ca="1" si="22"/>
        <v>10470610.159242216</v>
      </c>
      <c r="X97" s="57">
        <f t="shared" ca="1" si="22"/>
        <v>9632961.3465028387</v>
      </c>
      <c r="Y97" s="57">
        <f t="shared" ca="1" si="22"/>
        <v>8862324.4387826119</v>
      </c>
      <c r="Z97" s="57">
        <f t="shared" ca="1" si="22"/>
        <v>8153338.4836800024</v>
      </c>
      <c r="AA97" s="57">
        <f t="shared" ca="1" si="22"/>
        <v>7501071.404985602</v>
      </c>
      <c r="AB97" s="57">
        <f t="shared" ca="1" si="22"/>
        <v>6900985.6925867535</v>
      </c>
    </row>
    <row r="98" spans="1:28" x14ac:dyDescent="0.2">
      <c r="B98" s="5" t="s">
        <v>89</v>
      </c>
      <c r="C98" s="24"/>
      <c r="D98" s="24">
        <f ca="1">+D96*'Data Inputs'!$E$111</f>
        <v>-190105.94395113937</v>
      </c>
      <c r="E98" s="24">
        <f ca="1">+E96*'Data Inputs'!$F$111</f>
        <v>-312474.52349729865</v>
      </c>
      <c r="F98" s="24">
        <f ca="1">+F96*'Data Inputs'!$G$111</f>
        <v>-182418.78383973701</v>
      </c>
      <c r="G98" s="24">
        <f ca="1">+G96*'Data Inputs'!$H$111</f>
        <v>-62767.503354780267</v>
      </c>
      <c r="H98" s="24">
        <f ca="1">+H96*'Data Inputs'!$I$111</f>
        <v>47311.674691379951</v>
      </c>
      <c r="I98" s="24">
        <f ca="1">+I96*'Data Inputs'!$I$111</f>
        <v>96055.629604958463</v>
      </c>
      <c r="J98" s="24">
        <f ca="1">+J96*'Data Inputs'!$I$111</f>
        <v>193428.95701433957</v>
      </c>
      <c r="K98" s="24">
        <f ca="1">+K96*'Data Inputs'!$I$111</f>
        <v>283012.41823097022</v>
      </c>
      <c r="L98" s="24">
        <f ca="1">+L96*'Data Inputs'!$I$111</f>
        <v>365429.20255027042</v>
      </c>
      <c r="M98" s="24">
        <f ca="1">+M96*'Data Inputs'!$I$111</f>
        <v>441252.64412402653</v>
      </c>
      <c r="N98" s="24">
        <f ca="1">+N96*'Data Inputs'!$I$111</f>
        <v>511010.21037188225</v>
      </c>
      <c r="O98" s="24">
        <f ca="1">+O96*'Data Inputs'!$I$111</f>
        <v>470129.39354213164</v>
      </c>
      <c r="P98" s="24">
        <f ca="1">+P96*'Data Inputs'!$I$111</f>
        <v>432519.04205876106</v>
      </c>
      <c r="Q98" s="24">
        <f ca="1">+Q96*'Data Inputs'!$I$111</f>
        <v>397917.51869406027</v>
      </c>
      <c r="R98" s="24">
        <f ca="1">+R96*'Data Inputs'!$I$111</f>
        <v>366084.11719853542</v>
      </c>
      <c r="S98" s="24">
        <f ca="1">+S96*'Data Inputs'!$I$111</f>
        <v>336797.38782265264</v>
      </c>
      <c r="T98" s="24">
        <f ca="1">+T96*'Data Inputs'!$I$111</f>
        <v>309853.59679684037</v>
      </c>
      <c r="U98" s="24">
        <f ca="1">+U96*'Data Inputs'!$I$111</f>
        <v>285065.30905309319</v>
      </c>
      <c r="V98" s="24">
        <f ca="1">+V96*'Data Inputs'!$I$111</f>
        <v>262260.08432884567</v>
      </c>
      <c r="W98" s="24">
        <f ca="1">+W96*'Data Inputs'!$I$111</f>
        <v>241279.27758253802</v>
      </c>
      <c r="X98" s="24">
        <f ca="1">+X96*'Data Inputs'!$I$111</f>
        <v>221976.93537593502</v>
      </c>
      <c r="Y98" s="24">
        <f ca="1">+Y96*'Data Inputs'!$I$111</f>
        <v>204218.78054586021</v>
      </c>
      <c r="Z98" s="24">
        <f ca="1">+Z96*'Data Inputs'!$I$111</f>
        <v>187881.2781021914</v>
      </c>
      <c r="AA98" s="24">
        <f ca="1">+AA96*'Data Inputs'!$I$111</f>
        <v>172850.77585401607</v>
      </c>
      <c r="AB98" s="24">
        <f ca="1">+AB96*'Data Inputs'!$I$111</f>
        <v>159022.71378569477</v>
      </c>
    </row>
    <row r="99" spans="1:28" ht="13.5" thickBot="1" x14ac:dyDescent="0.25">
      <c r="A99" s="4" t="s">
        <v>30</v>
      </c>
      <c r="C99" s="68">
        <f ca="1">SUM(D99:AB99)</f>
        <v>2526777.9432276646</v>
      </c>
      <c r="D99" s="58">
        <f ca="1">+D$3*D98</f>
        <v>-185798.14326120654</v>
      </c>
      <c r="E99" s="58">
        <f t="shared" ref="E99:AB99" ca="1" si="23">+E$3*E98</f>
        <v>-291710.59141090314</v>
      </c>
      <c r="F99" s="58">
        <f t="shared" ca="1" si="23"/>
        <v>-162666.47792557027</v>
      </c>
      <c r="G99" s="58">
        <f t="shared" ca="1" si="23"/>
        <v>-53463.476332501188</v>
      </c>
      <c r="H99" s="58">
        <f t="shared" ca="1" si="23"/>
        <v>38492.778528906725</v>
      </c>
      <c r="I99" s="58">
        <f t="shared" ca="1" si="23"/>
        <v>74649.632547493471</v>
      </c>
      <c r="J99" s="58">
        <f t="shared" ca="1" si="23"/>
        <v>143588.11766045471</v>
      </c>
      <c r="K99" s="58">
        <f t="shared" ca="1" si="23"/>
        <v>200675.61539503405</v>
      </c>
      <c r="L99" s="58">
        <f t="shared" ca="1" si="23"/>
        <v>247505.19888729817</v>
      </c>
      <c r="M99" s="58">
        <f t="shared" ca="1" si="23"/>
        <v>285468.398116039</v>
      </c>
      <c r="N99" s="58">
        <f t="shared" ca="1" si="23"/>
        <v>315783.86960140831</v>
      </c>
      <c r="O99" s="58">
        <f t="shared" ca="1" si="23"/>
        <v>277503.277126114</v>
      </c>
      <c r="P99" s="58">
        <f t="shared" ca="1" si="23"/>
        <v>243862.88629357066</v>
      </c>
      <c r="Q99" s="58">
        <f t="shared" ca="1" si="23"/>
        <v>214302.45886787312</v>
      </c>
      <c r="R99" s="58">
        <f t="shared" ca="1" si="23"/>
        <v>188324.65241044259</v>
      </c>
      <c r="S99" s="58">
        <f t="shared" ca="1" si="23"/>
        <v>165495.50042829505</v>
      </c>
      <c r="T99" s="58">
        <f t="shared" ca="1" si="23"/>
        <v>145432.88419256499</v>
      </c>
      <c r="U99" s="58">
        <f t="shared" ca="1" si="23"/>
        <v>127803.33000777327</v>
      </c>
      <c r="V99" s="58">
        <f t="shared" ca="1" si="23"/>
        <v>112312.88111382816</v>
      </c>
      <c r="W99" s="58">
        <f t="shared" ca="1" si="23"/>
        <v>98697.701287913005</v>
      </c>
      <c r="X99" s="58">
        <f t="shared" ca="1" si="23"/>
        <v>86733.047959439093</v>
      </c>
      <c r="Y99" s="58">
        <f t="shared" ca="1" si="23"/>
        <v>76218.533275325943</v>
      </c>
      <c r="Z99" s="58">
        <f t="shared" ca="1" si="23"/>
        <v>66979.675643431226</v>
      </c>
      <c r="AA99" s="58">
        <f t="shared" ca="1" si="23"/>
        <v>58860.874701568093</v>
      </c>
      <c r="AB99" s="58">
        <f t="shared" ca="1" si="23"/>
        <v>51725.318113072935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56128800</v>
      </c>
      <c r="D104" s="24">
        <f t="shared" ref="D104:AB104" si="24">+D40</f>
        <v>140321.99999999997</v>
      </c>
      <c r="E104" s="24">
        <f t="shared" si="24"/>
        <v>420966</v>
      </c>
      <c r="F104" s="24">
        <f t="shared" si="24"/>
        <v>701609.99999999988</v>
      </c>
      <c r="G104" s="24">
        <f t="shared" si="24"/>
        <v>982253.99999999977</v>
      </c>
      <c r="H104" s="24">
        <f t="shared" si="24"/>
        <v>1262897.9999999998</v>
      </c>
      <c r="I104" s="24">
        <f t="shared" si="24"/>
        <v>1543541.9999999998</v>
      </c>
      <c r="J104" s="24">
        <f t="shared" si="24"/>
        <v>1824185.9999999995</v>
      </c>
      <c r="K104" s="24">
        <f t="shared" si="24"/>
        <v>2104829.9999999995</v>
      </c>
      <c r="L104" s="24">
        <f t="shared" si="24"/>
        <v>2385473.9999999995</v>
      </c>
      <c r="M104" s="24">
        <f t="shared" si="24"/>
        <v>2666117.9999999995</v>
      </c>
      <c r="N104" s="24">
        <f t="shared" si="24"/>
        <v>2806439.9999999995</v>
      </c>
      <c r="O104" s="24">
        <f t="shared" si="24"/>
        <v>2806439.9999999995</v>
      </c>
      <c r="P104" s="24">
        <f t="shared" si="24"/>
        <v>2806439.9999999995</v>
      </c>
      <c r="Q104" s="24">
        <f t="shared" si="24"/>
        <v>2806439.9999999995</v>
      </c>
      <c r="R104" s="24">
        <f t="shared" si="24"/>
        <v>2806439.9999999995</v>
      </c>
      <c r="S104" s="24">
        <f t="shared" si="24"/>
        <v>2806439.9999999995</v>
      </c>
      <c r="T104" s="24">
        <f t="shared" si="24"/>
        <v>2806439.9999999995</v>
      </c>
      <c r="U104" s="24">
        <f t="shared" si="24"/>
        <v>2806439.9999999995</v>
      </c>
      <c r="V104" s="24">
        <f t="shared" si="24"/>
        <v>2806439.9999999995</v>
      </c>
      <c r="W104" s="24">
        <f t="shared" si="24"/>
        <v>2806439.9999999995</v>
      </c>
      <c r="X104" s="24">
        <f t="shared" si="24"/>
        <v>2806439.9999999995</v>
      </c>
      <c r="Y104" s="24">
        <f t="shared" si="24"/>
        <v>2806439.9999999995</v>
      </c>
      <c r="Z104" s="24">
        <f t="shared" si="24"/>
        <v>2806439.9999999995</v>
      </c>
      <c r="AA104" s="24">
        <f t="shared" si="24"/>
        <v>2806439.9999999995</v>
      </c>
      <c r="AB104" s="24">
        <f t="shared" si="24"/>
        <v>2806439.9999999995</v>
      </c>
    </row>
    <row r="105" spans="1:28" s="25" customFormat="1" x14ac:dyDescent="0.2">
      <c r="A105" s="23"/>
      <c r="B105" s="24" t="s">
        <v>125</v>
      </c>
      <c r="C105" s="59">
        <f t="shared" ref="C105:AB105" si="25">-C55</f>
        <v>-20765470.868014269</v>
      </c>
      <c r="D105" s="59">
        <f t="shared" si="25"/>
        <v>-51913.677170035677</v>
      </c>
      <c r="E105" s="59">
        <f t="shared" si="25"/>
        <v>-155741.03151010702</v>
      </c>
      <c r="F105" s="59">
        <f t="shared" si="25"/>
        <v>-259568.38585017837</v>
      </c>
      <c r="G105" s="59">
        <f t="shared" si="25"/>
        <v>-363395.74019024975</v>
      </c>
      <c r="H105" s="59">
        <f t="shared" si="25"/>
        <v>-467223.09453032108</v>
      </c>
      <c r="I105" s="59">
        <f t="shared" si="25"/>
        <v>-571050.4488703924</v>
      </c>
      <c r="J105" s="59">
        <f t="shared" si="25"/>
        <v>-674877.80321046384</v>
      </c>
      <c r="K105" s="59">
        <f t="shared" si="25"/>
        <v>-778705.15755053516</v>
      </c>
      <c r="L105" s="59">
        <f t="shared" si="25"/>
        <v>-882532.51189060649</v>
      </c>
      <c r="M105" s="59">
        <f t="shared" si="25"/>
        <v>-986359.86623067781</v>
      </c>
      <c r="N105" s="59">
        <f t="shared" si="25"/>
        <v>-1038273.5434007135</v>
      </c>
      <c r="O105" s="59">
        <f t="shared" si="25"/>
        <v>-1038273.5434007135</v>
      </c>
      <c r="P105" s="59">
        <f t="shared" si="25"/>
        <v>-1038273.5434007135</v>
      </c>
      <c r="Q105" s="59">
        <f t="shared" si="25"/>
        <v>-1038273.5434007135</v>
      </c>
      <c r="R105" s="59">
        <f t="shared" si="25"/>
        <v>-1038273.5434007135</v>
      </c>
      <c r="S105" s="59">
        <f t="shared" si="25"/>
        <v>-1038273.5434007135</v>
      </c>
      <c r="T105" s="59">
        <f t="shared" si="25"/>
        <v>-1038273.5434007135</v>
      </c>
      <c r="U105" s="59">
        <f t="shared" si="25"/>
        <v>-1038273.5434007135</v>
      </c>
      <c r="V105" s="59">
        <f t="shared" si="25"/>
        <v>-1038273.5434007135</v>
      </c>
      <c r="W105" s="59">
        <f t="shared" si="25"/>
        <v>-1038273.5434007135</v>
      </c>
      <c r="X105" s="59">
        <f t="shared" si="25"/>
        <v>-1038273.5434007135</v>
      </c>
      <c r="Y105" s="59">
        <f t="shared" si="25"/>
        <v>-1038273.5434007135</v>
      </c>
      <c r="Z105" s="59">
        <f t="shared" si="25"/>
        <v>-1038273.5434007135</v>
      </c>
      <c r="AA105" s="59">
        <f t="shared" si="25"/>
        <v>-1038273.5434007135</v>
      </c>
      <c r="AB105" s="59">
        <f t="shared" si="25"/>
        <v>-1038273.5434007135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35363329.131985731</v>
      </c>
      <c r="D106" s="58">
        <f t="shared" ref="D106:AB106" si="26">SUM(D104:D105)</f>
        <v>88408.322829964294</v>
      </c>
      <c r="E106" s="58">
        <f t="shared" si="26"/>
        <v>265224.96848989301</v>
      </c>
      <c r="F106" s="58">
        <f t="shared" si="26"/>
        <v>442041.61414982151</v>
      </c>
      <c r="G106" s="58">
        <f t="shared" si="26"/>
        <v>618858.25980975002</v>
      </c>
      <c r="H106" s="58">
        <f t="shared" si="26"/>
        <v>795674.90546967869</v>
      </c>
      <c r="I106" s="58">
        <f t="shared" si="26"/>
        <v>972491.55112960737</v>
      </c>
      <c r="J106" s="58">
        <f t="shared" si="26"/>
        <v>1149308.1967895357</v>
      </c>
      <c r="K106" s="58">
        <f t="shared" si="26"/>
        <v>1326124.8424494644</v>
      </c>
      <c r="L106" s="58">
        <f t="shared" si="26"/>
        <v>1502941.488109393</v>
      </c>
      <c r="M106" s="58">
        <f t="shared" si="26"/>
        <v>1679758.1337693217</v>
      </c>
      <c r="N106" s="58">
        <f t="shared" si="26"/>
        <v>1768166.4565992861</v>
      </c>
      <c r="O106" s="58">
        <f t="shared" si="26"/>
        <v>1768166.4565992861</v>
      </c>
      <c r="P106" s="58">
        <f t="shared" si="26"/>
        <v>1768166.4565992861</v>
      </c>
      <c r="Q106" s="58">
        <f t="shared" si="26"/>
        <v>1768166.4565992861</v>
      </c>
      <c r="R106" s="58">
        <f t="shared" si="26"/>
        <v>1768166.4565992861</v>
      </c>
      <c r="S106" s="58">
        <f t="shared" si="26"/>
        <v>1768166.4565992861</v>
      </c>
      <c r="T106" s="58">
        <f t="shared" si="26"/>
        <v>1768166.4565992861</v>
      </c>
      <c r="U106" s="58">
        <f t="shared" si="26"/>
        <v>1768166.4565992861</v>
      </c>
      <c r="V106" s="58">
        <f t="shared" si="26"/>
        <v>1768166.4565992861</v>
      </c>
      <c r="W106" s="58">
        <f t="shared" si="26"/>
        <v>1768166.4565992861</v>
      </c>
      <c r="X106" s="58">
        <f t="shared" si="26"/>
        <v>1768166.4565992861</v>
      </c>
      <c r="Y106" s="58">
        <f t="shared" si="26"/>
        <v>1768166.4565992861</v>
      </c>
      <c r="Z106" s="58">
        <f t="shared" si="26"/>
        <v>1768166.4565992861</v>
      </c>
      <c r="AA106" s="58">
        <f t="shared" si="26"/>
        <v>1768166.4565992861</v>
      </c>
      <c r="AB106" s="58">
        <f t="shared" si="26"/>
        <v>1768166.4565992861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18682086.074470911</v>
      </c>
      <c r="D107" s="24">
        <f t="shared" ref="D107:AB107" si="27">+D106*D3</f>
        <v>86404.990234637298</v>
      </c>
      <c r="E107" s="24">
        <f t="shared" si="27"/>
        <v>247600.76933373962</v>
      </c>
      <c r="F107" s="24">
        <f t="shared" si="27"/>
        <v>394177.34816967882</v>
      </c>
      <c r="G107" s="24">
        <f t="shared" si="27"/>
        <v>527124.89995815081</v>
      </c>
      <c r="H107" s="24">
        <f t="shared" si="27"/>
        <v>647361.10309013061</v>
      </c>
      <c r="I107" s="24">
        <f t="shared" si="27"/>
        <v>755771.80896037433</v>
      </c>
      <c r="J107" s="24">
        <f t="shared" si="27"/>
        <v>853165.95372277603</v>
      </c>
      <c r="K107" s="24">
        <f t="shared" si="27"/>
        <v>940315.34203564166</v>
      </c>
      <c r="L107" s="24">
        <f t="shared" si="27"/>
        <v>1017942.2698964919</v>
      </c>
      <c r="M107" s="24">
        <f t="shared" si="27"/>
        <v>1086719.5246420628</v>
      </c>
      <c r="N107" s="24">
        <f t="shared" si="27"/>
        <v>1092656.1435200947</v>
      </c>
      <c r="O107" s="24">
        <f t="shared" si="27"/>
        <v>1043695.6143368605</v>
      </c>
      <c r="P107" s="24">
        <f t="shared" si="27"/>
        <v>996927.61155980942</v>
      </c>
      <c r="Q107" s="24">
        <f t="shared" si="27"/>
        <v>952263.72686611162</v>
      </c>
      <c r="R107" s="24">
        <f t="shared" si="27"/>
        <v>909597.87026837084</v>
      </c>
      <c r="S107" s="24">
        <f t="shared" si="27"/>
        <v>868841.63344375719</v>
      </c>
      <c r="T107" s="24">
        <f t="shared" si="27"/>
        <v>829906.60806944093</v>
      </c>
      <c r="U107" s="24">
        <f t="shared" si="27"/>
        <v>792722.06748715788</v>
      </c>
      <c r="V107" s="24">
        <f t="shared" si="27"/>
        <v>757217.28503864433</v>
      </c>
      <c r="W107" s="24">
        <f t="shared" si="27"/>
        <v>723286.1707365039</v>
      </c>
      <c r="X107" s="24">
        <f t="shared" si="27"/>
        <v>690875.67958703905</v>
      </c>
      <c r="Y107" s="24">
        <f t="shared" si="27"/>
        <v>659915.08493198559</v>
      </c>
      <c r="Z107" s="24">
        <f t="shared" si="27"/>
        <v>630351.3417776454</v>
      </c>
      <c r="AA107" s="24">
        <f t="shared" si="27"/>
        <v>602113.72346575488</v>
      </c>
      <c r="AB107" s="24">
        <f t="shared" si="27"/>
        <v>575131.50333804975</v>
      </c>
    </row>
    <row r="108" spans="1:28" s="28" customFormat="1" x14ac:dyDescent="0.2">
      <c r="A108" s="160" t="s">
        <v>226</v>
      </c>
      <c r="B108" s="163"/>
      <c r="C108" s="162">
        <f>SUM(D108:AB108)</f>
        <v>29652272.526239999</v>
      </c>
      <c r="D108" s="162">
        <f>+D104*D3</f>
        <v>137142.30347999997</v>
      </c>
      <c r="E108" s="162">
        <f t="shared" ref="E108:AB108" si="28">+E104*E3</f>
        <v>392992.80930000002</v>
      </c>
      <c r="F108" s="162">
        <f t="shared" si="28"/>
        <v>625639.66919999989</v>
      </c>
      <c r="G108" s="162">
        <f t="shared" si="28"/>
        <v>836654.48957999982</v>
      </c>
      <c r="H108" s="162">
        <f t="shared" si="28"/>
        <v>1027493.8127999998</v>
      </c>
      <c r="I108" s="162">
        <f t="shared" si="28"/>
        <v>1199563.6652999998</v>
      </c>
      <c r="J108" s="162">
        <f t="shared" si="28"/>
        <v>1354147.9933799997</v>
      </c>
      <c r="K108" s="162">
        <f t="shared" si="28"/>
        <v>1492471.8080999996</v>
      </c>
      <c r="L108" s="162">
        <f t="shared" si="28"/>
        <v>1615681.5401999997</v>
      </c>
      <c r="M108" s="162">
        <f t="shared" si="28"/>
        <v>1724845.0400999999</v>
      </c>
      <c r="N108" s="162">
        <f t="shared" si="28"/>
        <v>1734267.6623999996</v>
      </c>
      <c r="O108" s="162">
        <f t="shared" si="28"/>
        <v>1656557.3387999996</v>
      </c>
      <c r="P108" s="162">
        <f t="shared" si="28"/>
        <v>1582327.0007999998</v>
      </c>
      <c r="Q108" s="162">
        <f t="shared" si="28"/>
        <v>1511436.3263999999</v>
      </c>
      <c r="R108" s="162">
        <f t="shared" si="28"/>
        <v>1443716.9291999999</v>
      </c>
      <c r="S108" s="162">
        <f t="shared" si="28"/>
        <v>1379028.4871999996</v>
      </c>
      <c r="T108" s="162">
        <f t="shared" si="28"/>
        <v>1317230.6783999999</v>
      </c>
      <c r="U108" s="162">
        <f t="shared" si="28"/>
        <v>1258211.2451999998</v>
      </c>
      <c r="V108" s="162">
        <f t="shared" si="28"/>
        <v>1201857.93</v>
      </c>
      <c r="W108" s="162">
        <f t="shared" si="28"/>
        <v>1148002.3463999997</v>
      </c>
      <c r="X108" s="162">
        <f t="shared" si="28"/>
        <v>1096560.3011999999</v>
      </c>
      <c r="Y108" s="162">
        <f t="shared" si="28"/>
        <v>1047419.5367999998</v>
      </c>
      <c r="Z108" s="162">
        <f t="shared" si="28"/>
        <v>1000495.8599999998</v>
      </c>
      <c r="AA108" s="162">
        <f t="shared" si="28"/>
        <v>955677.01319999981</v>
      </c>
      <c r="AB108" s="162">
        <f t="shared" si="28"/>
        <v>912850.73879999982</v>
      </c>
    </row>
    <row r="109" spans="1:28" s="28" customFormat="1" x14ac:dyDescent="0.2">
      <c r="A109" s="160" t="s">
        <v>225</v>
      </c>
      <c r="B109" s="163"/>
      <c r="C109" s="162">
        <f>SUM(D109:AB109)</f>
        <v>-10970186.451769086</v>
      </c>
      <c r="D109" s="162">
        <f>+D105*D3</f>
        <v>-50737.313245362668</v>
      </c>
      <c r="E109" s="162">
        <f t="shared" ref="E109:AB109" si="29">+E105*E3</f>
        <v>-145392.0399662604</v>
      </c>
      <c r="F109" s="162">
        <f t="shared" si="29"/>
        <v>-231462.32103032104</v>
      </c>
      <c r="G109" s="162">
        <f t="shared" si="29"/>
        <v>-309529.58962184907</v>
      </c>
      <c r="H109" s="162">
        <f t="shared" si="29"/>
        <v>-380132.70970986923</v>
      </c>
      <c r="I109" s="162">
        <f t="shared" si="29"/>
        <v>-443791.85633962543</v>
      </c>
      <c r="J109" s="162">
        <f t="shared" si="29"/>
        <v>-500982.03965722368</v>
      </c>
      <c r="K109" s="162">
        <f t="shared" si="29"/>
        <v>-552156.4660643579</v>
      </c>
      <c r="L109" s="162">
        <f t="shared" si="29"/>
        <v>-597739.2703035078</v>
      </c>
      <c r="M109" s="162">
        <f t="shared" si="29"/>
        <v>-638125.51545793703</v>
      </c>
      <c r="N109" s="162">
        <f t="shared" si="29"/>
        <v>-641611.51887990488</v>
      </c>
      <c r="O109" s="162">
        <f t="shared" si="29"/>
        <v>-612861.72446313908</v>
      </c>
      <c r="P109" s="162">
        <f t="shared" si="29"/>
        <v>-585399.38924019027</v>
      </c>
      <c r="Q109" s="162">
        <f t="shared" si="29"/>
        <v>-559172.59953388828</v>
      </c>
      <c r="R109" s="162">
        <f t="shared" si="29"/>
        <v>-534119.05893162906</v>
      </c>
      <c r="S109" s="162">
        <f t="shared" si="29"/>
        <v>-510186.85375624255</v>
      </c>
      <c r="T109" s="162">
        <f t="shared" si="29"/>
        <v>-487324.07033055887</v>
      </c>
      <c r="U109" s="162">
        <f t="shared" si="29"/>
        <v>-465489.17771284189</v>
      </c>
      <c r="V109" s="162">
        <f t="shared" si="29"/>
        <v>-444640.64496135555</v>
      </c>
      <c r="W109" s="162">
        <f t="shared" si="29"/>
        <v>-424716.17566349584</v>
      </c>
      <c r="X109" s="162">
        <f t="shared" si="29"/>
        <v>-405684.62161296082</v>
      </c>
      <c r="Y109" s="162">
        <f t="shared" si="29"/>
        <v>-387504.45186801429</v>
      </c>
      <c r="Z109" s="162">
        <f t="shared" si="29"/>
        <v>-370144.51822235435</v>
      </c>
      <c r="AA109" s="162">
        <f t="shared" si="29"/>
        <v>-353563.28973424499</v>
      </c>
      <c r="AB109" s="162">
        <f t="shared" si="29"/>
        <v>-337719.23546195007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9371282.2199762203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468564.11099881085</v>
      </c>
      <c r="O112" s="24">
        <f ca="1">(O106-O113-O115)*'Data Inputs'!$J$111</f>
        <v>468564.11099881085</v>
      </c>
      <c r="P112" s="24">
        <f ca="1">(P106-P113-P115)*'Data Inputs'!$J$111</f>
        <v>468564.11099881085</v>
      </c>
      <c r="Q112" s="24">
        <f ca="1">(Q106-Q113-Q115)*'Data Inputs'!$J$111</f>
        <v>468564.11099881085</v>
      </c>
      <c r="R112" s="24">
        <f ca="1">(R106-R113-R115)*'Data Inputs'!$J$111</f>
        <v>468564.11099881085</v>
      </c>
      <c r="S112" s="24">
        <f ca="1">(S106-S113-S115)*'Data Inputs'!$J$111</f>
        <v>468564.11099881085</v>
      </c>
      <c r="T112" s="24">
        <f ca="1">(T106-T113-T115)*'Data Inputs'!$J$111</f>
        <v>468564.11099881085</v>
      </c>
      <c r="U112" s="24">
        <f ca="1">(U106-U113-U115)*'Data Inputs'!$J$111</f>
        <v>468564.11099881085</v>
      </c>
      <c r="V112" s="24">
        <f ca="1">(V106-V113-V115)*'Data Inputs'!$J$111</f>
        <v>468564.11099881085</v>
      </c>
      <c r="W112" s="24">
        <f ca="1">(W106-W113-W115)*'Data Inputs'!$J$111</f>
        <v>468564.11099881085</v>
      </c>
      <c r="X112" s="24">
        <f ca="1">(X106-X113-X115)*'Data Inputs'!$J$111</f>
        <v>468564.11099881085</v>
      </c>
      <c r="Y112" s="24">
        <f ca="1">(Y106-Y113-Y115)*'Data Inputs'!$J$111</f>
        <v>468564.11099881085</v>
      </c>
      <c r="Z112" s="24">
        <f ca="1">(Z106-Z113-Z115)*'Data Inputs'!$J$111</f>
        <v>468564.11099881085</v>
      </c>
      <c r="AA112" s="24">
        <f ca="1">(AA106-AA113-AA115)*'Data Inputs'!$J$111</f>
        <v>468564.11099881085</v>
      </c>
      <c r="AB112" s="24">
        <f ca="1">(AB106-AB113-AB115)*'Data Inputs'!$J$111</f>
        <v>468564.11099881085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9371282.2199762203</v>
      </c>
      <c r="D116" s="63">
        <f t="shared" ref="D116:AB116" ca="1" si="30">SUM(D112:D115)</f>
        <v>23428.20554994054</v>
      </c>
      <c r="E116" s="63">
        <f t="shared" ca="1" si="30"/>
        <v>70284.616649821648</v>
      </c>
      <c r="F116" s="63">
        <f t="shared" ca="1" si="30"/>
        <v>117141.02774970271</v>
      </c>
      <c r="G116" s="63">
        <f t="shared" ca="1" si="30"/>
        <v>163997.43884958376</v>
      </c>
      <c r="H116" s="63">
        <f t="shared" ca="1" si="30"/>
        <v>210853.84994946487</v>
      </c>
      <c r="I116" s="63">
        <f t="shared" ca="1" si="30"/>
        <v>257710.26104934598</v>
      </c>
      <c r="J116" s="63">
        <f t="shared" ca="1" si="30"/>
        <v>304566.672149227</v>
      </c>
      <c r="K116" s="63">
        <f t="shared" ca="1" si="30"/>
        <v>351423.08324910805</v>
      </c>
      <c r="L116" s="63">
        <f t="shared" ca="1" si="30"/>
        <v>398279.49434898916</v>
      </c>
      <c r="M116" s="63">
        <f t="shared" ca="1" si="30"/>
        <v>445135.90544887027</v>
      </c>
      <c r="N116" s="63">
        <f t="shared" ca="1" si="30"/>
        <v>468564.11099881085</v>
      </c>
      <c r="O116" s="63">
        <f t="shared" ca="1" si="30"/>
        <v>468564.11099881085</v>
      </c>
      <c r="P116" s="63">
        <f t="shared" ca="1" si="30"/>
        <v>468564.11099881085</v>
      </c>
      <c r="Q116" s="63">
        <f t="shared" ca="1" si="30"/>
        <v>468564.11099881085</v>
      </c>
      <c r="R116" s="63">
        <f t="shared" ca="1" si="30"/>
        <v>468564.11099881085</v>
      </c>
      <c r="S116" s="63">
        <f t="shared" ca="1" si="30"/>
        <v>468564.11099881085</v>
      </c>
      <c r="T116" s="63">
        <f t="shared" ca="1" si="30"/>
        <v>468564.11099881085</v>
      </c>
      <c r="U116" s="63">
        <f t="shared" ca="1" si="30"/>
        <v>468564.11099881085</v>
      </c>
      <c r="V116" s="63">
        <f t="shared" ca="1" si="30"/>
        <v>468564.11099881085</v>
      </c>
      <c r="W116" s="63">
        <f t="shared" ca="1" si="30"/>
        <v>468564.11099881085</v>
      </c>
      <c r="X116" s="63">
        <f t="shared" ca="1" si="30"/>
        <v>468564.11099881085</v>
      </c>
      <c r="Y116" s="63">
        <f t="shared" ca="1" si="30"/>
        <v>468564.11099881085</v>
      </c>
      <c r="Z116" s="63">
        <f t="shared" ca="1" si="30"/>
        <v>468564.11099881085</v>
      </c>
      <c r="AA116" s="63">
        <f t="shared" ca="1" si="30"/>
        <v>468564.11099881085</v>
      </c>
      <c r="AB116" s="63">
        <f t="shared" ca="1" si="30"/>
        <v>468564.11099881085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4950752.8097347915</v>
      </c>
      <c r="D117" s="162">
        <f ca="1">+D116*D3</f>
        <v>22897.322412178888</v>
      </c>
      <c r="E117" s="162">
        <f t="shared" ref="E117:AB117" ca="1" si="31">+E116*E3</f>
        <v>65614.203873441002</v>
      </c>
      <c r="F117" s="162">
        <f t="shared" ca="1" si="31"/>
        <v>104456.9972649649</v>
      </c>
      <c r="G117" s="162">
        <f t="shared" ca="1" si="31"/>
        <v>139688.09848890998</v>
      </c>
      <c r="H117" s="162">
        <f t="shared" ca="1" si="31"/>
        <v>171550.69231888463</v>
      </c>
      <c r="I117" s="162">
        <f t="shared" ca="1" si="31"/>
        <v>200279.52937449922</v>
      </c>
      <c r="J117" s="162">
        <f t="shared" ca="1" si="31"/>
        <v>226088.97773653569</v>
      </c>
      <c r="K117" s="162">
        <f t="shared" ca="1" si="31"/>
        <v>249183.56563944503</v>
      </c>
      <c r="L117" s="162">
        <f t="shared" ca="1" si="31"/>
        <v>269754.70152257034</v>
      </c>
      <c r="M117" s="162">
        <f t="shared" ca="1" si="31"/>
        <v>287980.67403014662</v>
      </c>
      <c r="N117" s="162">
        <f t="shared" ca="1" si="31"/>
        <v>289553.87803282513</v>
      </c>
      <c r="O117" s="162">
        <f t="shared" ca="1" si="31"/>
        <v>276579.33779926808</v>
      </c>
      <c r="P117" s="162">
        <f t="shared" ca="1" si="31"/>
        <v>264185.81706334953</v>
      </c>
      <c r="Q117" s="162">
        <f t="shared" ca="1" si="31"/>
        <v>252349.88761951958</v>
      </c>
      <c r="R117" s="162">
        <f t="shared" ca="1" si="31"/>
        <v>241043.43562111829</v>
      </c>
      <c r="S117" s="162">
        <f t="shared" ca="1" si="31"/>
        <v>230243.03286259566</v>
      </c>
      <c r="T117" s="162">
        <f t="shared" ca="1" si="31"/>
        <v>219925.25113840186</v>
      </c>
      <c r="U117" s="162">
        <f t="shared" ca="1" si="31"/>
        <v>210071.34788409687</v>
      </c>
      <c r="V117" s="162">
        <f t="shared" ca="1" si="31"/>
        <v>200662.58053524076</v>
      </c>
      <c r="W117" s="162">
        <f t="shared" ca="1" si="31"/>
        <v>191670.83524517357</v>
      </c>
      <c r="X117" s="162">
        <f t="shared" ca="1" si="31"/>
        <v>183082.05509056538</v>
      </c>
      <c r="Y117" s="162">
        <f t="shared" ca="1" si="31"/>
        <v>174877.49750697619</v>
      </c>
      <c r="Z117" s="162">
        <f t="shared" ca="1" si="31"/>
        <v>167043.10557107607</v>
      </c>
      <c r="AA117" s="162">
        <f t="shared" ca="1" si="31"/>
        <v>159560.13671842506</v>
      </c>
      <c r="AB117" s="162">
        <f t="shared" ca="1" si="31"/>
        <v>152409.84838458319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>+D115*D3</f>
        <v>0</v>
      </c>
      <c r="E118" s="24">
        <f t="shared" ref="E118:AB118" si="32">+E115*E3</f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4">
        <f t="shared" si="32"/>
        <v>0</v>
      </c>
      <c r="V118" s="24">
        <f t="shared" si="32"/>
        <v>0</v>
      </c>
      <c r="W118" s="24">
        <f t="shared" si="32"/>
        <v>0</v>
      </c>
      <c r="X118" s="24">
        <f t="shared" si="32"/>
        <v>0</v>
      </c>
      <c r="Y118" s="24">
        <f t="shared" si="32"/>
        <v>0</v>
      </c>
      <c r="Z118" s="24">
        <f t="shared" si="32"/>
        <v>0</v>
      </c>
      <c r="AA118" s="24">
        <f t="shared" si="32"/>
        <v>0</v>
      </c>
      <c r="AB118" s="24">
        <f t="shared" si="32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18682086.074470911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-4950752.8097347915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13731333.26473612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-65592634.222222216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2526777.9432276646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-49334523.014258429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253</v>
      </c>
      <c r="T2" s="173" t="s">
        <v>254</v>
      </c>
      <c r="U2" s="173" t="s">
        <v>254</v>
      </c>
      <c r="V2" s="173" t="s">
        <v>254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253">
        <v>2010</v>
      </c>
      <c r="L3" s="254">
        <v>2011</v>
      </c>
      <c r="M3" s="254">
        <v>2012</v>
      </c>
      <c r="N3" s="254">
        <v>2013</v>
      </c>
      <c r="O3" s="254">
        <v>2014</v>
      </c>
      <c r="P3" s="254">
        <v>2015</v>
      </c>
      <c r="Q3" s="254">
        <v>2016</v>
      </c>
      <c r="R3" s="254">
        <v>2017</v>
      </c>
      <c r="S3" s="254">
        <v>2018</v>
      </c>
      <c r="T3">
        <v>2019</v>
      </c>
      <c r="U3">
        <v>2020</v>
      </c>
      <c r="V3">
        <v>2021</v>
      </c>
    </row>
    <row r="4" spans="1:22" x14ac:dyDescent="0.2">
      <c r="K4" s="253"/>
      <c r="L4" s="255"/>
      <c r="M4" s="255"/>
      <c r="N4" s="255"/>
      <c r="O4" s="255"/>
      <c r="P4" s="255"/>
      <c r="Q4" s="255"/>
      <c r="R4" s="255"/>
      <c r="S4" s="255"/>
      <c r="T4" s="76"/>
      <c r="U4" s="76"/>
      <c r="V4" s="76"/>
    </row>
    <row r="5" spans="1:22" x14ac:dyDescent="0.2">
      <c r="A5" t="s">
        <v>164</v>
      </c>
      <c r="K5" s="253"/>
      <c r="L5" s="254"/>
      <c r="M5" s="254"/>
      <c r="N5" s="254"/>
      <c r="O5" s="254"/>
      <c r="P5" s="254"/>
      <c r="Q5" s="254"/>
      <c r="R5" s="254"/>
      <c r="S5" s="254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253">
        <f>82406000+3503000</f>
        <v>85909000</v>
      </c>
      <c r="L6" s="253">
        <v>111627000</v>
      </c>
      <c r="M6" s="256">
        <v>121986000</v>
      </c>
      <c r="N6" s="256">
        <v>116872000</v>
      </c>
      <c r="O6" s="257">
        <f>130311000+2096000</f>
        <v>132407000</v>
      </c>
      <c r="P6" s="257">
        <f>85753000+1480000+43588000</f>
        <v>130821000</v>
      </c>
      <c r="Q6" s="257">
        <f>94340000+1514000+43588000</f>
        <v>139442000</v>
      </c>
      <c r="R6" s="257">
        <f>92795000+43588000+1545000</f>
        <v>137928000</v>
      </c>
      <c r="S6" s="257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253">
        <v>0</v>
      </c>
      <c r="L7" s="253">
        <v>0</v>
      </c>
      <c r="M7" s="256">
        <v>0</v>
      </c>
      <c r="N7" s="256">
        <v>0</v>
      </c>
      <c r="O7" s="257">
        <v>0</v>
      </c>
      <c r="P7" s="257">
        <v>0</v>
      </c>
      <c r="Q7" s="257">
        <v>0</v>
      </c>
      <c r="R7" s="257">
        <v>0</v>
      </c>
      <c r="S7" s="257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233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253">
        <v>5233000</v>
      </c>
      <c r="L8" s="253">
        <v>4914000</v>
      </c>
      <c r="M8" s="256">
        <v>5029000</v>
      </c>
      <c r="N8" s="256">
        <v>4829000</v>
      </c>
      <c r="O8" s="257">
        <v>4581000</v>
      </c>
      <c r="P8" s="257">
        <v>0</v>
      </c>
      <c r="Q8" s="257">
        <v>5270038</v>
      </c>
      <c r="R8" s="257">
        <v>4901533.5599999996</v>
      </c>
      <c r="S8" s="257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253">
        <f t="shared" ref="K9:P9" si="1">SUM(K6:K8)</f>
        <v>91142000</v>
      </c>
      <c r="L9" s="253">
        <f t="shared" si="1"/>
        <v>116541000</v>
      </c>
      <c r="M9" s="256">
        <f t="shared" si="1"/>
        <v>127015000</v>
      </c>
      <c r="N9" s="256">
        <f t="shared" si="1"/>
        <v>121701000</v>
      </c>
      <c r="O9" s="257">
        <f t="shared" si="1"/>
        <v>136988000</v>
      </c>
      <c r="P9" s="257">
        <f t="shared" si="1"/>
        <v>130821000</v>
      </c>
      <c r="Q9" s="257">
        <f t="shared" ref="Q9:S9" si="2">SUM(Q6:Q8)</f>
        <v>144712038</v>
      </c>
      <c r="R9" s="257">
        <f t="shared" si="2"/>
        <v>142829533.56</v>
      </c>
      <c r="S9" s="257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253"/>
      <c r="L10" s="254"/>
      <c r="M10" s="254"/>
      <c r="N10" s="254"/>
      <c r="O10" s="254"/>
      <c r="P10" s="254"/>
      <c r="Q10" s="254"/>
      <c r="R10" s="254"/>
      <c r="S10" s="254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253">
        <v>64302000</v>
      </c>
      <c r="L11" s="253">
        <v>64302000</v>
      </c>
      <c r="M11" s="256">
        <v>64302000</v>
      </c>
      <c r="N11" s="256">
        <v>69302000</v>
      </c>
      <c r="O11" s="257">
        <v>69302000</v>
      </c>
      <c r="P11" s="257">
        <v>69302000</v>
      </c>
      <c r="Q11" s="257">
        <v>69302000</v>
      </c>
      <c r="R11" s="257">
        <v>69302000</v>
      </c>
      <c r="S11" s="257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253">
        <v>23000</v>
      </c>
      <c r="L12" s="253">
        <v>23000</v>
      </c>
      <c r="M12" s="256">
        <v>23000</v>
      </c>
      <c r="N12" s="256">
        <v>23000</v>
      </c>
      <c r="O12" s="257">
        <v>23000</v>
      </c>
      <c r="P12" s="257">
        <v>23000</v>
      </c>
      <c r="Q12" s="257">
        <v>23000</v>
      </c>
      <c r="R12" s="257">
        <v>23000</v>
      </c>
      <c r="S12" s="257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253">
        <v>9684000</v>
      </c>
      <c r="L13" s="253">
        <v>11699000</v>
      </c>
      <c r="M13" s="256">
        <v>17178000</v>
      </c>
      <c r="N13" s="256">
        <v>23872000</v>
      </c>
      <c r="O13" s="257">
        <v>25365000</v>
      </c>
      <c r="P13" s="257">
        <v>28683000</v>
      </c>
      <c r="Q13" s="257">
        <v>35087000</v>
      </c>
      <c r="R13" s="257">
        <v>41122000</v>
      </c>
      <c r="S13" s="257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253">
        <f t="shared" ref="K14:P14" si="5">SUM(K11:K13)</f>
        <v>74009000</v>
      </c>
      <c r="L14" s="253">
        <f t="shared" si="5"/>
        <v>76024000</v>
      </c>
      <c r="M14" s="256">
        <f t="shared" si="5"/>
        <v>81503000</v>
      </c>
      <c r="N14" s="256">
        <f t="shared" si="5"/>
        <v>93197000</v>
      </c>
      <c r="O14" s="257">
        <f t="shared" si="5"/>
        <v>94690000</v>
      </c>
      <c r="P14" s="257">
        <f t="shared" si="5"/>
        <v>98008000</v>
      </c>
      <c r="Q14" s="257">
        <f t="shared" ref="Q14:S14" si="6">SUM(Q11:Q13)</f>
        <v>104412000</v>
      </c>
      <c r="R14" s="257">
        <f t="shared" si="6"/>
        <v>110447000</v>
      </c>
      <c r="S14" s="257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253"/>
      <c r="L15" s="253"/>
      <c r="M15" s="256"/>
      <c r="N15" s="256"/>
      <c r="O15" s="257"/>
      <c r="P15" s="257"/>
      <c r="Q15" s="257"/>
      <c r="R15" s="257"/>
      <c r="S15" s="257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258">
        <f t="shared" ref="K16:P16" si="8">K9/(K9+K14)</f>
        <v>0.55187071225726758</v>
      </c>
      <c r="L16" s="258">
        <f t="shared" si="8"/>
        <v>0.60520343780022334</v>
      </c>
      <c r="M16" s="258">
        <f t="shared" si="8"/>
        <v>0.60913206533728503</v>
      </c>
      <c r="N16" s="259">
        <f t="shared" si="8"/>
        <v>0.56631983545682141</v>
      </c>
      <c r="O16" s="260">
        <f t="shared" si="8"/>
        <v>0.59128618168319824</v>
      </c>
      <c r="P16" s="260">
        <f t="shared" si="8"/>
        <v>0.57169764321829841</v>
      </c>
      <c r="Q16" s="260">
        <f t="shared" ref="Q16:R16" si="9">Q9/(Q9+Q14)</f>
        <v>0.58088347941759033</v>
      </c>
      <c r="R16" s="260">
        <f t="shared" si="9"/>
        <v>0.56392722828451203</v>
      </c>
      <c r="S16" s="260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258">
        <f t="shared" ref="K17:P17" si="10">K14/(K9+K14)</f>
        <v>0.44812928774273242</v>
      </c>
      <c r="L17" s="258">
        <f t="shared" si="10"/>
        <v>0.39479656219977671</v>
      </c>
      <c r="M17" s="258">
        <f t="shared" si="10"/>
        <v>0.39086793466271497</v>
      </c>
      <c r="N17" s="259">
        <f t="shared" si="10"/>
        <v>0.43368016454317865</v>
      </c>
      <c r="O17" s="260">
        <f t="shared" si="10"/>
        <v>0.40871381831680176</v>
      </c>
      <c r="P17" s="260">
        <f t="shared" si="10"/>
        <v>0.42830235678170164</v>
      </c>
      <c r="Q17" s="260">
        <f t="shared" ref="Q17:R17" si="11">Q14/(Q9+Q14)</f>
        <v>0.41911652058240961</v>
      </c>
      <c r="R17" s="260">
        <f t="shared" si="11"/>
        <v>0.43607277171548792</v>
      </c>
      <c r="S17" s="260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239</v>
      </c>
      <c r="D2" s="143">
        <v>122868</v>
      </c>
      <c r="E2" s="147" t="s">
        <v>240</v>
      </c>
      <c r="F2" s="227">
        <v>43000</v>
      </c>
      <c r="G2" s="147" t="s">
        <v>252</v>
      </c>
      <c r="H2" s="143">
        <v>167653</v>
      </c>
      <c r="I2" s="147" t="s">
        <v>252</v>
      </c>
      <c r="J2" s="143">
        <v>169489</v>
      </c>
      <c r="K2" s="147" t="s">
        <v>252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231</v>
      </c>
      <c r="D4" s="129" t="s">
        <v>232</v>
      </c>
      <c r="E4" s="157" t="s">
        <v>231</v>
      </c>
      <c r="F4" s="129" t="s">
        <v>232</v>
      </c>
      <c r="G4" s="157" t="s">
        <v>241</v>
      </c>
      <c r="H4" s="129" t="s">
        <v>251</v>
      </c>
      <c r="I4" s="157" t="s">
        <v>242</v>
      </c>
      <c r="J4" s="129" t="s">
        <v>255</v>
      </c>
      <c r="K4" s="157">
        <v>2021</v>
      </c>
      <c r="L4" s="129" t="s">
        <v>256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234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235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236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2023-02-21T16:49:21Z</dcterms:modified>
</cp:coreProperties>
</file>